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drawings/drawing7.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225"/>
  <workbookPr/>
  <bookViews>
    <workbookView xWindow="65446" yWindow="65446" windowWidth="19380" windowHeight="10380" tabRatio="932" firstSheet="8" activeTab="13"/>
  </bookViews>
  <sheets>
    <sheet name="抽選会資料" sheetId="1" r:id="rId1"/>
    <sheet name="大会要項" sheetId="2" r:id="rId2"/>
    <sheet name="記入用紙 (例)" sheetId="3" r:id="rId3"/>
    <sheet name="記入用紙" sheetId="4" r:id="rId4"/>
    <sheet name="MCM資料" sheetId="5" r:id="rId5"/>
    <sheet name="累積警告・退場" sheetId="6" r:id="rId6"/>
    <sheet name="組合せ抽選用" sheetId="7" state="hidden" r:id="rId7"/>
    <sheet name="予選リーグ" sheetId="8" state="hidden" r:id="rId8"/>
    <sheet name="予選リーグ (2)" sheetId="9" r:id="rId9"/>
    <sheet name="予選リーグ公式記録(Bコート南)" sheetId="10" state="hidden" r:id="rId10"/>
    <sheet name="予選リーグ公式記録(Bコート北)" sheetId="11" state="hidden" r:id="rId11"/>
    <sheet name="予選リーグ公式記録(西部G人工芝A)" sheetId="12" state="hidden" r:id="rId12"/>
    <sheet name="予選リーグ公式記録(西部人工芝B)" sheetId="13" state="hidden" r:id="rId13"/>
    <sheet name="決勝トーナメント" sheetId="14" r:id="rId14"/>
    <sheet name="決勝T公式記録" sheetId="15" state="hidden" r:id="rId15"/>
    <sheet name="決勝公式記録 No,33" sheetId="16" r:id="rId16"/>
    <sheet name="項目" sheetId="17" state="hidden" r:id="rId17"/>
    <sheet name="選手名簿" sheetId="18" state="hidden" r:id="rId18"/>
    <sheet name="審判員" sheetId="19" state="hidden" r:id="rId19"/>
  </sheets>
  <definedNames>
    <definedName name="_xlnm._FilterDatabase" localSheetId="5" hidden="1">'累積警告・退場'!$A$4:$AB$4</definedName>
    <definedName name="OLE_LINK1" localSheetId="1">'大会要項'!$A$56</definedName>
    <definedName name="_xlnm.Print_Area" localSheetId="3">'記入用紙'!$B$1:$AC$49</definedName>
    <definedName name="_xlnm.Print_Area" localSheetId="2">'記入用紙 (例)'!$B$1:$AC$49</definedName>
    <definedName name="_xlnm.Print_Area" localSheetId="15">'決勝公式記録 No,33'!$A$1:$AJ$73</definedName>
    <definedName name="_xlnm.Print_Area" localSheetId="6">'組合せ抽選用'!$B$2:$O$35</definedName>
    <definedName name="_xlnm.Print_Area" localSheetId="1">'大会要項'!$A$1:$J$83</definedName>
    <definedName name="_xlnm.Print_Area" localSheetId="8">'予選リーグ (2)'!$A$1:$AA$24,'予選リーグ (2)'!$AC$1:$BC$24,'予選リーグ (2)'!$A$43:$AA$75,'予選リーグ (2)'!$AC$43:$BC$75</definedName>
    <definedName name="_xlnm.Print_Area" localSheetId="5">'累積警告・退場'!$B$1:$W$28</definedName>
  </definedNames>
  <calcPr calcId="191029"/>
  <extLst/>
</workbook>
</file>

<file path=xl/sharedStrings.xml><?xml version="1.0" encoding="utf-8"?>
<sst xmlns="http://schemas.openxmlformats.org/spreadsheetml/2006/main" count="29888" uniqueCount="11717">
  <si>
    <t>抽選会</t>
  </si>
  <si>
    <t>１．</t>
  </si>
  <si>
    <t>２．</t>
  </si>
  <si>
    <t>３．</t>
  </si>
  <si>
    <t>参加チーム</t>
  </si>
  <si>
    <t>チーム</t>
  </si>
  <si>
    <t>Aブロック（フリー）</t>
  </si>
  <si>
    <t>Bブロック（奇数）</t>
  </si>
  <si>
    <t>地　　区</t>
  </si>
  <si>
    <t>チーム名</t>
  </si>
  <si>
    <t>申込</t>
  </si>
  <si>
    <t>参加料</t>
  </si>
  <si>
    <t>出欠</t>
  </si>
  <si>
    <t>大分</t>
  </si>
  <si>
    <t>リノスフットボールクラブ　Ｕ－１２</t>
  </si>
  <si>
    <t>○</t>
  </si>
  <si>
    <t>-</t>
  </si>
  <si>
    <t>中津</t>
  </si>
  <si>
    <t>中津沖代ジュニアサッカークラブ</t>
  </si>
  <si>
    <t>北郡坂ノ市サッカースポーツ少年団</t>
  </si>
  <si>
    <t>ＦＣ中津ジュニア</t>
  </si>
  <si>
    <t>アトレチコエラン横瀬</t>
  </si>
  <si>
    <t>下毛ＦＣ</t>
  </si>
  <si>
    <t>ＫＩＮＧＳ　ＦＯＯＴＢＡＬＬＣＬＵＢ　Ｕ－１２</t>
  </si>
  <si>
    <t>速杵国東</t>
  </si>
  <si>
    <t>ＯＫＹ山香サッカークラブ</t>
  </si>
  <si>
    <t>スマイス　セレソン　スポーツクラブ</t>
  </si>
  <si>
    <t>東　Ｆ．Ｃ．</t>
  </si>
  <si>
    <t>大分トリニータＵ－１２</t>
  </si>
  <si>
    <t>別府</t>
  </si>
  <si>
    <t>スマイス・セレソン</t>
  </si>
  <si>
    <t>明治サッカースポーツ少年団</t>
  </si>
  <si>
    <t>別府フットボールクラブ．ミネルバＵ－１２</t>
  </si>
  <si>
    <t>ドリームキッズフットボールクラブ</t>
  </si>
  <si>
    <t>日田/玖珠</t>
  </si>
  <si>
    <t>太陽スポーツクラブ大分西</t>
  </si>
  <si>
    <t>日岡サッカースポーツ少年団</t>
  </si>
  <si>
    <t>ＦＣアリアーレ</t>
  </si>
  <si>
    <t>ブルーウイングフットボールクラブ</t>
  </si>
  <si>
    <t>宇佐高田</t>
  </si>
  <si>
    <t>ＦＣ　ＵＮＩＴＥ</t>
  </si>
  <si>
    <t>別保ＳＦＣ</t>
  </si>
  <si>
    <t>佐伯</t>
  </si>
  <si>
    <t>鶴岡Ｓ―ｐｌａｙ・ＭＩＮＡＭＩ</t>
  </si>
  <si>
    <t>豊肥</t>
  </si>
  <si>
    <t>ＦＣ大野</t>
  </si>
  <si>
    <t>臼杵/津久見</t>
  </si>
  <si>
    <t>市浜レッドソックス</t>
  </si>
  <si>
    <t>４．会議次第</t>
  </si>
  <si>
    <t>　①ジュニア委員長あいさつ</t>
  </si>
  <si>
    <t>　②要項の確認</t>
  </si>
  <si>
    <t>　③審判部より</t>
  </si>
  <si>
    <r>
      <t>　　・大会１日目（予選リーグ）は、帯同審判員を（</t>
    </r>
    <r>
      <rPr>
        <b/>
        <sz val="11"/>
        <color indexed="10"/>
        <rFont val="Meiryo UI"/>
        <family val="3"/>
      </rPr>
      <t>３級以上</t>
    </r>
    <r>
      <rPr>
        <sz val="11"/>
        <rFont val="Meiryo UI"/>
        <family val="3"/>
      </rPr>
      <t>）チームで帯同する。</t>
    </r>
  </si>
  <si>
    <r>
      <t>　　　</t>
    </r>
    <r>
      <rPr>
        <b/>
        <u val="single"/>
        <sz val="11"/>
        <rFont val="Meiryo UI"/>
        <family val="3"/>
      </rPr>
      <t>※出場チームにて責任を持って準備する事。</t>
    </r>
  </si>
  <si>
    <t>　④質問、諸注意</t>
  </si>
  <si>
    <t>　⑤抽選</t>
  </si>
  <si>
    <t>５．その他</t>
  </si>
  <si>
    <r>
      <t>　　①選手証/指導者資格証/審判資格証を、</t>
    </r>
    <r>
      <rPr>
        <u val="single"/>
        <sz val="11"/>
        <rFont val="Meiryo UI"/>
        <family val="3"/>
      </rPr>
      <t>持参のこと</t>
    </r>
    <r>
      <rPr>
        <sz val="11"/>
        <rFont val="Meiryo UI"/>
        <family val="3"/>
      </rPr>
      <t>。</t>
    </r>
  </si>
  <si>
    <t>　　②領収証は、｢振込みの際の領収証」にかえさせていただきます。</t>
  </si>
  <si>
    <r>
      <t>　　③大会期間中は、</t>
    </r>
    <r>
      <rPr>
        <u val="single"/>
        <sz val="11"/>
        <rFont val="Meiryo UI"/>
        <family val="3"/>
      </rPr>
      <t>「駐車証」を」車内に表示するこ</t>
    </r>
    <r>
      <rPr>
        <sz val="11"/>
        <rFont val="Meiryo UI"/>
        <family val="3"/>
      </rPr>
      <t>と。</t>
    </r>
  </si>
  <si>
    <t>　　④各会場にて、各パートの第1試合開始70分前に、各パートのマッチコーディネーションミーティング(MCM)を、3チーム同時に行います。</t>
  </si>
  <si>
    <t xml:space="preserve">       チーム代表者は必ずユニホームを持参(FP/GKの正副全て現物を。写真等不可。)にて参加願います。</t>
  </si>
  <si>
    <t>　　⑤コロナウイルス感染防止のため、必要事項を記入した参加者名簿を大会当日に大会本部まで提出すること。</t>
  </si>
  <si>
    <t>６．試合会場</t>
  </si>
  <si>
    <t>会場</t>
  </si>
  <si>
    <t>住所</t>
  </si>
  <si>
    <t>サブB</t>
  </si>
  <si>
    <t>大分ｽﾎﾟｰﾂ公園昭和電工ｻｯｶｰ･ﾗｸﾞﾋﾞｰ場　Bｺｰﾄ</t>
  </si>
  <si>
    <t>大分市大字松岡6841番地</t>
  </si>
  <si>
    <t>西部G人工芝</t>
  </si>
  <si>
    <t>西部スポーツ交流ひろば「第1グラウンド(Aグラウンド)」</t>
  </si>
  <si>
    <t>大分市大字金谷迫</t>
  </si>
  <si>
    <t>実施要項(案)</t>
  </si>
  <si>
    <t>(１)名　　  称</t>
  </si>
  <si>
    <r>
      <rPr>
        <sz val="10"/>
        <color indexed="10"/>
        <rFont val="ＭＳ Ｐゴシック"/>
        <family val="3"/>
      </rPr>
      <t>第11回</t>
    </r>
    <r>
      <rPr>
        <sz val="10"/>
        <rFont val="ＭＳ Ｐゴシック"/>
        <family val="3"/>
      </rPr>
      <t xml:space="preserve"> 全日本不動産協会杯争奪U-12サッカー大会【ラビットカップ】大分県大会</t>
    </r>
  </si>
  <si>
    <t>(２)主　　  催</t>
  </si>
  <si>
    <t>一般社団法人大分県サッカー協会</t>
  </si>
  <si>
    <t>(３)主　  　管</t>
  </si>
  <si>
    <t>(一社)大分県サッカー協会ジュニア委員会　</t>
  </si>
  <si>
    <t>(４)特別協賛</t>
  </si>
  <si>
    <t>公益社団法人全日本不動産協会大分県本部</t>
  </si>
  <si>
    <t>(５)協　　　賛</t>
  </si>
  <si>
    <t>(株)モルテン</t>
  </si>
  <si>
    <t>(６)後　　  援</t>
  </si>
  <si>
    <t>大分合同新聞社，OBS大分放送局，TOSテレビ大分，OAB大分朝日放送，エフエム大分</t>
  </si>
  <si>
    <t>(７)期　　  日</t>
  </si>
  <si>
    <t>2022年(令和4年)7月2日(土)・7月3日(日)</t>
  </si>
  <si>
    <t>(８)会　　  場</t>
  </si>
  <si>
    <r>
      <t xml:space="preserve">大分スポーツ公園 昭和電工サッカー・ラグビー場Bコート、
</t>
    </r>
    <r>
      <rPr>
        <sz val="10"/>
        <color indexed="10"/>
        <rFont val="ＭＳ Ｐゴシック"/>
        <family val="3"/>
      </rPr>
      <t>西部スポーツ交流ひろば「第1グラウンド(Aグラウンド)」</t>
    </r>
  </si>
  <si>
    <t>(９)参加資格</t>
  </si>
  <si>
    <t>①</t>
  </si>
  <si>
    <r>
      <rPr>
        <sz val="10"/>
        <color indexed="10"/>
        <rFont val="ＭＳ Ｐゴシック"/>
        <family val="3"/>
      </rPr>
      <t>2022年(令和4年)</t>
    </r>
    <r>
      <rPr>
        <sz val="10"/>
        <rFont val="ＭＳ Ｐゴシック"/>
        <family val="3"/>
      </rPr>
      <t>度大分県サッカー協会に加盟登録された各地区代表チームであること。</t>
    </r>
  </si>
  <si>
    <t>②</t>
  </si>
  <si>
    <t>大会実施年度に大分県サッカー協会に加盟登録(第4種)されたチームであること。</t>
  </si>
  <si>
    <t>③</t>
  </si>
  <si>
    <t>参加の申し込みは，監督1名を含む引率指導者5名，選手16名までとする。
引率指導者の中に，最低1名以上，日本サッカー協会公認D級以上の指導者資格を有する者が居ること。
(大会には資格証を持参すること。)</t>
  </si>
  <si>
    <t>④</t>
  </si>
  <si>
    <t>複数チームの出場を認めるが、同じ選手が違うチームで出場できない。その際，それぞれのチームに別々の指導者が帯同すること。同じ指導者がチームにまたがって登録することはできない。</t>
  </si>
  <si>
    <t>⑤</t>
  </si>
  <si>
    <t>スポーツ傷害保険に必ず加入していること。</t>
  </si>
  <si>
    <t>⑥</t>
  </si>
  <si>
    <t>各チームの指導者は，できるだけ多くの選手の出場機会を確保するよう努めるものとする。</t>
  </si>
  <si>
    <t xml:space="preserve">(10)試合方法 </t>
  </si>
  <si>
    <t>各地区予選を勝ち上がった24チームを8パートに分け、予選リーグを行う。予選リーグ各パート1位の8チーム
により決勝トーナメントを行い、優勝・準優勝・3位チームを決定する。　</t>
  </si>
  <si>
    <t>予選リーグは、その試合時間を40分(20-10-20)とし、その試合結果により、最上位のチームが
決勝トーナメントへ出場する。</t>
  </si>
  <si>
    <t>予選リーグにおける順位は、勝ち点(勝3、引分1、負0)・当該対戦・PKの順で決定する。
予選リーグにおいて、3チーム共に同率時の場合は、3人制のPK方式にて2連勝したチームが
次回戦進出とする。</t>
  </si>
  <si>
    <t>決勝トーナメントは、試合時間を30分(15-5-15)とし、勝敗の決しないときは3人制のPK戦を行う。
ただし、決勝戦のみ10分(5分-5分)の延長戦を行い、それでも勝敗が決しない場合3人制のPK戦を行う。</t>
  </si>
  <si>
    <t>登録できる交代要員および交代の最大人数は8名とし，交代して退いた競技者は交代要員となり，再び出場することができる。交代の回数は制限されない。交代は，ボールがインプレー中，アウトオブプレー中にかかわらず行うことができ，チームの指導者，もしくは選手は「第4審」に交代選手の番号を口頭で報告し，用具チェックを受けた後，交代ゾーンから行う。ただし，交代で退く競技者が負傷している場合は，主審の承認を得た上でどこからフィールドを離れてもよい。また，GKが交代する場合はアウトプレー時に主審を通じ行う。
※交代ゾーン＝ベンチ側のハーフウェイラインを挟んで3mずつ6mの範囲</t>
  </si>
  <si>
    <t>ベンチスタッフは、大会申込のスタッフ情報に申請した1名以上3名以内とし、内1名は
JFA公認指導者ライセンスを有する事。</t>
  </si>
  <si>
    <t xml:space="preserve">審判は、主審1名、副審2名　第4審の4人制とし、予選リーグにおいては、相互審判割り当て制とする。
決勝トーナメントにおいては、本部対応とする。各試合にマッチコミッショナーを置き，
決勝トーナメントは、ウェルフェアオフィサーも置く。
</t>
  </si>
  <si>
    <t>⑦</t>
  </si>
  <si>
    <t>審判員は、試合開始前にベンチの選手を含めた登録全選手の用具の確認を行う。</t>
  </si>
  <si>
    <t>⑧</t>
  </si>
  <si>
    <t>試合球は4号検定球とし、予選リーグにおいては、各チームの持ち寄りとする。決勝トーナメントにおいては、本部で準備する。</t>
  </si>
  <si>
    <t>⑨</t>
  </si>
  <si>
    <r>
      <t>試合規則は、「</t>
    </r>
    <r>
      <rPr>
        <sz val="10"/>
        <color indexed="10"/>
        <rFont val="ＭＳ Ｐゴシック"/>
        <family val="3"/>
      </rPr>
      <t>2021/22</t>
    </r>
    <r>
      <rPr>
        <sz val="10"/>
        <rFont val="ＭＳ Ｐゴシック"/>
        <family val="3"/>
      </rPr>
      <t>(公財)日本サッカー協会競技規則」及び「8人制サッカー競技規則」に準じる。
また、本大会の競技等に関し必要な事項は、以下のとおりとする。</t>
    </r>
  </si>
  <si>
    <t>⑩</t>
  </si>
  <si>
    <t>競技場の大きさは，縦68m・横45～50mとする。センターサークル半径7m・ゴールエリア4m・ペナルティ
エリア12m・ペナルティマーク8m・アーク7m とし、少年用ゴールを使用する。</t>
  </si>
  <si>
    <t>⑪</t>
  </si>
  <si>
    <t xml:space="preserve">大会期間中、累計2回の警告または、退場及び退席を宣告された選手等は次回戦1試合に出場できず、それ以降の処置については本大会の規律・フェアプレー委員会で決定する。
(累積は、地区大会→予選リーグ→決勝トーナメントと持ち越す。)
</t>
  </si>
  <si>
    <t>⑫</t>
  </si>
  <si>
    <t xml:space="preserve">大会中，天候によっては主審の判断で「飲水タイム」をとることもある。また、雷雨など，試合の続行が不可能だと判断される場合、中断他、大会本部にて協議・判断し、臨機応変な対応をとる。
※ピッチサイドにスクイズボトル等は置かない。飲料のボトルは個人専用のものを使用し、共用しない。
</t>
  </si>
  <si>
    <t>⑬</t>
  </si>
  <si>
    <t>大会期間中は、大分県協会所属有資格者(3級以上)の審判を必ず1名以上帯同させ、
審判員(主審・副審)は、審判服を着用の上、必ず資格ワッペンを付けること。</t>
  </si>
  <si>
    <t>(11)参加方法</t>
  </si>
  <si>
    <t xml:space="preserve">申込先 </t>
  </si>
  <si>
    <r>
      <t xml:space="preserve"> KICK OFF(JFA ID)の大会(大会への参加申込)より申込願います(地区大会兼用)。
</t>
    </r>
    <r>
      <rPr>
        <sz val="10"/>
        <color indexed="10"/>
        <rFont val="ＭＳ Ｐゴシック"/>
        <family val="3"/>
      </rPr>
      <t>締め切り：4/27(水) 21:00  までに申込完了のこと。以降の変更は認めない。</t>
    </r>
    <r>
      <rPr>
        <sz val="10"/>
        <rFont val="ＭＳ Ｐゴシック"/>
        <family val="3"/>
      </rPr>
      <t xml:space="preserve">
</t>
    </r>
    <r>
      <rPr>
        <b/>
        <sz val="10"/>
        <color indexed="10"/>
        <rFont val="ＭＳ Ｐゴシック"/>
        <family val="3"/>
      </rPr>
      <t>※県大会出場チームについては、6月22日(水)21:00まで変更を認める。</t>
    </r>
  </si>
  <si>
    <t>ジュニア委員会HPに掲載している【大会エントリーガイド】を必ず確認し、対応をお願いします。</t>
  </si>
  <si>
    <t>※修正及び変更手続きについては、Web大会参加申込の問い合わせ先まで連絡の事。</t>
  </si>
  <si>
    <t>参加料　</t>
  </si>
  <si>
    <r>
      <rPr>
        <b/>
        <sz val="10"/>
        <rFont val="ＭＳ Ｐゴシック"/>
        <family val="3"/>
      </rPr>
      <t>10，000円</t>
    </r>
    <r>
      <rPr>
        <sz val="10"/>
        <rFont val="ＭＳ Ｐゴシック"/>
        <family val="3"/>
      </rPr>
      <t>　</t>
    </r>
  </si>
  <si>
    <r>
      <t>※県大会の参加費振り込み期限は</t>
    </r>
    <r>
      <rPr>
        <sz val="10"/>
        <color indexed="10"/>
        <rFont val="ＭＳ Ｐゴシック"/>
        <family val="3"/>
      </rPr>
      <t>6/22(水)15:00</t>
    </r>
    <r>
      <rPr>
        <sz val="10"/>
        <rFont val="ＭＳ Ｐゴシック"/>
        <family val="3"/>
      </rPr>
      <t>までとする</t>
    </r>
  </si>
  <si>
    <t>【振込先】　</t>
  </si>
  <si>
    <t>大分銀行　大分銀行　南支店　普通　7537028　※振込は必ずチーム名で行う　</t>
  </si>
  <si>
    <t>一般社団法人　大分県サッカー協会　代表理事　大場俊二</t>
  </si>
  <si>
    <t>日時:コロナ禍により、各地域委員長によるリモート抽選形式にて組合せを決定する。</t>
  </si>
  <si>
    <t>場所:上記</t>
  </si>
  <si>
    <t>(12)そ  の  他</t>
  </si>
  <si>
    <r>
      <t>同じ選手が、違うチームで登録及び出場はできない。
移籍選手含め、</t>
    </r>
    <r>
      <rPr>
        <sz val="10"/>
        <color indexed="10"/>
        <rFont val="ＭＳ Ｐゴシック"/>
        <family val="3"/>
      </rPr>
      <t>4月27日</t>
    </r>
    <r>
      <rPr>
        <sz val="10"/>
        <rFont val="ＭＳ Ｐゴシック"/>
        <family val="3"/>
      </rPr>
      <t>までに選手登録及び移籍手続きが完了し、WEBエントリー申請ができることとする。
加えて、年間を通じて同じチームで活動するチームであることとする。</t>
    </r>
  </si>
  <si>
    <t>大会期間中は、常に選手証及び指導者資格証、審判資格証、もしくはそれぞれの電子証/電子証の写しを携帯し、必要に応じて提示すること。指導者資格のない指導者は本人確認できる証書(運転免許証など)を提示すること。</t>
  </si>
  <si>
    <t>マッチコーディネーションミーティング(MCM)は、予選リーグの各パート第1試合開始70分前(9:20 or 10:20)に、3チーム同時に行い、決勝トーナメントでは、各チーム第1試合の70分前に行うものとする。以降は、次回戦進出チームのみ試合終了後にMCMを行う。その際、チーム代表者は、必ず選手証・指導者資格証及びユニフォームを持参(FP/GKの正副全て現物で確認。写真等不可。)すること。また、大会参加申込書(エントリー表)を本部より受け取り、各試合毎に1部作成し、本部に提出すること。コロナウィルス感染防止のため、ユニフォームの決定等できるだけ簡素に行う。各チームの指導者は事前に配布する資料を確認し、本部の指示に従うこと。</t>
  </si>
  <si>
    <t>試合開始10分前までに選手証・指導者証と本人の確認を本部にて完了しておくこと。</t>
  </si>
  <si>
    <t>ユニフォーム(ソックスも含む)は、正・副ですべて異色のものを用意(厳守)し、どちらとも背・胸番号は選手本人と一致すること。</t>
  </si>
  <si>
    <t>※番号は胸と背中に必ず明記する事とし、パンツの前面にもあるのが望ましい。</t>
  </si>
  <si>
    <t>※番号は1～16までの通し番号とするのが望ましい。</t>
  </si>
  <si>
    <t>※シャツの色彩は、審判員が通常着用する黒色と明確に判別し得るものでなければならない。</t>
  </si>
  <si>
    <t>※ユニホームの下にアンダーシャツを着用する際は、チームで統一されたものである事。</t>
  </si>
  <si>
    <t>※アンダーショーツおよびタイツは、同一チームの競技者が着用する場合、同色のものとする。</t>
  </si>
  <si>
    <t>※広告表示については、ユニホーム規定により承認された場合のみ認める。</t>
  </si>
  <si>
    <t>※JFA規約 ユニホームの既定 第5条(7)その他②に明記されているとおり、「チームは，各国代表チーム
　及びプロクラブチームのレプリカを着用して公式競技会に出場することはできない」こととする。</t>
  </si>
  <si>
    <t>出場選手の保護者の承諾は、必ず取り付けておくこと。</t>
  </si>
  <si>
    <t>応援のマナーや会場の清掃については、各チームにおいて責任を持つこと。</t>
  </si>
  <si>
    <t>○戦術的指示はテクニカルエリア内からその都度ただ1人の引率指導者が伝えることができる。</t>
  </si>
  <si>
    <t>○特に、相手チーム・審判に対する誹謗・中傷は固く禁じる。</t>
  </si>
  <si>
    <t>○チームは本部席側に椅子を置いてベンチを設定し、グラウンドを挟んで後援会等の応援席とすること。</t>
  </si>
  <si>
    <t>○近況のコロナ感染状況に応じて（各関係機関からの通知を含め）、会場入場者数の制限を行う場合がある。</t>
  </si>
  <si>
    <t>○駐車場における椅子を置くなどの場所取りは絶対にしないこと。(撤去し本部で預かります)</t>
  </si>
  <si>
    <t>○駐車証には必ずチーム名を明記し、駐車時はダッシュボード上などはっきりと見える場所に掲示すること。</t>
  </si>
  <si>
    <t>○駐車場内外における駐車のトラブルについて、大会本部はその責任を一切負わない。</t>
  </si>
  <si>
    <t>「個人情報保護法案」の趣旨に沿って、個人情報を取り扱う。
大会登録書は、本大会においてプログラム及び事務局とチーム間の連絡手段、選手チェックに利用し、漏洩のないように万全の管理を行う。チーム代表者は以下の点を確認の上、申し込むこととし、名簿が提出された時点で選手及び保護者が同意されたものとして取り扱う。</t>
  </si>
  <si>
    <t>(1)個人情報を大分県サッカー協会ジュニア委員会に提出し、標記大会に出場することに同意する。</t>
  </si>
  <si>
    <t>(2)提出した名簿をジュニア委員会がチームとの連絡、及び選手チェックに利用することに同意する。</t>
  </si>
  <si>
    <t>(3)提出した名簿をラビットカップの大会冊子に掲載すること、また試合中の写真を次回大会冊子に
    掲載することに同意する。</t>
  </si>
  <si>
    <t>本大会中、その他に記載されている事項を含め、大会規律違反と見なされる行為があった場合には、
当該チームに厳重注意を行うとともに、その程度によっては大会本部にて規律委員会を開き、大会の
出場取り消しを含め、ペナルティを科することもある。</t>
  </si>
  <si>
    <t>7月2日（土）8：50～大分スポーツ公園 昭和電工サッカー・ラグビー場Bコートにて開会式を行いますので、会場対象のチームの関係者は参加願います。また、閉会式は、7月3日（日）の決勝戦終了後に行いますので、優勝・準優勝・3位チームの関係者は参加願います。但し、コロナ感染状況に応じて開閉会式の簡素化など対策を行う場合がございますのでご理解願います。</t>
  </si>
  <si>
    <r>
      <t>流行性疾病、感染症等の事情により大会に出場できなくなった場合は速やかに大会事務局に連絡す
る事。</t>
    </r>
    <r>
      <rPr>
        <u val="single"/>
        <sz val="10"/>
        <rFont val="ＭＳ Ｐゴシック"/>
        <family val="3"/>
      </rPr>
      <t>なお、チームが不参加の場合でも審判割当の責任は果たす事とする。</t>
    </r>
  </si>
  <si>
    <t>コロナウイルス感染防止のため、必要事項を記入した参加者名簿を大会当日に大会本部まで提出すること。
大会参加に際し、大会開催時において感染者が出た場合は体調管理のためのチェックシートの提出を求め
る場合があることを了承し、チーム責任者が速やかに対応できるように準備しておくこと。特に、換気の悪い場所に留まらない(密閉を避け)、多数の人が集まらない(密集を避け)、間近での会話・発声を行わない(密接を避け)を守り、会場での手洗い(消毒)、　うがいを選手に指示、励行すること。保護者等応援する方についてはマスクの着用をお願いいたします。各会場とも芝(ピッチ)の上からの応援はご遠慮ください。また、密にならないよう間隔を十分にとるなど感染対策にご協力ください。</t>
  </si>
  <si>
    <t xml:space="preserve">事務手続き簡素化のため，大会組合せ・日程等の連絡は，大分県サッカー協会HPで行う。
</t>
  </si>
  <si>
    <r>
      <t>各種大会参加者名簿</t>
    </r>
    <r>
      <rPr>
        <b/>
        <sz val="12"/>
        <color theme="1"/>
        <rFont val="Meiryo UI"/>
        <family val="3"/>
      </rPr>
      <t>（</t>
    </r>
    <r>
      <rPr>
        <b/>
        <u val="single"/>
        <sz val="12"/>
        <color theme="1"/>
        <rFont val="Meiryo UI"/>
        <family val="3"/>
      </rPr>
      <t>※新型コロナウイルス感染予防対策のため、必ず本部へ提出願います。</t>
    </r>
    <r>
      <rPr>
        <b/>
        <sz val="12"/>
        <color theme="1"/>
        <rFont val="Meiryo UI"/>
        <family val="3"/>
      </rPr>
      <t>）</t>
    </r>
  </si>
  <si>
    <t>チーム名＿漢字</t>
  </si>
  <si>
    <t>大会</t>
  </si>
  <si>
    <t>年</t>
  </si>
  <si>
    <t>月</t>
  </si>
  <si>
    <t>日</t>
  </si>
  <si>
    <t>曜</t>
  </si>
  <si>
    <t>大分JFC</t>
  </si>
  <si>
    <t>期日</t>
  </si>
  <si>
    <t>R</t>
  </si>
  <si>
    <t>土</t>
  </si>
  <si>
    <t>曜日</t>
  </si>
  <si>
    <t>明野北フットボールクラブ</t>
  </si>
  <si>
    <t>OFA U10/11リーグ</t>
  </si>
  <si>
    <t>大在東グラウンド</t>
  </si>
  <si>
    <t>大会名</t>
  </si>
  <si>
    <t>OFA U-11サッカー選手権県大会</t>
  </si>
  <si>
    <t>大分SP</t>
  </si>
  <si>
    <t>明野西ＪＦＣ</t>
  </si>
  <si>
    <t>OFA U12リーグ</t>
  </si>
  <si>
    <t>火</t>
  </si>
  <si>
    <t>西部グラウンド</t>
  </si>
  <si>
    <t>感染対策責任者</t>
  </si>
  <si>
    <t>大分一郎</t>
  </si>
  <si>
    <t>電話番号</t>
  </si>
  <si>
    <t>090</t>
  </si>
  <si>
    <t>0123</t>
  </si>
  <si>
    <t>明野東サッカースポーツ少年団</t>
  </si>
  <si>
    <t>キッズリーグ</t>
  </si>
  <si>
    <t>水</t>
  </si>
  <si>
    <t>七瀬川グラウンド</t>
  </si>
  <si>
    <t>ラビットカップ地区大会</t>
  </si>
  <si>
    <t>木</t>
  </si>
  <si>
    <t>南大分SP</t>
  </si>
  <si>
    <t>氏　　名</t>
  </si>
  <si>
    <t>学年</t>
  </si>
  <si>
    <t>参加者種別　※○印チェック</t>
  </si>
  <si>
    <t>当日の健康状態確認　※○印チェック</t>
  </si>
  <si>
    <t>ａｎｉｍｏｓｅｌｅｃｔ　ｆｏｏｔｂａｌｌ　ｃｌｕｂ　Ｕ－１２</t>
  </si>
  <si>
    <t>ラビットカップ県大会</t>
  </si>
  <si>
    <t>金</t>
  </si>
  <si>
    <t>上原グラウンド</t>
  </si>
  <si>
    <t>(選手のみ)</t>
  </si>
  <si>
    <t>指導者</t>
  </si>
  <si>
    <t>選手</t>
  </si>
  <si>
    <t>保護者</t>
  </si>
  <si>
    <t>検温結果</t>
  </si>
  <si>
    <t>体調</t>
  </si>
  <si>
    <t>ヴィンクラッソ大分ＦＣジュニア</t>
  </si>
  <si>
    <t>バーモントカップ</t>
  </si>
  <si>
    <t>日岡グラウンド</t>
  </si>
  <si>
    <t>℃</t>
  </si>
  <si>
    <t>良好</t>
  </si>
  <si>
    <t>／</t>
  </si>
  <si>
    <t>不良</t>
  </si>
  <si>
    <t>ヴェルスパ大分　Ｕ－１２</t>
  </si>
  <si>
    <t>OFA U-11サッカー選手権地区大会</t>
  </si>
  <si>
    <t>駄原球技場</t>
  </si>
  <si>
    <t>福岡二郎</t>
  </si>
  <si>
    <t>荏隈サッカースポーツ少年団</t>
  </si>
  <si>
    <t>野津原天空広場グラウンド</t>
  </si>
  <si>
    <t>宮崎三男</t>
  </si>
  <si>
    <t>MSS</t>
  </si>
  <si>
    <t>全日本 U-12サッカー選手権地区大会</t>
  </si>
  <si>
    <t>長崎四男</t>
  </si>
  <si>
    <t>ＦＣ　ＲＥＧＡＴＥ</t>
  </si>
  <si>
    <t>全日本 U-12サッカー選手権県大会</t>
  </si>
  <si>
    <t>〔　　　　　　　　　　　　　　〕小学校グラウンド</t>
  </si>
  <si>
    <t>福岡五子</t>
  </si>
  <si>
    <t>忠文堂杯</t>
  </si>
  <si>
    <t>鶴崎河川敷</t>
  </si>
  <si>
    <t>大分トリニータタートルズ</t>
  </si>
  <si>
    <t>九州ジュニア地区大会</t>
  </si>
  <si>
    <t>その他〔　　　　　　　　　　　　　　　　　　　　　　　　〕</t>
  </si>
  <si>
    <t>大在サッカースポーツ少年団</t>
  </si>
  <si>
    <t>九州ジュニア県大会</t>
  </si>
  <si>
    <t>大道サッカースポーツ少年団</t>
  </si>
  <si>
    <t>だいしんカップ</t>
  </si>
  <si>
    <t>鴛野サッカースポーツ少年団</t>
  </si>
  <si>
    <t>トレセン大会〔　　　　　　　　　　　　　　　　　　　　　〕</t>
  </si>
  <si>
    <t>賀来ジュニアサッカークラブ</t>
  </si>
  <si>
    <t>U9スポ少リーグ</t>
  </si>
  <si>
    <t>春日ＳＳＳ</t>
  </si>
  <si>
    <t>U10スポ少リーグ</t>
  </si>
  <si>
    <t>カティオーラフットボールクラブＵ－１２</t>
  </si>
  <si>
    <t>U11スポ少リーグ</t>
  </si>
  <si>
    <t>カティオーラフットボールクラブ（高城）</t>
  </si>
  <si>
    <t>スポ少新人戦</t>
  </si>
  <si>
    <t>カティオーラフットボールクラブ（松岡）</t>
  </si>
  <si>
    <t>カティオーラフットボールクラブ（大在）</t>
  </si>
  <si>
    <t>金池長浜サッカースポーツ少年団</t>
  </si>
  <si>
    <t>敷戸サッカースポーツ少年団</t>
  </si>
  <si>
    <t>城東サッカースポーツ少年団</t>
  </si>
  <si>
    <t>城南サッカースポーツ少年団</t>
  </si>
  <si>
    <t>碩田サッカースポーツ少年団</t>
  </si>
  <si>
    <t>寒田少年サッカークラブ</t>
  </si>
  <si>
    <t>滝尾下郡サッカースポーツ少年団</t>
  </si>
  <si>
    <t>田尻サッカースポーツ少年団</t>
  </si>
  <si>
    <t>鶴崎ＳＳＳ</t>
  </si>
  <si>
    <t>東陽フットボールクラブ</t>
  </si>
  <si>
    <t>西の台ＪＦＣ</t>
  </si>
  <si>
    <t>挾間ＪＦＣ</t>
  </si>
  <si>
    <t>判田サッカースポーツ少年団</t>
  </si>
  <si>
    <t>東大分サッカースポーツ少年団</t>
  </si>
  <si>
    <t>東稙田サッカースポーツ少年団</t>
  </si>
  <si>
    <t>戸次吉野ＳＳＳ</t>
  </si>
  <si>
    <t>豊府サッカースポーツ少年団</t>
  </si>
  <si>
    <t>三佐サッカースポーツ少年団</t>
  </si>
  <si>
    <t>特記事項</t>
  </si>
  <si>
    <t>南大分サッカー少年団</t>
  </si>
  <si>
    <t>一般社団法人大分県サッカー協会ジュニア委員会</t>
  </si>
  <si>
    <t>宗方サッカークラブ</t>
  </si>
  <si>
    <t>明治北ＳＳＣ</t>
  </si>
  <si>
    <t>桃園サッカースポーツ少年団</t>
  </si>
  <si>
    <t>森岡サッカースポーツ少年団</t>
  </si>
  <si>
    <t>八幡サッカースポーツ少年団</t>
  </si>
  <si>
    <t>由布川サッカースポーツ少年団</t>
  </si>
  <si>
    <t>横瀬西ＦＣ．ＲｏｓａＣｌａｒｏ</t>
  </si>
  <si>
    <t>稙田ＦＣサッカースポーツ少年団</t>
  </si>
  <si>
    <t>第11回 全日本不動産協会杯争奪U-12サッカー大会【ラビットカップ】大分県大会</t>
  </si>
  <si>
    <t>昭和電工サッカー・ラグビー場　A</t>
  </si>
  <si>
    <t>昭和電工サッカー・ラグビー場　B</t>
  </si>
  <si>
    <t>大分県サッカー協会人工芝グラウンド</t>
  </si>
  <si>
    <t>マッチコーディネーションミーティング</t>
  </si>
  <si>
    <t>マッチナンバー：</t>
  </si>
  <si>
    <t>組み合わせ左側チーム</t>
  </si>
  <si>
    <t>（</t>
  </si>
  <si>
    <t>市）</t>
  </si>
  <si>
    <t>ｖｓ</t>
  </si>
  <si>
    <t>組み合わせ右側チーム</t>
  </si>
  <si>
    <t>　予選リーグ会場：大分スポーツ公園 昭和電工サッカー・ラグビー場 B【北】【南】
　　　　　　　　　西部スポーツ交流ひろば「第1グラウンド(Aグラウンド)」【A】【B】</t>
  </si>
  <si>
    <t>　決勝トーナメント会場：大分スポーツ公園 昭和電工サッカー・ラグビー場 B【北】【南】</t>
  </si>
  <si>
    <t>２０２２年（令和４年）７月２日（土）・７月３日(日）</t>
  </si>
  <si>
    <t>予選L</t>
  </si>
  <si>
    <t>①10:30　②11:30　③12:30　④13:30　⑤14:30　⑥15:30</t>
  </si>
  <si>
    <t>決勝T</t>
  </si>
  <si>
    <t>①  9:30　②10:20　③11:10　④12:00　⑤14:10</t>
  </si>
  <si>
    <t xml:space="preserve"> 挨拶および出席者の確認</t>
  </si>
  <si>
    <t>主管協会（　一般社団法人　大分県サッカー協会　）</t>
  </si>
  <si>
    <t>a)</t>
  </si>
  <si>
    <t>マッチコミッショナー・・・・・・・・・・・</t>
  </si>
  <si>
    <t>氏</t>
  </si>
  <si>
    <t>b)</t>
  </si>
  <si>
    <t>ウェルフェアオフィサー</t>
  </si>
  <si>
    <t>・・・・・・・・・・・・・・・・・</t>
  </si>
  <si>
    <t>c)</t>
  </si>
  <si>
    <t>d)</t>
  </si>
  <si>
    <t>e)</t>
  </si>
  <si>
    <t>審判団</t>
  </si>
  <si>
    <t>主審・・・・・・・・・・・・・・</t>
  </si>
  <si>
    <t>副審１・・・・・・・・・・・・・・</t>
  </si>
  <si>
    <t>副審２・・・・・・・・・・・・・・・</t>
  </si>
  <si>
    <t>第4の審判員・・・・・・・・・・・・</t>
  </si>
  <si>
    <t>f)</t>
  </si>
  <si>
    <t>主管サッカー協会(司会進行）・・・・・・・・・・・・・・</t>
  </si>
  <si>
    <t>競技関連事項</t>
  </si>
  <si>
    <t>（1）</t>
  </si>
  <si>
    <t>累積警告選手の確認</t>
  </si>
  <si>
    <t>（本大会要項　（10）試合方法 ⑪）</t>
  </si>
  <si>
    <t>（2）</t>
  </si>
  <si>
    <t>ユニフォームの色の決定</t>
  </si>
  <si>
    <t>（3）</t>
  </si>
  <si>
    <t>試合登録メンバー（選手および役員）の確認</t>
  </si>
  <si>
    <t>（４）</t>
  </si>
  <si>
    <t>試合時間</t>
  </si>
  <si>
    <t>予選リーグは４０分とし、ハーフタイムのインターバル（前半終了から後半開始まで）は原則として１０
分とする。予選リーグにおける順位は、勝ち点(勝3、引分1、負0)・当該対戦・PKの順で決定する。
予選リーグにおいて、3チーム共に同率時の場合は、3人制のPK方式にて2連勝したチームが
次回戦進出とする。</t>
  </si>
  <si>
    <t>決勝トーナメントは３０分とし、ハーフタイムのインターバル（前半終了から後半開始まで）は原則
として５分とする。規定の競技時間内に勝敗の決しない場合、3人制のPK方式にて勝敗を決定する。
但し、決勝戦のみ１０分の延長戦を行い、それでも勝敗が決しない場合３人制のPK戦を行う。
＊インターバル＝延長戦に入る前：3分、ペナルティーキック方式に入る前：1分</t>
  </si>
  <si>
    <t>飲水タイムをとる場合は、「その他の理由」により空費された時間として追加する。</t>
  </si>
  <si>
    <t>アディッショナルタイムの標記:</t>
  </si>
  <si>
    <t>行う（表示用ボード）</t>
  </si>
  <si>
    <t>（5）</t>
  </si>
  <si>
    <t>競技者の数</t>
  </si>
  <si>
    <t>○ 試合開始時の人数は、8対8を原則とする。
○ 競技中、怪我人が出た場合は、交代要員から補充すること。
○ 退場者が出た場合は、交代要員から補充し、退場者のベンチ戻入は認めない。
○ 競技者の数がアンバランスになるのは、該当チームに交代要員がいなくなった時に限る。</t>
  </si>
  <si>
    <t>（6）</t>
  </si>
  <si>
    <t>選手の交代</t>
  </si>
  <si>
    <t>○ 競技開始前に登録した最大8名の交代要員の中から、自由な交代が認められ、交代して退いた競技者は
　交代要員となり、再び出場することができる。（交代の回数は制限されない。）
○ 交代は、ボールがインプレー中、アウトオブプレー中にかかわらず行うことができ、チームの指導者、
　もしくは選手は「第4審」に交代選手の番号を口頭で報告し、用具チェックを受けた後、交代ゾーンか
　ら行う。ただし、交代で退く競技者が負傷している場合は、主審の承認を得た上でどこからフィールド
　を離れてもよい。   また、ＧＫが交代する場合はアウトプレー時に主審を通じ行う。</t>
  </si>
  <si>
    <t>（7）</t>
  </si>
  <si>
    <t>チームベンチへの人数</t>
  </si>
  <si>
    <t>ベンチに入る指導者・選手は、あらかじめ明記した監督1名及びその他役職者２名の計３名（うち
1名はJFA公認指導者ライセンスを有すること。）・交代要員となる選手８名を最大とする。
※大会登録書（メンバー表）に記載された選手及び監督・役員以外のベンチ入りは認めない。</t>
  </si>
  <si>
    <t>（8）</t>
  </si>
  <si>
    <t>ウォーミングアップ</t>
  </si>
  <si>
    <t>***試合前***</t>
  </si>
  <si>
    <t>場所：</t>
  </si>
  <si>
    <t>各会場の指定された区域にて</t>
  </si>
  <si>
    <t>時間：</t>
  </si>
  <si>
    <t>ピッチ外：指定された区域にて</t>
  </si>
  <si>
    <t>ピッチ内：ゴール使用　前の試合のハーフタイムのみ</t>
  </si>
  <si>
    <t>ボール使用の可否：</t>
  </si>
  <si>
    <t>可</t>
  </si>
  <si>
    <t>***試合中***</t>
  </si>
  <si>
    <t>ベンチ横</t>
  </si>
  <si>
    <t>否</t>
  </si>
  <si>
    <t>着衣：</t>
  </si>
  <si>
    <t>交代要員の選手は、両チームのユニフォームおよび審判のユニフォームと明確に異なる色の着衣（ビブス等）を身につけること。</t>
  </si>
  <si>
    <t>（9）</t>
  </si>
  <si>
    <t>テクニカルエリア</t>
  </si>
  <si>
    <t>戦術的指示を与える際は、その都度ただ1名の役員(監督に限定されない)のみが、テクニカルエリア(ベンチの両端から１メ－トルとタッチラインから1メ－トル)内で行うこと。</t>
  </si>
  <si>
    <t xml:space="preserve">選手への厳しい叱責や体罰等があったと認められ，主審から一度注意を受けた後に再度同様な行為があった場合は，主審の判断により退席処分とし，それ以降はベンチからのコーチングを不可とする。それ以降の試合については，規律・フェアプレー委員会において協議し，処分することもある。
</t>
  </si>
  <si>
    <t>（10）</t>
  </si>
  <si>
    <t>選手のけがの治療</t>
  </si>
  <si>
    <t>レフェリ－が認める特別な場合でないかぎり、フィ－ルド内での医療処置は一切認められない。</t>
  </si>
  <si>
    <t>ケガをした選手が運び出されたり、主審の許可によりフィ－ルドを出ることが認められる場合、医療担当者は医療処置をフィ－ルドの外で行う。</t>
  </si>
  <si>
    <t>主審の指示を受けた場合にのみ、2名以内のチ－ム役員と担架がフィ－ルドに入ることができる。</t>
  </si>
  <si>
    <t>ゴ－ルキ－パ－がケガをした場合は試合を中断し、フィ－ルド内で手当てを受けることが許される。手当てが終わってから試合は再開される。</t>
  </si>
  <si>
    <t>負傷により出血した選手は、出血が止まったことを審判が確認し、主審の合図を受けてからフィールドに復帰することができる。</t>
  </si>
  <si>
    <t>負傷した選手が交代ゾーン以外からピッチを離れ、交替する場合は交替ゾーンから交替する選手は入場する。負傷した選手が治療をおえ、再度交替し入場する場合も交替ゾーンから行う。</t>
  </si>
  <si>
    <t>（11）</t>
  </si>
  <si>
    <t>選手の品行</t>
  </si>
  <si>
    <t>フェアプレー</t>
  </si>
  <si>
    <t>サッカーのイメージアップ</t>
  </si>
  <si>
    <t>ソックスを引き上げる</t>
  </si>
  <si>
    <t>シャツをショーツの中に入れる</t>
  </si>
  <si>
    <t>試合開始前および終了後のセレモニー</t>
  </si>
  <si>
    <t>（12）</t>
  </si>
  <si>
    <t>試合球</t>
  </si>
  <si>
    <t>「</t>
  </si>
  <si>
    <t>予選L：各チームにて準備</t>
  </si>
  <si>
    <t>」</t>
  </si>
  <si>
    <t>決勝T：本部にて準備</t>
  </si>
  <si>
    <t>（13）</t>
  </si>
  <si>
    <t>選手の用具</t>
  </si>
  <si>
    <t>用具及びメンバーチェック　　キックオフ10分前　</t>
  </si>
  <si>
    <t>シャツについては、胸番号/背番号必須で一致していることとし、色彩は、審判員が通常着用する黒色と明確に判別し得るものでなければならない。</t>
  </si>
  <si>
    <t>ユニフォームのデザイン、ロゴ等が異なっていても、本競技会主催者が認める場合、主たる色が同系色であれば着用することができる。</t>
  </si>
  <si>
    <t>ゴールキーパーのユニフォームについて、ショーツ、ソックスはフィールドプレーヤーと同色系でも良いものとする。</t>
  </si>
  <si>
    <t xml:space="preserve">ソックスにテープまたはその他の材質のものを貼り付ける、または外部に着用する場合、ソックスと同色でなくても良い。 </t>
  </si>
  <si>
    <t>アンダーシャツの色は問わない。ただし原則としてチーム内で同色のものを着用する。</t>
  </si>
  <si>
    <t>アンダーショーツおよびタイツの色は問わない。ただし原則としてチーム内で同色のものを着用する。</t>
  </si>
  <si>
    <t>すねあてを必ず着用</t>
  </si>
  <si>
    <t>ゴ－ルキ－パ－は、フィ－ルドの状態、天候によってはトラックスーツを着用しても良い</t>
  </si>
  <si>
    <t>（14）</t>
  </si>
  <si>
    <t>キックオフ前のセレモニー</t>
  </si>
  <si>
    <t>キックオフ5分前</t>
  </si>
  <si>
    <t>以下のように整列し、本部側に礼をした後、プレーの開始方法を確認する。（握手は行わない）</t>
  </si>
  <si>
    <t>《</t>
  </si>
  <si>
    <t>》</t>
  </si>
  <si>
    <t>＜審判団＞</t>
  </si>
  <si>
    <t>本部</t>
  </si>
  <si>
    <t>その他</t>
  </si>
  <si>
    <t>本大会要項（12）その他を、役員・保護者等に周知徹底願います。</t>
  </si>
  <si>
    <t>×</t>
  </si>
  <si>
    <t>累積警告・退場</t>
  </si>
  <si>
    <t>地区予選</t>
  </si>
  <si>
    <t>予選リーグ　（１試合目）</t>
  </si>
  <si>
    <t>予選リーグ　（2試合目）</t>
  </si>
  <si>
    <t>1回戦</t>
  </si>
  <si>
    <t>準決勝</t>
  </si>
  <si>
    <t>敗戦</t>
  </si>
  <si>
    <t>地区</t>
  </si>
  <si>
    <t>背番号</t>
  </si>
  <si>
    <t>氏名</t>
  </si>
  <si>
    <t>警告/退場</t>
  </si>
  <si>
    <t>内容</t>
  </si>
  <si>
    <t>警告</t>
  </si>
  <si>
    <t>反スポ</t>
  </si>
  <si>
    <t>ラフ</t>
  </si>
  <si>
    <t>組み合わせ</t>
  </si>
  <si>
    <t>「Aパート」</t>
  </si>
  <si>
    <t>「Cパート」</t>
  </si>
  <si>
    <t>A2</t>
  </si>
  <si>
    <t>リノス</t>
  </si>
  <si>
    <t>A1</t>
  </si>
  <si>
    <t>C1</t>
  </si>
  <si>
    <t>B2</t>
  </si>
  <si>
    <t>北郡坂ノ市</t>
  </si>
  <si>
    <t>G2</t>
  </si>
  <si>
    <t>横瀬</t>
  </si>
  <si>
    <t>D2</t>
  </si>
  <si>
    <t>ＫＩＮＧＳ</t>
  </si>
  <si>
    <t>C2</t>
  </si>
  <si>
    <t>スマイス　スポーツ</t>
  </si>
  <si>
    <t>A3</t>
  </si>
  <si>
    <t>C3</t>
  </si>
  <si>
    <t>E2</t>
  </si>
  <si>
    <t>大分トリニータ</t>
  </si>
  <si>
    <t>明治</t>
  </si>
  <si>
    <t>F2</t>
  </si>
  <si>
    <t>ドリームキッズ</t>
  </si>
  <si>
    <t>「Eパート」</t>
  </si>
  <si>
    <t>「Gパート」</t>
  </si>
  <si>
    <t>B3</t>
  </si>
  <si>
    <t>日岡</t>
  </si>
  <si>
    <t>E1</t>
  </si>
  <si>
    <t>G1</t>
  </si>
  <si>
    <t>H2</t>
  </si>
  <si>
    <t>ブルーウイング</t>
  </si>
  <si>
    <t>F1</t>
  </si>
  <si>
    <t>別保</t>
  </si>
  <si>
    <t>E3</t>
  </si>
  <si>
    <t>G3</t>
  </si>
  <si>
    <t>D1</t>
  </si>
  <si>
    <t>中津沖代</t>
  </si>
  <si>
    <t>「Bパート」</t>
  </si>
  <si>
    <t>「Dパート」</t>
  </si>
  <si>
    <t>B1</t>
  </si>
  <si>
    <t>ＦＣ中津</t>
  </si>
  <si>
    <t>ＯＫＹ山香</t>
  </si>
  <si>
    <t>D3</t>
  </si>
  <si>
    <t>H1</t>
  </si>
  <si>
    <t>別府ＦＣ．ミネルバ</t>
  </si>
  <si>
    <t>H3</t>
  </si>
  <si>
    <t>太陽ＳＣ大分西</t>
  </si>
  <si>
    <t>「Fパート」</t>
  </si>
  <si>
    <t>「Hパート」</t>
  </si>
  <si>
    <t>鶴岡Ｓ―ｐｌａｙ</t>
  </si>
  <si>
    <t>F3</t>
  </si>
  <si>
    <t>＜抽選方法＞</t>
  </si>
  <si>
    <t>Bブロック 9地区の各第1代表が8パートに分かれるように抽選。</t>
  </si>
  <si>
    <t>(まず、大分地区以外が全パートに入る事が前提で、開会式がある場合は、A1を選手宣誓とする。)</t>
  </si>
  <si>
    <t>２チーム出場の地区が、第1代表と決勝戦まで対戦しないように、左右のパートに分かれるように抽選。</t>
  </si>
  <si>
    <t>大分地区は、振込順にて抽選</t>
  </si>
  <si>
    <t>《予選リーグ日程》</t>
  </si>
  <si>
    <t>７月２日（土）</t>
  </si>
  <si>
    <t xml:space="preserve">8:00
</t>
  </si>
  <si>
    <t xml:space="preserve">サブB / 西部G人工芝　グラウンド設営
</t>
  </si>
  <si>
    <t>8:50</t>
  </si>
  <si>
    <t>開会式(各会場にて)
選手宣誓：東　Ｆ．Ｃ．(サブBのみ)</t>
  </si>
  <si>
    <t>9:20</t>
  </si>
  <si>
    <t xml:space="preserve">MCM(各会場第1試合ﾊﾟｰﾄ)
</t>
  </si>
  <si>
    <t>10:20</t>
  </si>
  <si>
    <t>MCM(各会場第2試合ﾊﾟｰﾄ)</t>
  </si>
  <si>
    <t>昭和電工ｻｯｶｰ･ﾗｸﾞﾋﾞｰ場　Bｺｰﾄ</t>
  </si>
  <si>
    <t>西部スポーツ交流ひろば「人工芝」</t>
  </si>
  <si>
    <t>開始時刻</t>
  </si>
  <si>
    <t>「南」コート</t>
  </si>
  <si>
    <t>「北」コート</t>
  </si>
  <si>
    <t>「A」コート</t>
  </si>
  <si>
    <t>「B」コート</t>
  </si>
  <si>
    <t>会場設営</t>
  </si>
  <si>
    <t>スマスポ</t>
  </si>
  <si>
    <t>KINGS</t>
  </si>
  <si>
    <t>トリニータ</t>
  </si>
  <si>
    <t>ドリキ</t>
  </si>
  <si>
    <t>ブルー</t>
  </si>
  <si>
    <t>ｺﾞｰﾙ運搬</t>
  </si>
  <si>
    <t>審判</t>
  </si>
  <si>
    <t>副審</t>
  </si>
  <si>
    <t>休　　　　　　憩</t>
  </si>
  <si>
    <t>＜予選リーグ組み合わせ・結果＞</t>
  </si>
  <si>
    <t>グループ</t>
  </si>
  <si>
    <t>【　A　】</t>
  </si>
  <si>
    <t>【　C　】</t>
  </si>
  <si>
    <t>【　B　】</t>
  </si>
  <si>
    <t>【　D　】</t>
  </si>
  <si>
    <t>【　E　】</t>
  </si>
  <si>
    <t>【　G　】</t>
  </si>
  <si>
    <t>【　F　】</t>
  </si>
  <si>
    <t>【　H　】</t>
  </si>
  <si>
    <t>【組合せ・時間割】</t>
  </si>
  <si>
    <t>コート</t>
  </si>
  <si>
    <t>対戦相手</t>
  </si>
  <si>
    <t>得失点</t>
  </si>
  <si>
    <t>１</t>
  </si>
  <si>
    <t>２</t>
  </si>
  <si>
    <t>勝点表</t>
  </si>
  <si>
    <t>勝</t>
  </si>
  <si>
    <t>分</t>
  </si>
  <si>
    <t>負</t>
  </si>
  <si>
    <t>Aパート</t>
  </si>
  <si>
    <t>敗</t>
  </si>
  <si>
    <t>得
点</t>
  </si>
  <si>
    <t>失
点</t>
  </si>
  <si>
    <t>勝
点</t>
  </si>
  <si>
    <t>勝点
順位</t>
  </si>
  <si>
    <t>得失
点差</t>
  </si>
  <si>
    <t>得失
順位</t>
  </si>
  <si>
    <t>ﾄｰﾀﾙ
順位</t>
  </si>
  <si>
    <t>Eパート</t>
  </si>
  <si>
    <t>星取表</t>
  </si>
  <si>
    <t>位</t>
  </si>
  <si>
    <t>Bパート</t>
  </si>
  <si>
    <t>Fパート</t>
  </si>
  <si>
    <t>Cパート</t>
  </si>
  <si>
    <t>Gパート</t>
  </si>
  <si>
    <t>Dパート</t>
  </si>
  <si>
    <t>Hパート</t>
  </si>
  <si>
    <t>大会規定により</t>
  </si>
  <si>
    <t>予選リーグ結果　報告用紙</t>
  </si>
  <si>
    <t>MC</t>
  </si>
  <si>
    <t>安東　幹雄</t>
  </si>
  <si>
    <t>前半</t>
  </si>
  <si>
    <t>）</t>
  </si>
  <si>
    <t>市原　宗久</t>
  </si>
  <si>
    <t>Welfare
Officer</t>
  </si>
  <si>
    <t>後半</t>
  </si>
  <si>
    <t>記録</t>
  </si>
  <si>
    <t>安東　信二</t>
  </si>
  <si>
    <t>PK</t>
  </si>
  <si>
    <t>＜Referee＞</t>
  </si>
  <si>
    <t>番号</t>
  </si>
  <si>
    <t>得点者</t>
  </si>
  <si>
    <t>R001256402</t>
  </si>
  <si>
    <t>R010501257</t>
  </si>
  <si>
    <t>R008515571</t>
  </si>
  <si>
    <t>R010281814</t>
  </si>
  <si>
    <t>AR1:</t>
  </si>
  <si>
    <t>R003677131</t>
  </si>
  <si>
    <t>R009670176</t>
  </si>
  <si>
    <t>AR2:</t>
  </si>
  <si>
    <t>R010542171</t>
  </si>
  <si>
    <t>4th:</t>
  </si>
  <si>
    <t>R001260557</t>
  </si>
  <si>
    <t>R010281856</t>
  </si>
  <si>
    <t>羽田野　亘</t>
  </si>
  <si>
    <t>中原　圭介</t>
  </si>
  <si>
    <t>松下　省吾</t>
  </si>
  <si>
    <t>R010120117</t>
  </si>
  <si>
    <t>R009546055</t>
  </si>
  <si>
    <t>R001254477</t>
  </si>
  <si>
    <t>R001252336</t>
  </si>
  <si>
    <t>R010189067</t>
  </si>
  <si>
    <t>R010552541</t>
  </si>
  <si>
    <t>R010074018</t>
  </si>
  <si>
    <t>R010599588</t>
  </si>
  <si>
    <t>R001262111</t>
  </si>
  <si>
    <t>佐々木　秀樹</t>
  </si>
  <si>
    <t>磯村　信一</t>
  </si>
  <si>
    <t>諌本　秀樹</t>
  </si>
  <si>
    <t>R003972391</t>
  </si>
  <si>
    <t>R010396589</t>
  </si>
  <si>
    <t>R006664864</t>
  </si>
  <si>
    <t>R009197594</t>
  </si>
  <si>
    <t>R006093835</t>
  </si>
  <si>
    <t>R007075261</t>
  </si>
  <si>
    <t>R010120124</t>
  </si>
  <si>
    <t>R001263590</t>
  </si>
  <si>
    <t>R010090347</t>
  </si>
  <si>
    <t>R001255616</t>
  </si>
  <si>
    <t>津守　一雄</t>
  </si>
  <si>
    <t>中野　観司郎</t>
  </si>
  <si>
    <t>大鶴　翔太郎</t>
  </si>
  <si>
    <t>R001251577</t>
  </si>
  <si>
    <t>R009554780</t>
  </si>
  <si>
    <t>R010599590</t>
  </si>
  <si>
    <t>R003972355</t>
  </si>
  <si>
    <t>R010538325</t>
  </si>
  <si>
    <t>R001263350</t>
  </si>
  <si>
    <t>R009460551</t>
  </si>
  <si>
    <t>R010376269</t>
  </si>
  <si>
    <t>R010027819</t>
  </si>
  <si>
    <t>R004326535</t>
  </si>
  <si>
    <t>《決勝トーナメント日程》</t>
  </si>
  <si>
    <t>７月３日（日）</t>
  </si>
  <si>
    <t>８：００　開場</t>
  </si>
  <si>
    <t>☆優勝</t>
  </si>
  <si>
    <t>☆準優勝</t>
  </si>
  <si>
    <t>・</t>
  </si>
  <si>
    <t>☆３位</t>
  </si>
  <si>
    <t>A-１位</t>
  </si>
  <si>
    <t>Match No：25
1　 前半 　1
0 　後半 　3</t>
  </si>
  <si>
    <t>E-１位</t>
  </si>
  <si>
    <t>B-１位</t>
  </si>
  <si>
    <t>Match No：26
0　 前半 　0
1 　後半 　0</t>
  </si>
  <si>
    <t>F-１位</t>
  </si>
  <si>
    <t>Match No:33</t>
  </si>
  <si>
    <t>14:10～ 北</t>
  </si>
  <si>
    <t>C-１位</t>
  </si>
  <si>
    <t>Match No：27
1　 前半 　0
0 　後半 　1
2    PK    1</t>
  </si>
  <si>
    <t>G-１位</t>
  </si>
  <si>
    <t>D-１位</t>
  </si>
  <si>
    <t>Match No：28
0　 前半 　0
0 　後半 　1</t>
  </si>
  <si>
    <t>H-１位</t>
  </si>
  <si>
    <t>Match No：25  負</t>
  </si>
  <si>
    <t>Match No：30
0　 前半 　0
1 　後半 　2</t>
  </si>
  <si>
    <t>Match No：26  負</t>
  </si>
  <si>
    <t>Match No：25 勝</t>
  </si>
  <si>
    <t>Match No：29
0　 前半 　0
0 　後半 　0
2   ＰＫ   0</t>
  </si>
  <si>
    <t>Match No：26 勝</t>
  </si>
  <si>
    <t>(2P</t>
  </si>
  <si>
    <t>K0)</t>
  </si>
  <si>
    <t>Match No:29</t>
  </si>
  <si>
    <t>Match No:31</t>
  </si>
  <si>
    <t>11:10～ 北</t>
  </si>
  <si>
    <t>12:00～ 北</t>
  </si>
  <si>
    <t>Match No：27  負</t>
  </si>
  <si>
    <t>Match No：32
0　 前半 　2
0 　後半 　0</t>
  </si>
  <si>
    <t>Match No：28  負</t>
  </si>
  <si>
    <t>Match No：27 勝</t>
  </si>
  <si>
    <t>Match No：31
1　 前半 　0
0 　後半 　0</t>
  </si>
  <si>
    <t>Match No：28 勝</t>
  </si>
  <si>
    <r>
      <rPr>
        <sz val="16"/>
        <color theme="1"/>
        <rFont val="Meiryo UI"/>
        <family val="3"/>
      </rPr>
      <t>１</t>
    </r>
    <r>
      <rPr>
        <sz val="12"/>
        <color theme="1"/>
        <rFont val="Meiryo UI"/>
        <family val="3"/>
      </rPr>
      <t>(2P</t>
    </r>
  </si>
  <si>
    <r>
      <rPr>
        <sz val="12"/>
        <color theme="1"/>
        <rFont val="Meiryo UI"/>
        <family val="3"/>
      </rPr>
      <t>K1)</t>
    </r>
    <r>
      <rPr>
        <sz val="16"/>
        <color theme="1"/>
        <rFont val="Meiryo UI"/>
        <family val="3"/>
      </rPr>
      <t>１</t>
    </r>
  </si>
  <si>
    <t>０</t>
  </si>
  <si>
    <t>Match No:25</t>
  </si>
  <si>
    <t>Match No:26</t>
  </si>
  <si>
    <t>Match No:27</t>
  </si>
  <si>
    <t>Match No:28</t>
  </si>
  <si>
    <t>9:30～ 南</t>
  </si>
  <si>
    <t>9:30～ 北</t>
  </si>
  <si>
    <t>10:20～ 南</t>
  </si>
  <si>
    <t>10:20～ 北</t>
  </si>
  <si>
    <t>休憩</t>
  </si>
  <si>
    <t>Match No：29 勝</t>
  </si>
  <si>
    <t>Match No：33
1　 前半 　1
1 　後半 　0</t>
  </si>
  <si>
    <t>Match No：31 勝</t>
  </si>
  <si>
    <t>Match No:30</t>
  </si>
  <si>
    <t>Match No:32</t>
  </si>
  <si>
    <t>11:10～ 南</t>
  </si>
  <si>
    <t>12:00～ 南</t>
  </si>
  <si>
    <t>閉会式</t>
  </si>
  <si>
    <t>決勝トーナメント結果　報告用紙</t>
  </si>
  <si>
    <t>Match No：25</t>
  </si>
  <si>
    <t>Match No：26</t>
  </si>
  <si>
    <t>R007003431</t>
  </si>
  <si>
    <t>R009460515</t>
  </si>
  <si>
    <t>R001265224</t>
  </si>
  <si>
    <t>R010396582</t>
  </si>
  <si>
    <t>Match No：27</t>
  </si>
  <si>
    <t>Match No：28</t>
  </si>
  <si>
    <t>榊　謙治</t>
  </si>
  <si>
    <t>R008537139</t>
  </si>
  <si>
    <t>R003256053</t>
  </si>
  <si>
    <t>R010027823</t>
  </si>
  <si>
    <t>R009197619</t>
  </si>
  <si>
    <t>R010214556</t>
  </si>
  <si>
    <t>Match No：30</t>
  </si>
  <si>
    <t>Match No：29</t>
  </si>
  <si>
    <t>Match No：32</t>
  </si>
  <si>
    <t>Match No：31</t>
  </si>
  <si>
    <t>公式記録</t>
  </si>
  <si>
    <t>Match No：</t>
  </si>
  <si>
    <t>大</t>
  </si>
  <si>
    <t>第11回
全日本不動産協会杯争奪U-12サッカー大会
【ラビットカップ】大分県大会</t>
  </si>
  <si>
    <t>第</t>
  </si>
  <si>
    <t>競技</t>
  </si>
  <si>
    <t>30分</t>
  </si>
  <si>
    <t>記</t>
  </si>
  <si>
    <t>会</t>
  </si>
  <si>
    <t>2回戦</t>
  </si>
  <si>
    <t>2022年　7月3日（日）</t>
  </si>
  <si>
    <t>時間</t>
  </si>
  <si>
    <t>録</t>
  </si>
  <si>
    <t>名</t>
  </si>
  <si>
    <t>決勝</t>
  </si>
  <si>
    <t>試合開始　14時10分～</t>
  </si>
  <si>
    <t>延長</t>
  </si>
  <si>
    <t>10分</t>
  </si>
  <si>
    <t>者</t>
  </si>
  <si>
    <t>大分ｽﾎﾟｰﾂ公園
昭和電工ｻｯｶｰ･ﾗｸﾞﾋﾞｰ場
　Bｺｰﾄ　北側</t>
  </si>
  <si>
    <t>天</t>
  </si>
  <si>
    <t>晴</t>
  </si>
  <si>
    <t>風</t>
  </si>
  <si>
    <t>強</t>
  </si>
  <si>
    <t>弱</t>
  </si>
  <si>
    <t>無</t>
  </si>
  <si>
    <t>芝</t>
  </si>
  <si>
    <t>状</t>
  </si>
  <si>
    <t>審</t>
  </si>
  <si>
    <t>主審</t>
  </si>
  <si>
    <t>第4の審判員</t>
  </si>
  <si>
    <t>曇</t>
  </si>
  <si>
    <t>気温</t>
  </si>
  <si>
    <t>大塚　浩司</t>
  </si>
  <si>
    <t>菊地　謙一</t>
  </si>
  <si>
    <t>矢羽田　崇</t>
  </si>
  <si>
    <t>場</t>
  </si>
  <si>
    <t>候</t>
  </si>
  <si>
    <t>雨</t>
  </si>
  <si>
    <t>湿度</t>
  </si>
  <si>
    <t>％</t>
  </si>
  <si>
    <t>態</t>
  </si>
  <si>
    <t>泥沼</t>
  </si>
  <si>
    <t>判</t>
  </si>
  <si>
    <t>朝比奈　義行</t>
  </si>
  <si>
    <t>【チーム名】</t>
  </si>
  <si>
    <t>kick off</t>
  </si>
  <si>
    <t>延前</t>
  </si>
  <si>
    <t>延後</t>
  </si>
  <si>
    <t>先</t>
  </si>
  <si>
    <t>後</t>
  </si>
  <si>
    <t>ＰＫ戦</t>
  </si>
  <si>
    <t>シュート（得点者は○印）</t>
  </si>
  <si>
    <t>学</t>
  </si>
  <si>
    <t>番</t>
  </si>
  <si>
    <t>合</t>
  </si>
  <si>
    <t>延</t>
  </si>
  <si>
    <t>前</t>
  </si>
  <si>
    <t>選</t>
  </si>
  <si>
    <t>手</t>
  </si>
  <si>
    <t>位置</t>
  </si>
  <si>
    <t>地区名</t>
  </si>
  <si>
    <t>大分市</t>
  </si>
  <si>
    <t>中津市</t>
  </si>
  <si>
    <t>計</t>
  </si>
  <si>
    <t>半</t>
  </si>
  <si>
    <t>号</t>
  </si>
  <si>
    <t>交替要員</t>
  </si>
  <si>
    <t>小計</t>
  </si>
  <si>
    <t>合計</t>
  </si>
  <si>
    <t>シュート数</t>
  </si>
  <si>
    <t>OUT</t>
  </si>
  <si>
    <t>→</t>
  </si>
  <si>
    <t>IN</t>
  </si>
  <si>
    <t>交代</t>
  </si>
  <si>
    <t>HT</t>
  </si>
  <si>
    <t>警告（Ｃ）・退場（Ｓ）など</t>
  </si>
  <si>
    <t>チーム
合計</t>
  </si>
  <si>
    <t>Ｇ</t>
  </si>
  <si>
    <t>Ｋ</t>
  </si>
  <si>
    <t>Ｃ</t>
  </si>
  <si>
    <t>直接</t>
  </si>
  <si>
    <t>ＦＫ</t>
  </si>
  <si>
    <t>間接</t>
  </si>
  <si>
    <t>Ｐ</t>
  </si>
  <si>
    <t>得　　点　　経　　過</t>
  </si>
  <si>
    <t>10 ～　S</t>
  </si>
  <si>
    <t>10  ∩S</t>
  </si>
  <si>
    <t>10  →  11 ∩S</t>
  </si>
  <si>
    <t xml:space="preserve"> </t>
  </si>
  <si>
    <t>《略号例》</t>
  </si>
  <si>
    <t>ドリブル</t>
  </si>
  <si>
    <t>～</t>
  </si>
  <si>
    <t>ゴロのパス</t>
  </si>
  <si>
    <t>浮き球</t>
  </si>
  <si>
    <t>∩</t>
  </si>
  <si>
    <t>混戦</t>
  </si>
  <si>
    <t>ヘディング</t>
  </si>
  <si>
    <t>H</t>
  </si>
  <si>
    <t>シュート</t>
  </si>
  <si>
    <t>S</t>
  </si>
  <si>
    <t>[警告理由]C1：反スポーツ的行為，C2：ラフプレー，C3：異議，C4：繰り返し違反，C5：遅延行為，C6：距離不足，C7：無許可入，C8：無許可去</t>
  </si>
  <si>
    <t>[退場理由]S1：著しく不正なプレー，S2：乱暴な行為，S3：つば吐き，S4：得点機会阻止(ハンド)，S5：得点機会阻止(他)，S6：侮辱的発言，CS：警告2回による退場</t>
  </si>
  <si>
    <t>戦評者氏名</t>
  </si>
  <si>
    <t>勤務先または所属</t>
  </si>
  <si>
    <t>　）</t>
  </si>
  <si>
    <t>M   C</t>
  </si>
  <si>
    <t>会　場　長</t>
  </si>
  <si>
    <t>主　　審</t>
  </si>
  <si>
    <t>＜警告選択肢＞</t>
  </si>
  <si>
    <t>＜会場＞</t>
  </si>
  <si>
    <t>＜役員名簿＞</t>
  </si>
  <si>
    <t>＜審判名簿＞</t>
  </si>
  <si>
    <t>昭和電工ｻｯｶｰ･ﾗｸﾞﾋﾞｰ場　Aｺｰﾄ</t>
  </si>
  <si>
    <t>山田　将来</t>
  </si>
  <si>
    <t>退場</t>
  </si>
  <si>
    <t>吐合　直樹</t>
  </si>
  <si>
    <t>警告(累積2枚目次節出場停止）</t>
  </si>
  <si>
    <t>異議</t>
  </si>
  <si>
    <t>大分県ｻｯｶｰ協会人工芝ｸﾞﾗｳﾝﾄﾞ</t>
  </si>
  <si>
    <t>仲野　昭博</t>
  </si>
  <si>
    <t>長門　崚太</t>
  </si>
  <si>
    <t>繰り返し</t>
  </si>
  <si>
    <t>福田　知行</t>
  </si>
  <si>
    <t>遅延</t>
  </si>
  <si>
    <t>白江　直樹</t>
  </si>
  <si>
    <t>距離</t>
  </si>
  <si>
    <t>酒井　隆宏</t>
  </si>
  <si>
    <t>無断入</t>
  </si>
  <si>
    <t>河野　千恵子</t>
  </si>
  <si>
    <t>寺次　良生</t>
  </si>
  <si>
    <t>無断去</t>
  </si>
  <si>
    <t>上野　貴士</t>
  </si>
  <si>
    <t>柳元　哲哉</t>
  </si>
  <si>
    <t>＜退場選択肢＞</t>
  </si>
  <si>
    <t>岡部　司</t>
  </si>
  <si>
    <t>奥田　和彦</t>
  </si>
  <si>
    <t>不正</t>
  </si>
  <si>
    <t>毛藤　勇三</t>
  </si>
  <si>
    <t>佐藤　慎二</t>
  </si>
  <si>
    <t>乱暴</t>
  </si>
  <si>
    <t>隅田　哲平</t>
  </si>
  <si>
    <t>田尻　貴志</t>
  </si>
  <si>
    <t>つば</t>
  </si>
  <si>
    <t>小石川　悟</t>
  </si>
  <si>
    <t>阻止(手)</t>
  </si>
  <si>
    <t>伊達　洋介</t>
  </si>
  <si>
    <t>宇髙　篤史</t>
  </si>
  <si>
    <t>阻止(他)</t>
  </si>
  <si>
    <t>唐下　直之</t>
  </si>
  <si>
    <t>野中　裕介</t>
  </si>
  <si>
    <t>暴言</t>
  </si>
  <si>
    <t>警告2</t>
  </si>
  <si>
    <t>金田　智朗</t>
  </si>
  <si>
    <t>秋吉　明</t>
  </si>
  <si>
    <t>清家　大介</t>
  </si>
  <si>
    <t>恵美　圭介</t>
  </si>
  <si>
    <t>石井　洋平</t>
  </si>
  <si>
    <t>内藤　翔悟</t>
  </si>
  <si>
    <t>甲斐　直樹</t>
  </si>
  <si>
    <t>大会参加チーム名</t>
  </si>
  <si>
    <t>ポジション</t>
  </si>
  <si>
    <t>選手名漢字</t>
  </si>
  <si>
    <t>選手名カナ</t>
  </si>
  <si>
    <t>男女区分</t>
  </si>
  <si>
    <t>選手登録番号</t>
  </si>
  <si>
    <t>キャプテン</t>
  </si>
  <si>
    <t>ＭＦＣ三花少年サッカー教室</t>
  </si>
  <si>
    <t>GK</t>
  </si>
  <si>
    <t>片岡　想友</t>
  </si>
  <si>
    <t>カタオカ　ソウスケ</t>
  </si>
  <si>
    <t>男子</t>
  </si>
  <si>
    <t>DF</t>
  </si>
  <si>
    <t>梶原　羽琉</t>
  </si>
  <si>
    <t>カジワラ　ハル</t>
  </si>
  <si>
    <t>MF</t>
  </si>
  <si>
    <t>建　来和</t>
  </si>
  <si>
    <t>タテ　ライト</t>
  </si>
  <si>
    <t>高村　琉琥</t>
  </si>
  <si>
    <t>タカムラ　リク</t>
  </si>
  <si>
    <t>本多　美月</t>
  </si>
  <si>
    <t>ホンダ　ミツキ</t>
  </si>
  <si>
    <t>女子小学生</t>
  </si>
  <si>
    <t>小野　颯真</t>
  </si>
  <si>
    <t>オノ　ソウマ</t>
  </si>
  <si>
    <t>椋野　凌生</t>
  </si>
  <si>
    <t>ムクノ　リュウ</t>
  </si>
  <si>
    <t>川井　新太</t>
  </si>
  <si>
    <t>カワイ　アラタ</t>
  </si>
  <si>
    <t>木下　琥太郎</t>
  </si>
  <si>
    <t>キノシタ　コタロウ</t>
  </si>
  <si>
    <t>武富　賢人</t>
  </si>
  <si>
    <t>タケトミ　ケント</t>
  </si>
  <si>
    <t>佐藤　理一</t>
  </si>
  <si>
    <t>サトウ　リイチ</t>
  </si>
  <si>
    <t>内海　太輝</t>
  </si>
  <si>
    <t>ウツミ　タイヨウ</t>
  </si>
  <si>
    <t>FW</t>
  </si>
  <si>
    <t>木下　誠喜</t>
  </si>
  <si>
    <t>キノシタ　マコ</t>
  </si>
  <si>
    <t>岡松　洸希</t>
  </si>
  <si>
    <t>オカマツ　コウキ</t>
  </si>
  <si>
    <t>小野　紘弥</t>
  </si>
  <si>
    <t>オノ　ヒロヤ</t>
  </si>
  <si>
    <t>上田　暖</t>
  </si>
  <si>
    <t>ウエダ　ハル</t>
  </si>
  <si>
    <t>若宮サッカースポーツ少年団</t>
  </si>
  <si>
    <t>綾部　瑛太</t>
  </si>
  <si>
    <t>アヤベ　エイタ</t>
  </si>
  <si>
    <t>末竹　光健</t>
  </si>
  <si>
    <t>スエタケ　コウケン</t>
  </si>
  <si>
    <t>千原　凛士</t>
  </si>
  <si>
    <t>チハラ　リント</t>
  </si>
  <si>
    <t>星野　佑弥</t>
  </si>
  <si>
    <t>ホシノ　ユウヤ</t>
  </si>
  <si>
    <t>千原　美月</t>
  </si>
  <si>
    <t>チハラ　ミヅキ</t>
  </si>
  <si>
    <t>鷲頭　時希</t>
  </si>
  <si>
    <t>ワシズ　トキ</t>
  </si>
  <si>
    <t>伊藤　朔麻</t>
  </si>
  <si>
    <t>イトウ　サクマ</t>
  </si>
  <si>
    <t>野瀬　幹太</t>
  </si>
  <si>
    <t>ノセ　カンタ</t>
  </si>
  <si>
    <t>矢幡　宝貴</t>
  </si>
  <si>
    <t>ヤワタ　タカキ</t>
  </si>
  <si>
    <t>石倉　玄登</t>
  </si>
  <si>
    <t>イシクラ　ゲント</t>
  </si>
  <si>
    <t>千原　蓮己</t>
  </si>
  <si>
    <t>チハラ　レンゴ</t>
  </si>
  <si>
    <t>加藤　剛志</t>
  </si>
  <si>
    <t>カトウ　ゴウシ</t>
  </si>
  <si>
    <t>黒木　丈介</t>
  </si>
  <si>
    <t>クロキ　ジョウスケ</t>
  </si>
  <si>
    <t>咸宜日隈ｓｃ</t>
  </si>
  <si>
    <t>城本　凰喜</t>
  </si>
  <si>
    <t>シロモト　コウキ</t>
  </si>
  <si>
    <t>幸　翔太</t>
  </si>
  <si>
    <t>ユキ　ショウタ</t>
  </si>
  <si>
    <t>高倉　里桜</t>
  </si>
  <si>
    <t>タカクラ　リオ</t>
  </si>
  <si>
    <t>安養寺　徳真</t>
  </si>
  <si>
    <t>アンヨウジ　トクマ</t>
  </si>
  <si>
    <t>梶原　慶</t>
  </si>
  <si>
    <t>カジワラ　ケイ</t>
  </si>
  <si>
    <t>財津　洸希</t>
  </si>
  <si>
    <t>ザイツ　コウキ</t>
  </si>
  <si>
    <t>幸　愛菜</t>
  </si>
  <si>
    <t>ユキ　アイナ</t>
  </si>
  <si>
    <t>唐木　耀誠</t>
  </si>
  <si>
    <t>カラキ　ヨウセイ</t>
  </si>
  <si>
    <t>城本　憂臥</t>
  </si>
  <si>
    <t>シロモト　ユウガ</t>
  </si>
  <si>
    <t>熊谷　颯真</t>
  </si>
  <si>
    <t>クマガエ　ソウマ</t>
  </si>
  <si>
    <t>三苫　浬</t>
  </si>
  <si>
    <t>ミトマ　カイリ</t>
  </si>
  <si>
    <t>森口　将</t>
  </si>
  <si>
    <t>モリグチ　マサル</t>
  </si>
  <si>
    <t>萬　結史</t>
  </si>
  <si>
    <t>ヨロズ　ユシ</t>
  </si>
  <si>
    <t>萬　善</t>
  </si>
  <si>
    <t>ヨロズ　ゼン</t>
  </si>
  <si>
    <t>清水　心叶</t>
  </si>
  <si>
    <t>シミズ　マナヤ</t>
  </si>
  <si>
    <t>伊藤　翠</t>
  </si>
  <si>
    <t>イトウ　スイ</t>
  </si>
  <si>
    <t>小山　清志郎</t>
  </si>
  <si>
    <t>コヤマ　セイシロウ</t>
  </si>
  <si>
    <t>尾形　智希</t>
  </si>
  <si>
    <t>オガタ　トモキ</t>
  </si>
  <si>
    <t>古賀　丈太郎</t>
  </si>
  <si>
    <t>コガ　ジョウタロウ</t>
  </si>
  <si>
    <t>井上　凛央</t>
  </si>
  <si>
    <t>イノウエ　リオ</t>
  </si>
  <si>
    <t>日野　快玲</t>
  </si>
  <si>
    <t>ヒノ　カイリ</t>
  </si>
  <si>
    <t>河津　瞬</t>
  </si>
  <si>
    <t>カワヅ　シュン</t>
  </si>
  <si>
    <t>石井　龍正</t>
  </si>
  <si>
    <t>イシイ　リュウセイ</t>
  </si>
  <si>
    <t>高瀬　風緒</t>
  </si>
  <si>
    <t>タカセ　カオ</t>
  </si>
  <si>
    <t>明里　心夢</t>
  </si>
  <si>
    <t>アカリ　シユウ</t>
  </si>
  <si>
    <t>串尾　遼馬</t>
  </si>
  <si>
    <t>クシオ　ハルマ</t>
  </si>
  <si>
    <t>今井　琉雅</t>
  </si>
  <si>
    <t>イマイ　リュウガ</t>
  </si>
  <si>
    <t>右近　剛聖</t>
  </si>
  <si>
    <t>ウコン　ゴウセイ</t>
  </si>
  <si>
    <t>松岡　蓮音</t>
  </si>
  <si>
    <t>マツオカ　レント</t>
  </si>
  <si>
    <t>白石　大也</t>
  </si>
  <si>
    <t>シライシ　ダイヤ</t>
  </si>
  <si>
    <t>高倉　佑心</t>
  </si>
  <si>
    <t>タカクラ　ユウシン</t>
  </si>
  <si>
    <t>三芳少年サッカースクール</t>
  </si>
  <si>
    <t>江田　聖流</t>
  </si>
  <si>
    <t>コウダ　セナ</t>
  </si>
  <si>
    <t>大鶴　拳志郎</t>
  </si>
  <si>
    <t>オオツル　ケンシロウ</t>
  </si>
  <si>
    <t>佐藤　煌汰</t>
  </si>
  <si>
    <t>サトウ　コウタ</t>
  </si>
  <si>
    <t>江藤　隆太</t>
  </si>
  <si>
    <t>エトウ　リュウタ</t>
  </si>
  <si>
    <t>安田　悠人</t>
  </si>
  <si>
    <t>ヤスダ　ユウト</t>
  </si>
  <si>
    <t>高森　優暉</t>
  </si>
  <si>
    <t>タカモリ　ユウキ</t>
  </si>
  <si>
    <t>高波　天惺</t>
  </si>
  <si>
    <t>タカナミ　テンセイ</t>
  </si>
  <si>
    <t>河津　壮真</t>
  </si>
  <si>
    <t>カワヅ　ソウマ</t>
  </si>
  <si>
    <t>山本　晴翔</t>
  </si>
  <si>
    <t>ヤマモト　ハルト</t>
  </si>
  <si>
    <t>椎原　佑大</t>
  </si>
  <si>
    <t>シイハラ　ユウタ</t>
  </si>
  <si>
    <t>江田　陽向</t>
  </si>
  <si>
    <t>コウダ　ヒュウガ</t>
  </si>
  <si>
    <t>藤原　竜心</t>
  </si>
  <si>
    <t>フジワラ　リュウシン</t>
  </si>
  <si>
    <t>藤原　聖希</t>
  </si>
  <si>
    <t>フジワラ　イブキ</t>
  </si>
  <si>
    <t>山本　真輝</t>
  </si>
  <si>
    <t>ヤマモト　マナキ</t>
  </si>
  <si>
    <t>松木　悠歩</t>
  </si>
  <si>
    <t>マツキ　ユウホ</t>
  </si>
  <si>
    <t>小山　泉粋</t>
  </si>
  <si>
    <t>コヤマ　センスイ</t>
  </si>
  <si>
    <t>玖珠サッカースポーツ少年団</t>
  </si>
  <si>
    <t>荒木　崇秀</t>
  </si>
  <si>
    <t>アラキ　タカヒデ</t>
  </si>
  <si>
    <t>清藤　槙斗</t>
  </si>
  <si>
    <t>キヨフジ　マキト</t>
  </si>
  <si>
    <t>佐古　慎之助</t>
  </si>
  <si>
    <t>サコ　シンノスケ</t>
  </si>
  <si>
    <t>小幡　玲治</t>
  </si>
  <si>
    <t>オバタ　レイジ</t>
  </si>
  <si>
    <t>吉武　龍玄</t>
  </si>
  <si>
    <t>ヨシタケ　リュウゲン</t>
  </si>
  <si>
    <t>安部　叶音</t>
  </si>
  <si>
    <t>アベ　カナト</t>
  </si>
  <si>
    <t>田中　冠舟</t>
  </si>
  <si>
    <t>タナカ　カンシュウ</t>
  </si>
  <si>
    <t>嶋末　大地</t>
  </si>
  <si>
    <t>シマスエ　ダイチ</t>
  </si>
  <si>
    <t>繁田　大雅</t>
  </si>
  <si>
    <t>シゲタ　タイガ</t>
  </si>
  <si>
    <t>宝珠　将吾</t>
  </si>
  <si>
    <t>ホウス　ショウゴ</t>
  </si>
  <si>
    <t>石井　信治朗</t>
  </si>
  <si>
    <t>イシイ　シンジロウ</t>
  </si>
  <si>
    <t>佐藤　龍輝</t>
  </si>
  <si>
    <t>サトウ　リュウキ</t>
  </si>
  <si>
    <t>衛藤　昇</t>
  </si>
  <si>
    <t>エトウ　ショウ</t>
  </si>
  <si>
    <t>西原　颯一</t>
  </si>
  <si>
    <t>ニシハラ　ソウイ</t>
  </si>
  <si>
    <t>江隈　涼星</t>
  </si>
  <si>
    <t>エグマ　リョウセイ</t>
  </si>
  <si>
    <t>山上　修吾</t>
  </si>
  <si>
    <t>ヤマカミ　シュウゴ</t>
  </si>
  <si>
    <t>ＦＣ．ＵＳＡ</t>
  </si>
  <si>
    <t>蜷木　貫人</t>
  </si>
  <si>
    <t>ニナギ　カント</t>
  </si>
  <si>
    <t>桐畑　奈儀徒</t>
  </si>
  <si>
    <t>キリハタ　ナギト</t>
  </si>
  <si>
    <t>長本　康太郎</t>
  </si>
  <si>
    <t>ナガモト　コウタロウ</t>
  </si>
  <si>
    <t>吉井　颯</t>
  </si>
  <si>
    <t>ヨシイ　ハヤテ</t>
  </si>
  <si>
    <t>新井　瑛人</t>
  </si>
  <si>
    <t>アライ　エイト</t>
  </si>
  <si>
    <t>大力　翼</t>
  </si>
  <si>
    <t>ダイリキ　ツバサ</t>
  </si>
  <si>
    <t>長田　旺祐</t>
  </si>
  <si>
    <t>ナガタ　オウスケ</t>
  </si>
  <si>
    <t>今永　瑛仁</t>
  </si>
  <si>
    <t>イマナガ　エイト</t>
  </si>
  <si>
    <t>長岡　宗志</t>
  </si>
  <si>
    <t>ナガオカ　ソウシ</t>
  </si>
  <si>
    <t>土谷　蓮音</t>
  </si>
  <si>
    <t>ツチヤ　レオン</t>
  </si>
  <si>
    <t>吉松　龍生</t>
  </si>
  <si>
    <t>ヨシマツ　リュウショウ</t>
  </si>
  <si>
    <t>光永　颯大</t>
  </si>
  <si>
    <t>ミツナガ　ソウタ</t>
  </si>
  <si>
    <t>豊永　優人</t>
  </si>
  <si>
    <t>トヨナガ　ユウト</t>
  </si>
  <si>
    <t>大力　隼翔</t>
  </si>
  <si>
    <t>ダイリキ　ハヤト</t>
  </si>
  <si>
    <t>吉田　幸永</t>
  </si>
  <si>
    <t>ヨシダ　ユキヒサ</t>
  </si>
  <si>
    <t>礒辺　翔</t>
  </si>
  <si>
    <t>イソベ　ショウ</t>
  </si>
  <si>
    <t>ＦＣ　ＷＡＹＳ</t>
  </si>
  <si>
    <t>神谷　日向汰</t>
  </si>
  <si>
    <t>カミヤ　ヒナタ</t>
  </si>
  <si>
    <t>小山　響生</t>
  </si>
  <si>
    <t>コヤマ　ヒビキ</t>
  </si>
  <si>
    <t>高木　龍斗</t>
  </si>
  <si>
    <t>タカキ　リュウト</t>
  </si>
  <si>
    <t>井手　湊太</t>
  </si>
  <si>
    <t>イデ　ソウタ</t>
  </si>
  <si>
    <t>佐藤　暖真</t>
  </si>
  <si>
    <t>サトウ　ハルマ</t>
  </si>
  <si>
    <t>末　悠人</t>
  </si>
  <si>
    <t>スエ　ユウト</t>
  </si>
  <si>
    <t>佐藤　稜真</t>
  </si>
  <si>
    <t>サトウ　リオマ</t>
  </si>
  <si>
    <t>梶原　健</t>
  </si>
  <si>
    <t>カジワラ　ケン</t>
  </si>
  <si>
    <t>吉田　光毅</t>
  </si>
  <si>
    <t>ヨシダ　コウキ</t>
  </si>
  <si>
    <t>福田　貴玄</t>
  </si>
  <si>
    <t>フクダ　タカトラ</t>
  </si>
  <si>
    <t>桑原　煌弥</t>
  </si>
  <si>
    <t>クワハラ　コウヤ</t>
  </si>
  <si>
    <t>小山　千慧</t>
  </si>
  <si>
    <t>コヤマ　チサト</t>
  </si>
  <si>
    <t>荒牧　悠斗</t>
  </si>
  <si>
    <t>アラマキ　ハルト</t>
  </si>
  <si>
    <t>岩男　一吹</t>
  </si>
  <si>
    <t>イワオ　イブキ</t>
  </si>
  <si>
    <t>三ヶ尻　悠莉</t>
  </si>
  <si>
    <t>ミカジリ　ユウリ</t>
  </si>
  <si>
    <t>副島　碧斗</t>
  </si>
  <si>
    <t>ソエジマ　アオト</t>
  </si>
  <si>
    <t>四日市南ＳＳＣ</t>
  </si>
  <si>
    <t>斉藤　大翔</t>
  </si>
  <si>
    <t>サイトウ　ヒロト</t>
  </si>
  <si>
    <t>川野　樹</t>
  </si>
  <si>
    <t>カワノ　イツキ</t>
  </si>
  <si>
    <t>是恒　夢月</t>
  </si>
  <si>
    <t>コレツネ　ユヅキ</t>
  </si>
  <si>
    <t>中間　思温</t>
  </si>
  <si>
    <t>ナカマ　シオン</t>
  </si>
  <si>
    <t>銅野　男児</t>
  </si>
  <si>
    <t>ドウノ　ダンジ</t>
  </si>
  <si>
    <t>合原　輝翔</t>
  </si>
  <si>
    <t>ゴウバル　ケント</t>
  </si>
  <si>
    <t>合原　竜毅</t>
  </si>
  <si>
    <t>ゴウバル　リュウキ</t>
  </si>
  <si>
    <t>井手　悠稀</t>
  </si>
  <si>
    <t>イデ　ユウマ</t>
  </si>
  <si>
    <t>川端　大稀</t>
  </si>
  <si>
    <t>カワバタ　ダイキ</t>
  </si>
  <si>
    <t>佐藤　瑛太</t>
  </si>
  <si>
    <t>サトウ　エイタ</t>
  </si>
  <si>
    <t>岡部　龍大</t>
  </si>
  <si>
    <t>オカベ　リュウダイ</t>
  </si>
  <si>
    <t>川端　一誓</t>
  </si>
  <si>
    <t>カワバタ　イッセイ</t>
  </si>
  <si>
    <t>四日市北ＪＦＣ</t>
  </si>
  <si>
    <t>長谷川　太一</t>
  </si>
  <si>
    <t>ハセガワ　タイチ</t>
  </si>
  <si>
    <t>奥　結斗</t>
  </si>
  <si>
    <t>オク　ユウト</t>
  </si>
  <si>
    <t>吉田　和季</t>
  </si>
  <si>
    <t>ヨシダ　カズ</t>
  </si>
  <si>
    <t>戸上　維人</t>
  </si>
  <si>
    <t>トウエ　ユイト</t>
  </si>
  <si>
    <t>中野　嬉生</t>
  </si>
  <si>
    <t>ナカノ　キオ</t>
  </si>
  <si>
    <t>庄部　ユリナ</t>
  </si>
  <si>
    <t>ショウブ　ユリナ</t>
  </si>
  <si>
    <t>安倍　翔空</t>
  </si>
  <si>
    <t>アベ　トア</t>
  </si>
  <si>
    <t>原田　将臣</t>
  </si>
  <si>
    <t>ハラダ　マサオミ</t>
  </si>
  <si>
    <t>河野　広空</t>
  </si>
  <si>
    <t>カワノ　ヒロタカ</t>
  </si>
  <si>
    <t>伴　龍之介</t>
  </si>
  <si>
    <t>バン　リュウノスケ</t>
  </si>
  <si>
    <t>きつきＦＣ</t>
  </si>
  <si>
    <t>衛藤　紘太</t>
  </si>
  <si>
    <t>エトウ　コウタ</t>
  </si>
  <si>
    <t>徳丸　緒憧</t>
  </si>
  <si>
    <t>トクマル　ショア</t>
  </si>
  <si>
    <t>亀井　凌</t>
  </si>
  <si>
    <t>カメイ　リョウ</t>
  </si>
  <si>
    <t>佐藤　心乃助</t>
  </si>
  <si>
    <t>サトウ　シンノスケ</t>
  </si>
  <si>
    <t>植村　清十郎</t>
  </si>
  <si>
    <t>ウエムラ　セイジュウロウ</t>
  </si>
  <si>
    <t>山本　璃彩</t>
  </si>
  <si>
    <t>ヤマモト　リア</t>
  </si>
  <si>
    <t>立脇　蓮惟</t>
  </si>
  <si>
    <t>タテワキ　レイ</t>
  </si>
  <si>
    <t>伊藤　天雅</t>
  </si>
  <si>
    <t>イトウ　テンマ</t>
  </si>
  <si>
    <t>内藤　士穏</t>
  </si>
  <si>
    <t>ナイトウ　シオン</t>
  </si>
  <si>
    <t>中矢　和綺</t>
  </si>
  <si>
    <t>ナカヤ　カズキ</t>
  </si>
  <si>
    <t>是永　愛翔</t>
  </si>
  <si>
    <t>コレナガ　マナト</t>
  </si>
  <si>
    <t>浅井　仁成</t>
  </si>
  <si>
    <t>アザイ　ジンセイ</t>
  </si>
  <si>
    <t>長谷雄　銀士</t>
  </si>
  <si>
    <t>ハセオ　ギンジ</t>
  </si>
  <si>
    <t>小松　俊介</t>
  </si>
  <si>
    <t>コマツ　シュンスケ</t>
  </si>
  <si>
    <t>安達　靖将</t>
  </si>
  <si>
    <t>アダチ　ヤスマサ</t>
  </si>
  <si>
    <t>今村　瑛太</t>
  </si>
  <si>
    <t>イマムラ　エイタ</t>
  </si>
  <si>
    <t>鹿野　亜衣莉</t>
  </si>
  <si>
    <t>カノ　アイリ</t>
  </si>
  <si>
    <t>後藤　大輝</t>
  </si>
  <si>
    <t>ゴトウ　マサキ</t>
  </si>
  <si>
    <t>上野　煌太</t>
  </si>
  <si>
    <t>ウエノ　オウタ</t>
  </si>
  <si>
    <t>川野　颯亮</t>
  </si>
  <si>
    <t>カワノ　ソウスケ</t>
  </si>
  <si>
    <t>相部　眞那斗</t>
  </si>
  <si>
    <t>アイベ　マナト</t>
  </si>
  <si>
    <t>西村　康</t>
  </si>
  <si>
    <t>ニシムラ　コウ</t>
  </si>
  <si>
    <t>八坂少年サッカークラブ</t>
  </si>
  <si>
    <t>亀井　璃月</t>
  </si>
  <si>
    <t>カメイ　リツキ</t>
  </si>
  <si>
    <t>工藤　健太</t>
  </si>
  <si>
    <t>クドウ　ケンタ</t>
  </si>
  <si>
    <t>南　翔真</t>
  </si>
  <si>
    <t>ミナミ　ショウマ</t>
  </si>
  <si>
    <t>中原　美羽</t>
  </si>
  <si>
    <t>ナカハラ　ミウ</t>
  </si>
  <si>
    <t>内田　直斗</t>
  </si>
  <si>
    <t>ウチダ　ナオト</t>
  </si>
  <si>
    <t>藤原　唯花</t>
  </si>
  <si>
    <t>フジワラ　ユイカ</t>
  </si>
  <si>
    <t>吉田　律</t>
  </si>
  <si>
    <t>ヨシダ　リツ</t>
  </si>
  <si>
    <t>冨来　柊介</t>
  </si>
  <si>
    <t>トミク　シュウスケ</t>
  </si>
  <si>
    <t>青野　良誠</t>
  </si>
  <si>
    <t>アオノ　リョウセイ</t>
  </si>
  <si>
    <t>藤原　羚佑</t>
  </si>
  <si>
    <t>フジワラ　リョウスケ</t>
  </si>
  <si>
    <t>中原　陽向</t>
  </si>
  <si>
    <t>ナカハラ　ヒナタ</t>
  </si>
  <si>
    <t>梶原　鷹介</t>
  </si>
  <si>
    <t>カジワラ　タカスケ</t>
  </si>
  <si>
    <t>三浦　稜汰</t>
  </si>
  <si>
    <t>ミウラ　リョウタ</t>
  </si>
  <si>
    <t>伊藤　有真</t>
  </si>
  <si>
    <t>イトウ　ユウマ</t>
  </si>
  <si>
    <t>遠江　一平</t>
  </si>
  <si>
    <t>トウエ　イッペイ</t>
  </si>
  <si>
    <t>国東ジュニアサッカークラブ</t>
  </si>
  <si>
    <t>中磨　龍信</t>
  </si>
  <si>
    <t>ナカマ　リュウシン</t>
  </si>
  <si>
    <t>難波　航平</t>
  </si>
  <si>
    <t>ナンバ　コウヘイ</t>
  </si>
  <si>
    <t>金子　笑也</t>
  </si>
  <si>
    <t>カネコ　エミヤ</t>
  </si>
  <si>
    <t>厚田　恵太郎</t>
  </si>
  <si>
    <t>アツダ　ケイタロウ</t>
  </si>
  <si>
    <t>玉田　悠人</t>
  </si>
  <si>
    <t>タマダ　ユウト</t>
  </si>
  <si>
    <t>箕迫　夏海</t>
  </si>
  <si>
    <t>ミイサコ　ナツミ</t>
  </si>
  <si>
    <t>萱嶋　颯太</t>
  </si>
  <si>
    <t>カヤシマ　ハヤタ</t>
  </si>
  <si>
    <t>吉武　真叶</t>
  </si>
  <si>
    <t>ヨシタケ　マサト</t>
  </si>
  <si>
    <t>板井　建親</t>
  </si>
  <si>
    <t>イタイ　ケンシン</t>
  </si>
  <si>
    <t>松本　絢斗</t>
  </si>
  <si>
    <t>マツモト　アヤト</t>
  </si>
  <si>
    <t>宮本　結生</t>
  </si>
  <si>
    <t>ミヤモト　ユウキ</t>
  </si>
  <si>
    <t>平野　嵩晴</t>
  </si>
  <si>
    <t>ヒラノ　スバル</t>
  </si>
  <si>
    <t>はやぶさフットボールクラブ</t>
  </si>
  <si>
    <t>竹本　徠希</t>
  </si>
  <si>
    <t>タケモト　ライキ</t>
  </si>
  <si>
    <t>竹本　琉希</t>
  </si>
  <si>
    <t>タケモト　リュウキ</t>
  </si>
  <si>
    <t>西本　楓</t>
  </si>
  <si>
    <t>ニシモト　カエデ</t>
  </si>
  <si>
    <t>上田　蒼空</t>
  </si>
  <si>
    <t>ウエダ　ソラ</t>
  </si>
  <si>
    <t>末廣　皇也</t>
  </si>
  <si>
    <t>スエヒロ　コウヤ</t>
  </si>
  <si>
    <t>喜久里　怜央</t>
  </si>
  <si>
    <t>キクザト　レオ</t>
  </si>
  <si>
    <t>須藤　羽海</t>
  </si>
  <si>
    <t>ストウ　ウミ</t>
  </si>
  <si>
    <t>吉﨑　斗立</t>
  </si>
  <si>
    <t>ヨシザキ　トウリ</t>
  </si>
  <si>
    <t>杉元　琉久</t>
  </si>
  <si>
    <t>スギモト　リク</t>
  </si>
  <si>
    <t>廣池　優楽</t>
  </si>
  <si>
    <t>ヒロイケ　ユラ</t>
  </si>
  <si>
    <t>岩本　啓誠</t>
  </si>
  <si>
    <t>イワモト　ケイセイ</t>
  </si>
  <si>
    <t>中村　輝人</t>
  </si>
  <si>
    <t>ナカムラ　アキヒト</t>
  </si>
  <si>
    <t>西本　凰太</t>
  </si>
  <si>
    <t>ニシモト　オウタ</t>
  </si>
  <si>
    <t>今西　叶</t>
  </si>
  <si>
    <t>イマニシ　カナト</t>
  </si>
  <si>
    <t>鶴居ＳＳＳ</t>
  </si>
  <si>
    <t>岩久　慶人</t>
  </si>
  <si>
    <t>イワヒサ　ケイト</t>
  </si>
  <si>
    <t>吉岡　愛惺</t>
  </si>
  <si>
    <t>ヨシオカ　アイセイ</t>
  </si>
  <si>
    <t>工藤　一颯</t>
  </si>
  <si>
    <t>クドウ　イブキ</t>
  </si>
  <si>
    <t>吉本　悠純樹</t>
  </si>
  <si>
    <t>ヨシモト　ユズキ</t>
  </si>
  <si>
    <t>波多野　勇利</t>
  </si>
  <si>
    <t>ハタノ　ハヤト</t>
  </si>
  <si>
    <t>尾川　勇冴</t>
  </si>
  <si>
    <t>オガワ　ユウゴ</t>
  </si>
  <si>
    <t>原　直人</t>
  </si>
  <si>
    <t>ハラ　ナオト</t>
  </si>
  <si>
    <t>稲吉　夢月</t>
  </si>
  <si>
    <t>イナヨシ　ムツキ</t>
  </si>
  <si>
    <t>松野　大地</t>
  </si>
  <si>
    <t>マツノ　ダイチ</t>
  </si>
  <si>
    <t>上川　颯太</t>
  </si>
  <si>
    <t>カミカワ　ソウタ</t>
  </si>
  <si>
    <t>上家　伯斗</t>
  </si>
  <si>
    <t>カミイエ　ハクト</t>
  </si>
  <si>
    <t>中川　友喜</t>
  </si>
  <si>
    <t>ナカガワ　トモキ</t>
  </si>
  <si>
    <t>舞弓　龍愛</t>
  </si>
  <si>
    <t>マユミ　リュウア</t>
  </si>
  <si>
    <t>坂内　陸斗</t>
  </si>
  <si>
    <t>サカウチ　リクト</t>
  </si>
  <si>
    <t>富山　太陽</t>
  </si>
  <si>
    <t>トミヤマ　タイヨウ</t>
  </si>
  <si>
    <t>迫　大輔</t>
  </si>
  <si>
    <t>サコ　ダイスケ</t>
  </si>
  <si>
    <t>福西　勝哉</t>
  </si>
  <si>
    <t>フクニシ　マサヤ</t>
  </si>
  <si>
    <t>麻生　結実</t>
  </si>
  <si>
    <t>アソウ　ユウミ</t>
  </si>
  <si>
    <t>荻本　拓摩</t>
  </si>
  <si>
    <t>オギモト　タクマ</t>
  </si>
  <si>
    <t>小野　雄稀</t>
  </si>
  <si>
    <t>オノ　ユウキ</t>
  </si>
  <si>
    <t>土居　蒔詩</t>
  </si>
  <si>
    <t>ドイ　マキシ</t>
  </si>
  <si>
    <t>南部　莞志</t>
  </si>
  <si>
    <t>ナンブ　カンジ</t>
  </si>
  <si>
    <t>廣瀬　遼真</t>
  </si>
  <si>
    <t>ヒロセ　ハルマ</t>
  </si>
  <si>
    <t>臼杵　奏珀</t>
  </si>
  <si>
    <t>ウスキ　ソウハク</t>
  </si>
  <si>
    <t>高橋　颯志</t>
  </si>
  <si>
    <t>タカハシ　ソウシ</t>
  </si>
  <si>
    <t>遠矢　楓斗</t>
  </si>
  <si>
    <t>トオヤ　フウト</t>
  </si>
  <si>
    <t>甲斐　晶</t>
  </si>
  <si>
    <t>カイ　アキラ</t>
  </si>
  <si>
    <t>鶴見ジュニアサッカークラブ</t>
  </si>
  <si>
    <t>江藤　碧依</t>
  </si>
  <si>
    <t>エトウ　アオイ</t>
  </si>
  <si>
    <t>平野　拓馬</t>
  </si>
  <si>
    <t>ヒラノ　タクマ</t>
  </si>
  <si>
    <t>中澤　愛</t>
  </si>
  <si>
    <t>ナカザワ　アイ</t>
  </si>
  <si>
    <t>日名子　隼弥</t>
  </si>
  <si>
    <t>ヒナゴ　シュンヤ</t>
  </si>
  <si>
    <t>矢治　颯馬</t>
  </si>
  <si>
    <t>ヤジ　ソウマ</t>
  </si>
  <si>
    <t>福本　明衣</t>
  </si>
  <si>
    <t>フクモト　メイ</t>
  </si>
  <si>
    <t>石井　悠暉</t>
  </si>
  <si>
    <t>イシイ　ユウキ</t>
  </si>
  <si>
    <t>山田　翔太</t>
  </si>
  <si>
    <t>ヤマダ　ショウタ</t>
  </si>
  <si>
    <t>諸富　神彪</t>
  </si>
  <si>
    <t>モロトミ　タイガ</t>
  </si>
  <si>
    <t>田川　喜隆</t>
  </si>
  <si>
    <t>タガワ　キリュウ</t>
  </si>
  <si>
    <t>中澤　幹翔</t>
  </si>
  <si>
    <t>ナカザワ　ミキト</t>
  </si>
  <si>
    <t>大関　樹</t>
  </si>
  <si>
    <t>オオゼキ　タツキ</t>
  </si>
  <si>
    <t>深浦　杏奈</t>
  </si>
  <si>
    <t>フカウラ　アンナ</t>
  </si>
  <si>
    <t>横飛　歩</t>
  </si>
  <si>
    <t>ヨコトビ　アユム</t>
  </si>
  <si>
    <t>前田　麟</t>
  </si>
  <si>
    <t>マエダ　リン</t>
  </si>
  <si>
    <t>大野　将幸</t>
  </si>
  <si>
    <t>オオノ　マサユキ</t>
  </si>
  <si>
    <t>緑丘サッカースポーツ少年団</t>
  </si>
  <si>
    <t>衛藤　颯</t>
  </si>
  <si>
    <t>エトウ　ハヤテ</t>
  </si>
  <si>
    <t>平松　篤仁</t>
  </si>
  <si>
    <t>ヒラマツ　アツヒト</t>
  </si>
  <si>
    <t>岡田　蒼央</t>
  </si>
  <si>
    <t>オカダ　アオ</t>
  </si>
  <si>
    <t>杉本　航聖</t>
  </si>
  <si>
    <t>スギモト　コウセイ</t>
  </si>
  <si>
    <t>杉本　勇聖</t>
  </si>
  <si>
    <t>スギモト　ユウセイ</t>
  </si>
  <si>
    <t>松尾　颯磨</t>
  </si>
  <si>
    <t>マツオ　ソウマ</t>
  </si>
  <si>
    <t>ジョーンズ　真秀</t>
  </si>
  <si>
    <t>ジョーンズ　マシュウ</t>
  </si>
  <si>
    <t>荒金　ひより</t>
  </si>
  <si>
    <t>アラカネ　ヒヨリ</t>
  </si>
  <si>
    <t>旗手　悠也</t>
  </si>
  <si>
    <t>ハタテ　ユウヤ</t>
  </si>
  <si>
    <t>坂田　碧琉</t>
  </si>
  <si>
    <t>サカタ　アイル</t>
  </si>
  <si>
    <t>加藤　海光</t>
  </si>
  <si>
    <t>カトウ　カイリ</t>
  </si>
  <si>
    <t>河野　凌駕</t>
  </si>
  <si>
    <t>カワノ　リョウガ</t>
  </si>
  <si>
    <t>江藤　蒼介</t>
  </si>
  <si>
    <t>エトウ　ソウスケ</t>
  </si>
  <si>
    <t>三村　英人</t>
  </si>
  <si>
    <t>ミムラ　エイト</t>
  </si>
  <si>
    <t>片岡　桂大</t>
  </si>
  <si>
    <t>カタオカ　ケイタ</t>
  </si>
  <si>
    <t>酒井　琉生</t>
  </si>
  <si>
    <t>サカイ　ルキ</t>
  </si>
  <si>
    <t>Ｓｈｙｎｔ　ＦＣ</t>
  </si>
  <si>
    <t>菅原　佑大</t>
  </si>
  <si>
    <t>スガハラ　ユウタ</t>
  </si>
  <si>
    <t>印山　法音</t>
  </si>
  <si>
    <t>インザン　ノリト</t>
  </si>
  <si>
    <t>植垣　輝</t>
  </si>
  <si>
    <t>ウエガキ　テル</t>
  </si>
  <si>
    <t>山口　颯太</t>
  </si>
  <si>
    <t>ヤマグチ　ソウタ</t>
  </si>
  <si>
    <t>川嶋　弘輝</t>
  </si>
  <si>
    <t>カワシマ　ミツキ</t>
  </si>
  <si>
    <t>渡辺　大起</t>
  </si>
  <si>
    <t>ワタナベ　タイキ</t>
  </si>
  <si>
    <t>恒成　洋吉</t>
  </si>
  <si>
    <t>ツネナリ　ヨウキチ</t>
  </si>
  <si>
    <t>松澤　駿之介</t>
  </si>
  <si>
    <t>マツザワ　シュンノスケ</t>
  </si>
  <si>
    <t>西尾　基希</t>
  </si>
  <si>
    <t>ニシオ　モトキ</t>
  </si>
  <si>
    <t>田崎　大夢</t>
  </si>
  <si>
    <t>タサキ　ヒロム</t>
  </si>
  <si>
    <t>光枝　愛哉</t>
  </si>
  <si>
    <t>ミツエダ　ヨシヤ</t>
  </si>
  <si>
    <t>川端　虎和</t>
  </si>
  <si>
    <t>カワバタ　トワ</t>
  </si>
  <si>
    <t>山﨑　恵美梨</t>
  </si>
  <si>
    <t>ヤマサキ　エミリ</t>
  </si>
  <si>
    <t>谷山　美紗</t>
  </si>
  <si>
    <t>タニヤマ　ミサ</t>
  </si>
  <si>
    <t>垂水　慈桜</t>
  </si>
  <si>
    <t>タルミ　ジオン</t>
  </si>
  <si>
    <t>和田少年サッカークラブ</t>
  </si>
  <si>
    <t>岩渕　大洋</t>
  </si>
  <si>
    <t>イワブチ　タイヨウ</t>
  </si>
  <si>
    <t>福田　雲雀</t>
  </si>
  <si>
    <t>フクダ　ヒバリ</t>
  </si>
  <si>
    <t>高橋　理夢</t>
  </si>
  <si>
    <t>タカハシ　リム</t>
  </si>
  <si>
    <t>田中　一颯</t>
  </si>
  <si>
    <t>タナカ　イブキ</t>
  </si>
  <si>
    <t>黒川　寛太</t>
  </si>
  <si>
    <t>クロカワ　カンタ</t>
  </si>
  <si>
    <t>倉方　颯杜</t>
  </si>
  <si>
    <t>クラカタ　ハヤト</t>
  </si>
  <si>
    <t>奥　蒼太</t>
  </si>
  <si>
    <t>オク　ソウタ</t>
  </si>
  <si>
    <t>江口　佳樹</t>
  </si>
  <si>
    <t>エグチ　ヨシキ</t>
  </si>
  <si>
    <t>古間地　櫻咲</t>
  </si>
  <si>
    <t>フルマジ　ハル</t>
  </si>
  <si>
    <t>邑本　一真</t>
  </si>
  <si>
    <t>ムラモト　カズマ</t>
  </si>
  <si>
    <t>小野田　楓真</t>
  </si>
  <si>
    <t>オノダ　フウマ</t>
  </si>
  <si>
    <t>宮脇　匠志</t>
  </si>
  <si>
    <t>ミヤワキ　ショウジ</t>
  </si>
  <si>
    <t>吉田　陽日冬</t>
  </si>
  <si>
    <t>ヨシダ　ヒビト</t>
  </si>
  <si>
    <t>岩渕　大陸</t>
  </si>
  <si>
    <t>イワブチ　タイリク</t>
  </si>
  <si>
    <t>山本　寿輝</t>
  </si>
  <si>
    <t>ヤマモト　トシキ</t>
  </si>
  <si>
    <t>岡山　太郎</t>
  </si>
  <si>
    <t>オカヤマ　タロウ</t>
  </si>
  <si>
    <t>森脇　琥太郎</t>
  </si>
  <si>
    <t>モリワキ　コタロウ</t>
  </si>
  <si>
    <t>松井　暖</t>
  </si>
  <si>
    <t>マツイ　ヒナタ</t>
  </si>
  <si>
    <t>岩下　大翔</t>
  </si>
  <si>
    <t>イワシタ　ヒロト</t>
  </si>
  <si>
    <t>堂上　春希</t>
  </si>
  <si>
    <t>ドウジョウ　ハルキ</t>
  </si>
  <si>
    <t>山本　光城</t>
  </si>
  <si>
    <t>ヤマモト　ミツキ</t>
  </si>
  <si>
    <t>山下　空大</t>
  </si>
  <si>
    <t>ヤマシタ　ソラタ</t>
  </si>
  <si>
    <t>馬出　蒼士</t>
  </si>
  <si>
    <t>ウマデ　ソウシ</t>
  </si>
  <si>
    <t>村上　弘樹</t>
  </si>
  <si>
    <t>ムラカミ　ヒロキ</t>
  </si>
  <si>
    <t>菅川　惺空</t>
  </si>
  <si>
    <t>スガワ　セラ</t>
  </si>
  <si>
    <t>山崎　歩夢</t>
  </si>
  <si>
    <t>ヤマサキ　アユム</t>
  </si>
  <si>
    <t>岩尾　岳東</t>
  </si>
  <si>
    <t>イワオ　ガクト</t>
  </si>
  <si>
    <t>元木　来哉</t>
  </si>
  <si>
    <t>モトキ　ライヤ</t>
  </si>
  <si>
    <t>堀内　瑛嗣</t>
  </si>
  <si>
    <t>ホリウチ　エイシ</t>
  </si>
  <si>
    <t>中津豊南ＦＣ</t>
  </si>
  <si>
    <t>出口　大雅</t>
  </si>
  <si>
    <t>デグチ　タイガ</t>
  </si>
  <si>
    <t>岩田　千諒</t>
  </si>
  <si>
    <t>イワタ　チアキ</t>
  </si>
  <si>
    <t>平山　聖佳</t>
  </si>
  <si>
    <t>ヒラヤマ　キヨカ</t>
  </si>
  <si>
    <t>貴戸　晟吾</t>
  </si>
  <si>
    <t>キド　セイゴ</t>
  </si>
  <si>
    <t>松尾　耕成</t>
  </si>
  <si>
    <t>マツオ　コウセイ</t>
  </si>
  <si>
    <t>森本　峻太</t>
  </si>
  <si>
    <t>モリモト　シュンタ</t>
  </si>
  <si>
    <t>近砂　宏信</t>
  </si>
  <si>
    <t>チカスナ　ヒロノブ</t>
  </si>
  <si>
    <t>宮崎　敦寛</t>
  </si>
  <si>
    <t>ミヤザキ　アツヒロ</t>
  </si>
  <si>
    <t>小洞　花穂</t>
  </si>
  <si>
    <t>コドウ　カホ</t>
  </si>
  <si>
    <t>野依　千夏</t>
  </si>
  <si>
    <t>ノヨリ　チナ</t>
  </si>
  <si>
    <t>中島　諒子</t>
  </si>
  <si>
    <t>ナカシマ　リョウコ</t>
  </si>
  <si>
    <t>菅野　悠翔</t>
  </si>
  <si>
    <t>スガノ　ユウト</t>
  </si>
  <si>
    <t>末廣　敬斗</t>
  </si>
  <si>
    <t>スエヒロ　ケイト</t>
  </si>
  <si>
    <t>古谷　柚季奈</t>
  </si>
  <si>
    <t>フルヤ　ユキナ</t>
  </si>
  <si>
    <t>秋吉　太耀</t>
  </si>
  <si>
    <t>アキヨシ　タイヨウ</t>
  </si>
  <si>
    <t>菅野　泰雅</t>
  </si>
  <si>
    <t>スガノ　タイガ</t>
  </si>
  <si>
    <t>川野　泰雅</t>
  </si>
  <si>
    <t>カワノ　タイガ</t>
  </si>
  <si>
    <t>竹尾　莞太朗</t>
  </si>
  <si>
    <t>タケオ　カンタロウ</t>
  </si>
  <si>
    <t>飯干　響</t>
  </si>
  <si>
    <t>イイホシ　ヒビキ</t>
  </si>
  <si>
    <t>石川　怜旺</t>
  </si>
  <si>
    <t>イシカワ　レオ</t>
  </si>
  <si>
    <t>門田　一路</t>
  </si>
  <si>
    <t>カドタ　イチロ</t>
  </si>
  <si>
    <t>松下　颯真</t>
  </si>
  <si>
    <t>マツシタ　ソウマ</t>
  </si>
  <si>
    <t>笹原　翔太郎</t>
  </si>
  <si>
    <t>ササハラ　ショウタロウ</t>
  </si>
  <si>
    <t>江田　博太朗</t>
  </si>
  <si>
    <t>コウダ　ヒロタロウ</t>
  </si>
  <si>
    <t>向田　颯太郎</t>
  </si>
  <si>
    <t>ムコウダ　ソウタロウ</t>
  </si>
  <si>
    <t>高比良　飛吹</t>
  </si>
  <si>
    <t>タカヒラ　イブキ</t>
  </si>
  <si>
    <t>堀部　翔太</t>
  </si>
  <si>
    <t>ホリベ　ショウタ</t>
  </si>
  <si>
    <t>田中　勇輔</t>
  </si>
  <si>
    <t>タナカ　ユウスケ</t>
  </si>
  <si>
    <t>白石　大翔</t>
  </si>
  <si>
    <t>シライシ　ヒロト</t>
  </si>
  <si>
    <t>守口　輝哉</t>
  </si>
  <si>
    <t>モリグチ　ライヤ</t>
  </si>
  <si>
    <t>笠原　惇希</t>
  </si>
  <si>
    <t>カサハラ　アツキ</t>
  </si>
  <si>
    <t>小崎　大翔</t>
  </si>
  <si>
    <t>コザキ　ヒロト</t>
  </si>
  <si>
    <t>山口　律</t>
  </si>
  <si>
    <t>ヤマグチ　リツ</t>
  </si>
  <si>
    <t>池田　響絆</t>
  </si>
  <si>
    <t>イケダ　ヒビキ</t>
  </si>
  <si>
    <t>農上　一護</t>
  </si>
  <si>
    <t>ノウガミ　イチゴ</t>
  </si>
  <si>
    <t>阿南　柊人</t>
  </si>
  <si>
    <t>アナン　シュウト</t>
  </si>
  <si>
    <t>山口　蒼空</t>
  </si>
  <si>
    <t>ヤマグチ　ソラ</t>
  </si>
  <si>
    <t>深尾　一颯</t>
  </si>
  <si>
    <t>フカオ　イブキ</t>
  </si>
  <si>
    <t>木谷　灯吾</t>
  </si>
  <si>
    <t>キタニ　トウゴ</t>
  </si>
  <si>
    <t>村上　瑛翔</t>
  </si>
  <si>
    <t>ムラカミ　エイト</t>
  </si>
  <si>
    <t>立川　格</t>
  </si>
  <si>
    <t>タツカワ　イタル</t>
  </si>
  <si>
    <t>今井　龍之介</t>
  </si>
  <si>
    <t>イマイ　リュウノスケ</t>
  </si>
  <si>
    <t>小野　由翔</t>
  </si>
  <si>
    <t>オノ　ユイト</t>
  </si>
  <si>
    <t>城井　蒼</t>
  </si>
  <si>
    <t>キイ　アオイ</t>
  </si>
  <si>
    <t>足立　舞</t>
  </si>
  <si>
    <t>アダチ　マイ</t>
  </si>
  <si>
    <t>秋月　大河</t>
  </si>
  <si>
    <t>アキヅキ　タイガ</t>
  </si>
  <si>
    <t>千怒サッカースポーツ少年団</t>
  </si>
  <si>
    <t>内藤　尚音</t>
  </si>
  <si>
    <t>ナイトウ　ショウオン</t>
  </si>
  <si>
    <t>山本　蒼</t>
  </si>
  <si>
    <t>ヤマモト　ソウ</t>
  </si>
  <si>
    <t>仲　凌生</t>
  </si>
  <si>
    <t>ナカ　リョウセイ</t>
  </si>
  <si>
    <t>中平　龍希</t>
  </si>
  <si>
    <t>ナカヒラ　リュウキ</t>
  </si>
  <si>
    <t>西村　鴻志</t>
  </si>
  <si>
    <t>ニシムラ　コウシ</t>
  </si>
  <si>
    <t>岩﨑　冬輝</t>
  </si>
  <si>
    <t>イワサキ　トウキ</t>
  </si>
  <si>
    <t>深津　空斗</t>
  </si>
  <si>
    <t>フカヅ　ソラト</t>
  </si>
  <si>
    <t>島田　京弥</t>
  </si>
  <si>
    <t>シマダ　キョウヤ</t>
  </si>
  <si>
    <t>小手川　耀</t>
  </si>
  <si>
    <t>コテガワ　ヨウ</t>
  </si>
  <si>
    <t>上田　彗斗</t>
  </si>
  <si>
    <t>ウエダ　ケイト</t>
  </si>
  <si>
    <t>中津留　蓮飛</t>
  </si>
  <si>
    <t>ナカツル　レント</t>
  </si>
  <si>
    <t>小手川　海人</t>
  </si>
  <si>
    <t>コテガワ　カイト</t>
  </si>
  <si>
    <t>上田　晄斗</t>
  </si>
  <si>
    <t>ウエダ　アキト</t>
  </si>
  <si>
    <t>鶴見少年サッカークラブ</t>
  </si>
  <si>
    <t>益留　尊志郎</t>
  </si>
  <si>
    <t>マスドメ　トウシロウ</t>
  </si>
  <si>
    <t>八藤　晴那</t>
  </si>
  <si>
    <t>ヤフジ　セナ</t>
  </si>
  <si>
    <t>甲斐　煌大</t>
  </si>
  <si>
    <t>カイ　キラト</t>
  </si>
  <si>
    <t>安部　千輝</t>
  </si>
  <si>
    <t>アベ　カズキ</t>
  </si>
  <si>
    <t>梶西　惺凪</t>
  </si>
  <si>
    <t>カジニシ　セナ</t>
  </si>
  <si>
    <t>清家　羽輝</t>
  </si>
  <si>
    <t>セイケ　ウキ</t>
  </si>
  <si>
    <t>谷川　颯太</t>
  </si>
  <si>
    <t>タニガワ　ソウタ</t>
  </si>
  <si>
    <t>塩月　宗右</t>
  </si>
  <si>
    <t>シオツキ　ソウ</t>
  </si>
  <si>
    <t>小川　颯介</t>
  </si>
  <si>
    <t>オガワ　ソウスケ</t>
  </si>
  <si>
    <t>清家　世良</t>
  </si>
  <si>
    <t>セイケ　セラ</t>
  </si>
  <si>
    <t>渡邉　雅功</t>
  </si>
  <si>
    <t>ワタナベ　ガク</t>
  </si>
  <si>
    <t>黒岩　伴次</t>
  </si>
  <si>
    <t>クロイワ　ハンジ</t>
  </si>
  <si>
    <t>弥生少年サッカークラブ</t>
  </si>
  <si>
    <t>橋井　航</t>
  </si>
  <si>
    <t>ハシイ　ワタル</t>
  </si>
  <si>
    <t>江藤　陽</t>
  </si>
  <si>
    <t>エトウ　ヒナタ</t>
  </si>
  <si>
    <t>福泉　蓮介</t>
  </si>
  <si>
    <t>フクイズミ　レンスケ</t>
  </si>
  <si>
    <t>神崎　陸斗</t>
  </si>
  <si>
    <t>カンザキ　リクト</t>
  </si>
  <si>
    <t>松下　和樹</t>
  </si>
  <si>
    <t>マツシタ　カズキ</t>
  </si>
  <si>
    <t>髙木　りお</t>
  </si>
  <si>
    <t>タカギ　リオ</t>
  </si>
  <si>
    <t>岡田　琉希</t>
  </si>
  <si>
    <t>オカダ　ルキ</t>
  </si>
  <si>
    <t>角崎　暖</t>
  </si>
  <si>
    <t>カクザキ　ハル</t>
  </si>
  <si>
    <t>宮脇　陸人</t>
  </si>
  <si>
    <t>ミヤワキ　リクト</t>
  </si>
  <si>
    <t>淡路　旺太朗</t>
  </si>
  <si>
    <t>アワジ　オオタロウ</t>
  </si>
  <si>
    <t>山村　朔人</t>
  </si>
  <si>
    <t>ヤマムラ　サクト</t>
  </si>
  <si>
    <t>工藤　栄伸</t>
  </si>
  <si>
    <t>クドウ　シゲノブ</t>
  </si>
  <si>
    <t>小野　平良</t>
  </si>
  <si>
    <t>オノ　タイラ</t>
  </si>
  <si>
    <t>髙木　みう</t>
  </si>
  <si>
    <t>タカギ　ミウ</t>
  </si>
  <si>
    <t>末永　廉</t>
  </si>
  <si>
    <t>スエナガ　レン</t>
  </si>
  <si>
    <t>安達　嘉人</t>
  </si>
  <si>
    <t>アダチ　ヨシト</t>
  </si>
  <si>
    <t>上堅田少年サッカークラブ</t>
  </si>
  <si>
    <t>佐脇　暖斗</t>
  </si>
  <si>
    <t>サワキ　ハルト</t>
  </si>
  <si>
    <t>大島　佑太</t>
  </si>
  <si>
    <t>オオシマ　ユウタ</t>
  </si>
  <si>
    <t>柴田　柚希</t>
  </si>
  <si>
    <t>シバタ　ユズキ</t>
  </si>
  <si>
    <t>藤原　颯天</t>
  </si>
  <si>
    <t>フジワラ　ハヤテ</t>
  </si>
  <si>
    <t>柴田　賢十</t>
  </si>
  <si>
    <t>シバタ　ケント</t>
  </si>
  <si>
    <t>秋元　智早</t>
  </si>
  <si>
    <t>アキモト　チハヤ</t>
  </si>
  <si>
    <t>大島　湊</t>
  </si>
  <si>
    <t>オオシマ　ミナト</t>
  </si>
  <si>
    <t>古本　瞭太</t>
  </si>
  <si>
    <t>フルモト　リョウタ</t>
  </si>
  <si>
    <t>坂本　悠真</t>
  </si>
  <si>
    <t>サカモト　ユウマ</t>
  </si>
  <si>
    <t>後藤　泉琉</t>
  </si>
  <si>
    <t>ゴトウ　イズル</t>
  </si>
  <si>
    <t>塩月　悠叶</t>
  </si>
  <si>
    <t>シオツキ　ユウト</t>
  </si>
  <si>
    <t>古木　岬</t>
  </si>
  <si>
    <t>フルキ　ミサキ</t>
  </si>
  <si>
    <t>秋元　ほまれ</t>
  </si>
  <si>
    <t>アキモト　ホマレ</t>
  </si>
  <si>
    <t>兒玉　龍樹</t>
  </si>
  <si>
    <t>コダマ　リュウジュ</t>
  </si>
  <si>
    <t>小花　遥陽</t>
  </si>
  <si>
    <t>オバナ　ハルヒ</t>
  </si>
  <si>
    <t>矢野　海斗</t>
  </si>
  <si>
    <t>ヤノ　カイト</t>
  </si>
  <si>
    <t>津田　楓翔</t>
  </si>
  <si>
    <t>ツダ　フウト</t>
  </si>
  <si>
    <t>市原　蓮空</t>
  </si>
  <si>
    <t>イチハラ　レン</t>
  </si>
  <si>
    <t>小野　藏之介</t>
  </si>
  <si>
    <t>オノ　クラノスケ</t>
  </si>
  <si>
    <t>大室　颯</t>
  </si>
  <si>
    <t>オオムロ　ハヤテ</t>
  </si>
  <si>
    <t>矢野　晶大</t>
  </si>
  <si>
    <t>ヤノ　ショウダイ</t>
  </si>
  <si>
    <t>新納　偉央</t>
  </si>
  <si>
    <t>シンノ　イオウ</t>
  </si>
  <si>
    <t>藤原　尚</t>
  </si>
  <si>
    <t>フジワラ　ナオ</t>
  </si>
  <si>
    <t>児玉　隼人</t>
  </si>
  <si>
    <t>コダマ　ハヤト</t>
  </si>
  <si>
    <t>山崎　翔太</t>
  </si>
  <si>
    <t>ヤマサキ　ショウタ</t>
  </si>
  <si>
    <t>新納　聡真</t>
  </si>
  <si>
    <t>シンノ　ソウマ</t>
  </si>
  <si>
    <t>兒玉　直樹</t>
  </si>
  <si>
    <t>コダマ　ナオキ</t>
  </si>
  <si>
    <t>本田　一葵</t>
  </si>
  <si>
    <t>ホンダ　イツキ</t>
  </si>
  <si>
    <t>佐伯リベロフットボールクラブ</t>
  </si>
  <si>
    <t>石上　博也</t>
  </si>
  <si>
    <t>イシガミ　ヒロヤ</t>
  </si>
  <si>
    <t>上野　蒼太</t>
  </si>
  <si>
    <t>ウエノ　ソウタ</t>
  </si>
  <si>
    <t>日吉　虎輔</t>
  </si>
  <si>
    <t>ヒヨシ　コスケ</t>
  </si>
  <si>
    <t>廣瀬　大治</t>
  </si>
  <si>
    <t>ヒロセ　ダイチ</t>
  </si>
  <si>
    <t>尾崎　恭</t>
  </si>
  <si>
    <t>オザキ　キョウ</t>
  </si>
  <si>
    <t>岡田　虎太朗</t>
  </si>
  <si>
    <t>オカダ　コタロウ</t>
  </si>
  <si>
    <t>河野　遥真</t>
  </si>
  <si>
    <t>カワノ　ハルマ</t>
  </si>
  <si>
    <t>山村　悠人</t>
  </si>
  <si>
    <t>ヤマムラ　ヒサト</t>
  </si>
  <si>
    <t>神崎　雄人</t>
  </si>
  <si>
    <t>カンザキ　ユウト</t>
  </si>
  <si>
    <t>早瀬　昇</t>
  </si>
  <si>
    <t>ハヤセ　ノボル</t>
  </si>
  <si>
    <t>児玉　冴徠</t>
  </si>
  <si>
    <t>コダマ　サク</t>
  </si>
  <si>
    <t>渡邉　翔太</t>
  </si>
  <si>
    <t>ワタナベ　ショウタ</t>
  </si>
  <si>
    <t>佐藤　陽斗</t>
  </si>
  <si>
    <t>サトウ　ハルト</t>
  </si>
  <si>
    <t>河野　結人</t>
  </si>
  <si>
    <t>カワノ　ユイト</t>
  </si>
  <si>
    <t>冨澤　樹</t>
  </si>
  <si>
    <t>トミザワ　イツキ</t>
  </si>
  <si>
    <t>石橋　千尋</t>
  </si>
  <si>
    <t>イシバシ　チヒロ</t>
  </si>
  <si>
    <t>小田　蒼太</t>
  </si>
  <si>
    <t>オダ　ソウタ</t>
  </si>
  <si>
    <t>佐藤　由凰</t>
  </si>
  <si>
    <t>サトウ　ユウゴ</t>
  </si>
  <si>
    <t>首藤　晴道</t>
  </si>
  <si>
    <t>シュトウ　ハルミチ</t>
  </si>
  <si>
    <t>古川　悠真</t>
  </si>
  <si>
    <t>フルカワ　ユウマ</t>
  </si>
  <si>
    <t>安倍　京弥</t>
  </si>
  <si>
    <t>アベ　キョウヤ</t>
  </si>
  <si>
    <t>波多野　雄大</t>
  </si>
  <si>
    <t>ハタノ　ユウダイ</t>
  </si>
  <si>
    <t>仲道　悠人</t>
  </si>
  <si>
    <t>ナカミチ　ハルト</t>
  </si>
  <si>
    <t>安部　煌生</t>
  </si>
  <si>
    <t>アベ　コウキ</t>
  </si>
  <si>
    <t>矢野　陽介</t>
  </si>
  <si>
    <t>ヤノ　ヨウスケ</t>
  </si>
  <si>
    <t>葛城　佑真</t>
  </si>
  <si>
    <t>カツラギ　ユウマ</t>
  </si>
  <si>
    <t>西林　貴臣</t>
  </si>
  <si>
    <t>ニシバヤシ　タカオミ</t>
  </si>
  <si>
    <t>林　蔵人</t>
  </si>
  <si>
    <t>ハヤシ　クロウド</t>
  </si>
  <si>
    <t>有永　瑠浬</t>
  </si>
  <si>
    <t>アリナガ　ルリ</t>
  </si>
  <si>
    <t>塚田　英翔</t>
  </si>
  <si>
    <t>ツカダ　アルト</t>
  </si>
  <si>
    <t>大石　凌久</t>
  </si>
  <si>
    <t>オオイシ　リク</t>
  </si>
  <si>
    <t>石見　悟</t>
  </si>
  <si>
    <t>イワミ　サトル</t>
  </si>
  <si>
    <t>後藤　佑斗</t>
  </si>
  <si>
    <t>ゴトウ　ユウト</t>
  </si>
  <si>
    <t>大村　直人</t>
  </si>
  <si>
    <t>オオムラ　ナオト</t>
  </si>
  <si>
    <t>馬﨑　隆世</t>
  </si>
  <si>
    <t>マサキ　リュウセイ</t>
  </si>
  <si>
    <t>川手　一葉</t>
  </si>
  <si>
    <t>カワテ　ヒトハ</t>
  </si>
  <si>
    <t>後藤　誠士郎</t>
  </si>
  <si>
    <t>ゴトウ　セイシロウ</t>
  </si>
  <si>
    <t>庄司　雅人</t>
  </si>
  <si>
    <t>ショウジ　マサト</t>
  </si>
  <si>
    <t>江上　結奈</t>
  </si>
  <si>
    <t>エガミ　ユイナ</t>
  </si>
  <si>
    <t>大嶋　蒼介</t>
  </si>
  <si>
    <t>オオシマ　ソウスケ</t>
  </si>
  <si>
    <t>小野　琳太郎</t>
  </si>
  <si>
    <t>オノ　リンタロウ</t>
  </si>
  <si>
    <t>江藤　吉哉</t>
  </si>
  <si>
    <t>エトウ　ヨシヤ</t>
  </si>
  <si>
    <t>坂本　海晟</t>
  </si>
  <si>
    <t>サカモト　カイセイ</t>
  </si>
  <si>
    <t>小嶋　蓮</t>
  </si>
  <si>
    <t>コジマ　レン</t>
  </si>
  <si>
    <t>佐藤　蓮</t>
  </si>
  <si>
    <t>サトウ　レン</t>
  </si>
  <si>
    <t>染矢　悠吾</t>
  </si>
  <si>
    <t>ソメヤ　ユウゴ</t>
  </si>
  <si>
    <t>平井　晃?</t>
  </si>
  <si>
    <t>ヒライ　コウキ</t>
  </si>
  <si>
    <t>須川　彪雅</t>
  </si>
  <si>
    <t>スガワ　ヒュウガ</t>
  </si>
  <si>
    <t>後藤　颯斗</t>
  </si>
  <si>
    <t>ゴトウ　ハヤト</t>
  </si>
  <si>
    <t>須藤　来希</t>
  </si>
  <si>
    <t>スドウ　ライキ</t>
  </si>
  <si>
    <t>市原　玲斗</t>
  </si>
  <si>
    <t>イチハラ　レオト</t>
  </si>
  <si>
    <t>菱川　暁翔</t>
  </si>
  <si>
    <t>ヒシカワ　アキト</t>
  </si>
  <si>
    <t>姫野　大和</t>
  </si>
  <si>
    <t>ヒメノ　ヤマト</t>
  </si>
  <si>
    <t>戎野　堆牙</t>
  </si>
  <si>
    <t>エビスノ　タイガ</t>
  </si>
  <si>
    <t>後藤　響</t>
  </si>
  <si>
    <t>ゴトウ　ヒビキ</t>
  </si>
  <si>
    <t>金嶽　璃空</t>
  </si>
  <si>
    <t>カネタケ　リク</t>
  </si>
  <si>
    <t>松良　航雅</t>
  </si>
  <si>
    <t>マツラ　コウガ</t>
  </si>
  <si>
    <t>下川　昊登</t>
  </si>
  <si>
    <t>シモカワ　ヒロト</t>
  </si>
  <si>
    <t>守田　海渡</t>
  </si>
  <si>
    <t>モリタ　カイト</t>
  </si>
  <si>
    <t>三代　虎愛</t>
  </si>
  <si>
    <t>ミシロ　トア</t>
  </si>
  <si>
    <t>渡邊　颯太</t>
  </si>
  <si>
    <t>ワタナベ　ソウタ</t>
  </si>
  <si>
    <t>小泉　咲空</t>
  </si>
  <si>
    <t>コイズミ　サク</t>
  </si>
  <si>
    <t>河野　蒼良</t>
  </si>
  <si>
    <t>カワノ　ソラ</t>
  </si>
  <si>
    <t>野田　佑月</t>
  </si>
  <si>
    <t>ノダ　ユズキ</t>
  </si>
  <si>
    <t>有村　泰史郎</t>
  </si>
  <si>
    <t>アリムラ　タイシロウ</t>
  </si>
  <si>
    <t>伊勢　虎斗</t>
  </si>
  <si>
    <t>イセ　タケト</t>
  </si>
  <si>
    <t>西田　陸翔</t>
  </si>
  <si>
    <t>ニシダ　リクト</t>
  </si>
  <si>
    <t>薬師寺　凌空</t>
  </si>
  <si>
    <t>ヤクシジ　リク</t>
  </si>
  <si>
    <t>原園　英虎</t>
  </si>
  <si>
    <t>ハラゾノ　ヒデトラ</t>
  </si>
  <si>
    <t>池谷　碧</t>
  </si>
  <si>
    <t>イケヤ　アオイ</t>
  </si>
  <si>
    <t>上本　翔海</t>
  </si>
  <si>
    <t>ウエモト　ツバサ</t>
  </si>
  <si>
    <t>堤　和杜</t>
  </si>
  <si>
    <t>ツツミ　カズト</t>
  </si>
  <si>
    <t>下郡　悠翔</t>
  </si>
  <si>
    <t>シモゴオリ　ユウト</t>
  </si>
  <si>
    <t>林　天音</t>
  </si>
  <si>
    <t>ハヤシ　テオン</t>
  </si>
  <si>
    <t>工藤　貫太</t>
  </si>
  <si>
    <t>クドウ　カンタ</t>
  </si>
  <si>
    <t>安藤　晴葵</t>
  </si>
  <si>
    <t>アンドウ　ハルキ</t>
  </si>
  <si>
    <t>楢橋　拓斗</t>
  </si>
  <si>
    <t>ナラハシ　タクト</t>
  </si>
  <si>
    <t>海津　逞人</t>
  </si>
  <si>
    <t>カイヅ　タクト</t>
  </si>
  <si>
    <t>宮脇　黄鈴</t>
  </si>
  <si>
    <t>ミヤワキ　キリン</t>
  </si>
  <si>
    <t>後藤　すみれ</t>
  </si>
  <si>
    <t>ゴトウ　スミレ</t>
  </si>
  <si>
    <t>阿部　覇亜斗</t>
  </si>
  <si>
    <t>アベ　ハアト</t>
  </si>
  <si>
    <t>仲道　陸空人</t>
  </si>
  <si>
    <t>ナカミチ　リクト</t>
  </si>
  <si>
    <t>岩村　貫吾</t>
  </si>
  <si>
    <t>イワムラ　カンゴ</t>
  </si>
  <si>
    <t>仲道　美梨杏</t>
  </si>
  <si>
    <t>ナカミチ　ミリア</t>
  </si>
  <si>
    <t>佐藤　琉斗</t>
  </si>
  <si>
    <t>サトウ　リュウト</t>
  </si>
  <si>
    <t>黒川　薫月</t>
  </si>
  <si>
    <t>クロカワ　タツキ</t>
  </si>
  <si>
    <t>中村　朋暉</t>
  </si>
  <si>
    <t>ナカムラ　トモアキ</t>
  </si>
  <si>
    <t>村山　陽詩</t>
  </si>
  <si>
    <t>ムラヤマ　ヒナタ</t>
  </si>
  <si>
    <t>中村　光希</t>
  </si>
  <si>
    <t>ナカムラ　ヒカリ</t>
  </si>
  <si>
    <t>村上　遥飛</t>
  </si>
  <si>
    <t>ムラカミ　ハルト</t>
  </si>
  <si>
    <t>天﨑　圭太朗</t>
  </si>
  <si>
    <t>アマザキ　ケイタロウ</t>
  </si>
  <si>
    <t>岩尾　賢尚</t>
  </si>
  <si>
    <t>イワオ　タカヒサ</t>
  </si>
  <si>
    <t>是永　虎太朗</t>
  </si>
  <si>
    <t>コレナガ　コタロウ</t>
  </si>
  <si>
    <t>大久保　澪</t>
  </si>
  <si>
    <t>オオクボ　レイ</t>
  </si>
  <si>
    <t>矢﨑　穂高</t>
  </si>
  <si>
    <t>ヤザキ　ホダカ</t>
  </si>
  <si>
    <t>矢﨑　大地</t>
  </si>
  <si>
    <t>ヤザキ　ダイチ</t>
  </si>
  <si>
    <t>尾崎　亘</t>
  </si>
  <si>
    <t>オザキ　ワタル</t>
  </si>
  <si>
    <t>安藤　結人</t>
  </si>
  <si>
    <t>アンドウ　ユイト</t>
  </si>
  <si>
    <t>佐藤　結生</t>
  </si>
  <si>
    <t>サトウ　ユイ</t>
  </si>
  <si>
    <t>岡田　大空</t>
  </si>
  <si>
    <t>オカダ　タク</t>
  </si>
  <si>
    <t>河野　皓馬</t>
  </si>
  <si>
    <t>カワノ　コウマ</t>
  </si>
  <si>
    <t>小田　冠太</t>
  </si>
  <si>
    <t>オダ　カンタ</t>
  </si>
  <si>
    <t>小田　瑛太</t>
  </si>
  <si>
    <t>オダ　エイタ</t>
  </si>
  <si>
    <t>安藤　ひより</t>
  </si>
  <si>
    <t>アンドウ　ヒヨリ</t>
  </si>
  <si>
    <t>中邑　景太郎</t>
  </si>
  <si>
    <t>ナカムラ　キョウタロウ</t>
  </si>
  <si>
    <t>古庄　櫂士</t>
  </si>
  <si>
    <t>コショウ　カイト</t>
  </si>
  <si>
    <t>本多　荘弥</t>
  </si>
  <si>
    <t>ホンダ　ソウヤ</t>
  </si>
  <si>
    <t>首藤　優慎</t>
  </si>
  <si>
    <t>シュトウ　ユウシン</t>
  </si>
  <si>
    <t>甲斐　勇人</t>
  </si>
  <si>
    <t>カイ　ハヤト</t>
  </si>
  <si>
    <t>佐藤　大地</t>
  </si>
  <si>
    <t>サトウ　ダイチ</t>
  </si>
  <si>
    <t>安部　雄翔</t>
  </si>
  <si>
    <t>アベ　ユウト</t>
  </si>
  <si>
    <t>竹林　一護</t>
  </si>
  <si>
    <t>タケバヤシ　イチゴ</t>
  </si>
  <si>
    <t>河野　安璃</t>
  </si>
  <si>
    <t>カワノ　アンリ</t>
  </si>
  <si>
    <t>大久保　賢吾</t>
  </si>
  <si>
    <t>オオクボ　ケンゴ</t>
  </si>
  <si>
    <t>野尻　春樹</t>
  </si>
  <si>
    <t>ノジリ　シュンキ</t>
  </si>
  <si>
    <t>安部　栞奈</t>
  </si>
  <si>
    <t>アベ　カンナ</t>
  </si>
  <si>
    <t>樋口　結人</t>
  </si>
  <si>
    <t>ヒグチ　ユイト</t>
  </si>
  <si>
    <t>小野　了雅</t>
  </si>
  <si>
    <t>オノ　リョウガ</t>
  </si>
  <si>
    <t>佐藤　煌星</t>
  </si>
  <si>
    <t>サトウ　コウセイ</t>
  </si>
  <si>
    <t>高橋　湊太</t>
  </si>
  <si>
    <t>タカハシ　ソウタ</t>
  </si>
  <si>
    <t>後藤　梢</t>
  </si>
  <si>
    <t>ゴトウ　コズエ</t>
  </si>
  <si>
    <t>森山　蓮亜</t>
  </si>
  <si>
    <t>モリヤマ　レイア</t>
  </si>
  <si>
    <t>鶴原　宋佑</t>
  </si>
  <si>
    <t>ツルハラ　ソウスケ</t>
  </si>
  <si>
    <t>土師　大知</t>
  </si>
  <si>
    <t>ハジ　ダイチ</t>
  </si>
  <si>
    <t>末松　明樽</t>
  </si>
  <si>
    <t>スエマツ　アタル</t>
  </si>
  <si>
    <t>日野　結翔</t>
  </si>
  <si>
    <t>ヒノ　ユイト</t>
  </si>
  <si>
    <t>岩本　大寿</t>
  </si>
  <si>
    <t>イワモト　タイジュ</t>
  </si>
  <si>
    <t>仁部屋　蓮斗</t>
  </si>
  <si>
    <t>ニブヤ　レント</t>
  </si>
  <si>
    <t>土師　優貴</t>
  </si>
  <si>
    <t>ハジ　ユウキ</t>
  </si>
  <si>
    <t>相良　祐虎</t>
  </si>
  <si>
    <t>サガラ　ユウト</t>
  </si>
  <si>
    <t>三浦　斡太</t>
  </si>
  <si>
    <t>ミウラ　カンタ</t>
  </si>
  <si>
    <t>田北　悠斗</t>
  </si>
  <si>
    <t>タキタ　ユウト</t>
  </si>
  <si>
    <t>中　優輝</t>
  </si>
  <si>
    <t>ナカ　マサキ</t>
  </si>
  <si>
    <t>髙木　翔央</t>
  </si>
  <si>
    <t>タカギ　ショウ</t>
  </si>
  <si>
    <t>阿部　唯信</t>
  </si>
  <si>
    <t>アベ　ユイシン</t>
  </si>
  <si>
    <t>平野　聖樹</t>
  </si>
  <si>
    <t>ヒラノ　イブキ</t>
  </si>
  <si>
    <t>元島　拓海</t>
  </si>
  <si>
    <t>モトシマ　タクミ</t>
  </si>
  <si>
    <t>今村　太壱郎</t>
  </si>
  <si>
    <t>イマムラ　タイチロウ</t>
  </si>
  <si>
    <t>大嶋　蘭</t>
  </si>
  <si>
    <t>オオシマ　ラン</t>
  </si>
  <si>
    <t>中津留　桜吏</t>
  </si>
  <si>
    <t>ナカツル　オウリ</t>
  </si>
  <si>
    <t>中野　幹太</t>
  </si>
  <si>
    <t>ナカノ　カンタ</t>
  </si>
  <si>
    <t>嶌田　徠煌</t>
  </si>
  <si>
    <t>シマダ　ライキ</t>
  </si>
  <si>
    <t>黒川　壱綺</t>
  </si>
  <si>
    <t>クロカワ　イチギ</t>
  </si>
  <si>
    <t>大嶋　凛</t>
  </si>
  <si>
    <t>オオシマ　リン</t>
  </si>
  <si>
    <t>藤原　鉄心</t>
  </si>
  <si>
    <t>フジワラ　テッシン</t>
  </si>
  <si>
    <t>高山　蓮</t>
  </si>
  <si>
    <t>タカヤマ　レン</t>
  </si>
  <si>
    <t>田口　岳雄</t>
  </si>
  <si>
    <t>タグチ　タケオ</t>
  </si>
  <si>
    <t>齊木　康太</t>
  </si>
  <si>
    <t>サイキ　コウタ</t>
  </si>
  <si>
    <t>清田　蒼介</t>
  </si>
  <si>
    <t>キヨタ　ソウスケ</t>
  </si>
  <si>
    <t>三代　葉</t>
  </si>
  <si>
    <t>ミシロ　ヨウ</t>
  </si>
  <si>
    <t>塩満　太一</t>
  </si>
  <si>
    <t>シオミツ　タイチ</t>
  </si>
  <si>
    <t>岐部　龍一</t>
  </si>
  <si>
    <t>キベ　リュウイチ</t>
  </si>
  <si>
    <t>竹野内　翼</t>
  </si>
  <si>
    <t>タケノウチ　ツバサ</t>
  </si>
  <si>
    <t>佐藤　優維人</t>
  </si>
  <si>
    <t>サトウ　ユイト</t>
  </si>
  <si>
    <t>磯部　輝</t>
  </si>
  <si>
    <t>イソベ　ヒカル</t>
  </si>
  <si>
    <t>麻生　幸喜</t>
  </si>
  <si>
    <t>アソウ　コウキ</t>
  </si>
  <si>
    <t>山内　凛生</t>
  </si>
  <si>
    <t>ヤマウチ　リンセイ</t>
  </si>
  <si>
    <t>楢崎　奏斗</t>
  </si>
  <si>
    <t>ナラサキ　カナト</t>
  </si>
  <si>
    <t>周藤　隆生</t>
  </si>
  <si>
    <t>シュウトウ　リュウセイ</t>
  </si>
  <si>
    <t>森田　圭一</t>
  </si>
  <si>
    <t>モリタ　ケイイチ</t>
  </si>
  <si>
    <t>岩本　太志</t>
  </si>
  <si>
    <t>イワモト　タイシ</t>
  </si>
  <si>
    <t>山内　陽世</t>
  </si>
  <si>
    <t>ヤマウチ　ハルセ</t>
  </si>
  <si>
    <t>石田　一稀</t>
  </si>
  <si>
    <t>イシダ　イツキ</t>
  </si>
  <si>
    <t>伊藤　百萌</t>
  </si>
  <si>
    <t>イトウ　モモ</t>
  </si>
  <si>
    <t>油布　颯介</t>
  </si>
  <si>
    <t>ユフ　ソウスケ</t>
  </si>
  <si>
    <t>丸石　奏多</t>
  </si>
  <si>
    <t>マルイシ　カナタ</t>
  </si>
  <si>
    <t>古川　絋平</t>
  </si>
  <si>
    <t>フルカワ　コウヘイ</t>
  </si>
  <si>
    <t>藤山　陸斗</t>
  </si>
  <si>
    <t>フジヤマ　リクト</t>
  </si>
  <si>
    <t>阿部　希空</t>
  </si>
  <si>
    <t>アベ　ノア</t>
  </si>
  <si>
    <t>山田　芽依</t>
  </si>
  <si>
    <t>ヤマダ　メイ</t>
  </si>
  <si>
    <t>久保田　龍之介</t>
  </si>
  <si>
    <t>クボタ　リュウノスケ</t>
  </si>
  <si>
    <t>水野　公太郎</t>
  </si>
  <si>
    <t>ミズノ　コウタロウ</t>
  </si>
  <si>
    <t>菊池　魁大</t>
  </si>
  <si>
    <t>キクチ　カイト</t>
  </si>
  <si>
    <t>首藤　大輝</t>
  </si>
  <si>
    <t>シュトウ　ダイキ</t>
  </si>
  <si>
    <t>加藤　咲妃</t>
  </si>
  <si>
    <t>カトウ　サキ</t>
  </si>
  <si>
    <t>山田　晃誠</t>
  </si>
  <si>
    <t>ヤマダ　コウセイ</t>
  </si>
  <si>
    <t>朝倉　宏天</t>
  </si>
  <si>
    <t>アサクラ　ヒロタカ</t>
  </si>
  <si>
    <t>宮﨑　風牙</t>
  </si>
  <si>
    <t>ミヤザキ　フウガ</t>
  </si>
  <si>
    <t>後藤　紀葉</t>
  </si>
  <si>
    <t>ゴトウ　コトハ</t>
  </si>
  <si>
    <t>後藤　拓海</t>
  </si>
  <si>
    <t>ゴトウ　タクミ</t>
  </si>
  <si>
    <t>中上　颯太</t>
  </si>
  <si>
    <t>ナカガミ　ソウタ</t>
  </si>
  <si>
    <t>武田　陸人</t>
  </si>
  <si>
    <t>タケダ　リクト</t>
  </si>
  <si>
    <t>岐部　昊平</t>
  </si>
  <si>
    <t>キベ　コウヘイ</t>
  </si>
  <si>
    <t>盛武　大樹</t>
  </si>
  <si>
    <t>モリタケ　タイキ</t>
  </si>
  <si>
    <t>橋本　和弥</t>
  </si>
  <si>
    <t>ハシモト　カズヤ</t>
  </si>
  <si>
    <t>穴井　幹太</t>
  </si>
  <si>
    <t>アナイ　カンタ</t>
  </si>
  <si>
    <t>髙村　千尋</t>
  </si>
  <si>
    <t>タカムラ　チヒロ</t>
  </si>
  <si>
    <t>宮川　航</t>
  </si>
  <si>
    <t>ミヤカワ　ワタル</t>
  </si>
  <si>
    <t>河野　万綺子</t>
  </si>
  <si>
    <t>カワノ　マキコ</t>
  </si>
  <si>
    <t>馬場　遥翔</t>
  </si>
  <si>
    <t>ババ　ハルト</t>
  </si>
  <si>
    <t>林　雄誠</t>
  </si>
  <si>
    <t>ハヤシ　ユウマ</t>
  </si>
  <si>
    <t>山中　凜太郎</t>
  </si>
  <si>
    <t>ヤマナカ　リンタロウ</t>
  </si>
  <si>
    <t>綾部　響大</t>
  </si>
  <si>
    <t>アヤベ　キョウタ</t>
  </si>
  <si>
    <t>小川　隼央</t>
  </si>
  <si>
    <t>オガワ　ハヤト</t>
  </si>
  <si>
    <t>帶刀　真太朗</t>
  </si>
  <si>
    <t>タテワキ　シンタロウ</t>
  </si>
  <si>
    <t>宮川　司</t>
  </si>
  <si>
    <t>ミヤガワ　ツカサ</t>
  </si>
  <si>
    <t>都築　秀太郎</t>
  </si>
  <si>
    <t>ツヅキ　シュウタロウ</t>
  </si>
  <si>
    <t>甲斐　海南斗</t>
  </si>
  <si>
    <t>カイ　ミナト</t>
  </si>
  <si>
    <t>棚村　誠太</t>
  </si>
  <si>
    <t>タナムラ　セイタ</t>
  </si>
  <si>
    <t>中島　泰志</t>
  </si>
  <si>
    <t>ナカシマ　タイシ</t>
  </si>
  <si>
    <t>工藤　大輝</t>
  </si>
  <si>
    <t>クドウ　タイキ</t>
  </si>
  <si>
    <t>髙畠　優</t>
  </si>
  <si>
    <t>タカハタ　ユウ</t>
  </si>
  <si>
    <t>大津留　新</t>
  </si>
  <si>
    <t>オオツル　アラタ</t>
  </si>
  <si>
    <t>秋元　駿佑</t>
  </si>
  <si>
    <t>アキモト　シュンスケ</t>
  </si>
  <si>
    <t>和泉　湊</t>
  </si>
  <si>
    <t>イズミ　ソウ</t>
  </si>
  <si>
    <t>三浦　拓仁</t>
  </si>
  <si>
    <t>ミウラ　タクト</t>
  </si>
  <si>
    <t>玉井　悠詩</t>
  </si>
  <si>
    <t>タマイ　ユウタ</t>
  </si>
  <si>
    <t>久保田　一平</t>
  </si>
  <si>
    <t>クボタ　イッペイ</t>
  </si>
  <si>
    <t>松﨑　義英</t>
  </si>
  <si>
    <t>マツザキ　ヨシヒデ</t>
  </si>
  <si>
    <t>後藤　優成</t>
  </si>
  <si>
    <t>ゴトウ　ユウセイ</t>
  </si>
  <si>
    <t>名古屋　碧斗</t>
  </si>
  <si>
    <t>ナゴヤ　リクト</t>
  </si>
  <si>
    <t>高原　瞭</t>
  </si>
  <si>
    <t>タカハラ　リョウ</t>
  </si>
  <si>
    <t>河野　睦喜</t>
  </si>
  <si>
    <t>カワノ　ムツキ</t>
  </si>
  <si>
    <t>寒田．敷戸サッカースポーツ少年団</t>
  </si>
  <si>
    <t>後藤　渚玖</t>
  </si>
  <si>
    <t>ゴトウ　サク</t>
  </si>
  <si>
    <t>三浦　煌翔</t>
  </si>
  <si>
    <t>ミウラ　アキト</t>
  </si>
  <si>
    <t>伊達　毅</t>
  </si>
  <si>
    <t>ダテ　ツヨシ</t>
  </si>
  <si>
    <t>斎藤　暖太</t>
  </si>
  <si>
    <t>サイトウ　ヒナタ</t>
  </si>
  <si>
    <t>太田　望夢</t>
  </si>
  <si>
    <t>オオタ　ノゾム</t>
  </si>
  <si>
    <t>堀　夢希</t>
  </si>
  <si>
    <t>ホリ　ユノン</t>
  </si>
  <si>
    <t>佐藤　礼佳</t>
  </si>
  <si>
    <t>サトウ　ライカ</t>
  </si>
  <si>
    <t>宮脇　百合愛</t>
  </si>
  <si>
    <t>ミヤワキ　リリア</t>
  </si>
  <si>
    <t>森　凛桜</t>
  </si>
  <si>
    <t>モリ　リサ</t>
  </si>
  <si>
    <t>廣瀬　開</t>
  </si>
  <si>
    <t>ヒロセ　カイ</t>
  </si>
  <si>
    <t>工藤　竜也</t>
  </si>
  <si>
    <t>クドウ　タツヤ</t>
  </si>
  <si>
    <t>廣瀬　圭</t>
  </si>
  <si>
    <t>ヒロセ　ケイ</t>
  </si>
  <si>
    <t>河野　凛</t>
  </si>
  <si>
    <t>カワノ　リン</t>
  </si>
  <si>
    <t>福田　翼</t>
  </si>
  <si>
    <t>フクダ　ツバサ</t>
  </si>
  <si>
    <t>河野　蘭心</t>
  </si>
  <si>
    <t>カワノ　ラン</t>
  </si>
  <si>
    <t>伊東　空我</t>
  </si>
  <si>
    <t>イトウ　クウガ</t>
  </si>
  <si>
    <t>竹本　蓮</t>
  </si>
  <si>
    <t>タケモト　レン</t>
  </si>
  <si>
    <t>佐藤　伊吹</t>
  </si>
  <si>
    <t>サトウ　イブキ</t>
  </si>
  <si>
    <t>藤原　亜希斗</t>
  </si>
  <si>
    <t>フジワラ　アキト</t>
  </si>
  <si>
    <t>円本　伯馬</t>
  </si>
  <si>
    <t>エンモト　ハクマ</t>
  </si>
  <si>
    <t>田上　楓貴</t>
  </si>
  <si>
    <t>タガミ　フウキ</t>
  </si>
  <si>
    <t>竹本　陽</t>
  </si>
  <si>
    <t>タケモト　ハル</t>
  </si>
  <si>
    <t>池田　匠</t>
  </si>
  <si>
    <t>イケダ　タクミ</t>
  </si>
  <si>
    <t>須藤　瑛翔</t>
  </si>
  <si>
    <t>ストウ　アキト</t>
  </si>
  <si>
    <t>安達　葉平</t>
  </si>
  <si>
    <t>アダチ　ヨウヘイ</t>
  </si>
  <si>
    <t>佐藤　叶羽</t>
  </si>
  <si>
    <t>サトウ　トワ</t>
  </si>
  <si>
    <t>松木　志穏</t>
  </si>
  <si>
    <t>マツキ　シオン</t>
  </si>
  <si>
    <t>小田　遥杏</t>
  </si>
  <si>
    <t>オダ　ハルア</t>
  </si>
  <si>
    <t>小栗　佑斗</t>
  </si>
  <si>
    <t>オグリ　ユウト</t>
  </si>
  <si>
    <t>加藤　劉星</t>
  </si>
  <si>
    <t>カトウ　リュウセイ</t>
  </si>
  <si>
    <t>堀　萌々華</t>
  </si>
  <si>
    <t>ホリ　モモカ</t>
  </si>
  <si>
    <t>宮川　葵</t>
  </si>
  <si>
    <t>ミヤガワ　アオイ</t>
  </si>
  <si>
    <t>清時　悠聖</t>
  </si>
  <si>
    <t>キヨトキ　ハルキ</t>
  </si>
  <si>
    <t>西田　鑑連</t>
  </si>
  <si>
    <t>ニシダ　アキツラ</t>
  </si>
  <si>
    <t>前田　隆之介</t>
  </si>
  <si>
    <t>マエダ　リュウノスケ</t>
  </si>
  <si>
    <t>後藤　丈平</t>
  </si>
  <si>
    <t>ゴトウ　ジョウヘイ</t>
  </si>
  <si>
    <t>桑野　凌</t>
  </si>
  <si>
    <t>クワノ　リョウ</t>
  </si>
  <si>
    <t>土谷　兼世</t>
  </si>
  <si>
    <t>ツチヤ　ケンセイ</t>
  </si>
  <si>
    <t>亀山　泰雅</t>
  </si>
  <si>
    <t>カメヤマ　タイガ</t>
  </si>
  <si>
    <t>梶西　湊</t>
  </si>
  <si>
    <t>カジニシ　ミナト</t>
  </si>
  <si>
    <t>岩永　琥太郎</t>
  </si>
  <si>
    <t>イワナガ　コタロウ</t>
  </si>
  <si>
    <t>河野　悠</t>
  </si>
  <si>
    <t>コウノ　ユウキ</t>
  </si>
  <si>
    <t>時松　蒼茉</t>
  </si>
  <si>
    <t>トキマツ　ソウマ</t>
  </si>
  <si>
    <t>友永　大翔</t>
  </si>
  <si>
    <t>トモナガ　ヒロト</t>
  </si>
  <si>
    <t>植田　琉海</t>
  </si>
  <si>
    <t>ウエダ　ルイ</t>
  </si>
  <si>
    <t>佐藤　桜央</t>
  </si>
  <si>
    <t>サトウ　サオ</t>
  </si>
  <si>
    <t>阪本　遥香</t>
  </si>
  <si>
    <t>サカモト　ハルカ</t>
  </si>
  <si>
    <t>高森　颯誠</t>
  </si>
  <si>
    <t>タカモリ　ソウマ</t>
  </si>
  <si>
    <t>岩田　和真</t>
  </si>
  <si>
    <t>イワタ　カズマ</t>
  </si>
  <si>
    <t>廣石　有咲</t>
  </si>
  <si>
    <t>ヒロイシ　アリサ</t>
  </si>
  <si>
    <t>後藤　彩希</t>
  </si>
  <si>
    <t>ゴトウ　サキ</t>
  </si>
  <si>
    <t>蓑毛　颯</t>
  </si>
  <si>
    <t>ミノモ　ソウ</t>
  </si>
  <si>
    <t>吉國　凛音</t>
  </si>
  <si>
    <t>ヨシクニ　リオン</t>
  </si>
  <si>
    <t>矢野　凛空</t>
  </si>
  <si>
    <t>ヤノ　リク</t>
  </si>
  <si>
    <t>生野　陽大</t>
  </si>
  <si>
    <t>ショウノ　ハルト</t>
  </si>
  <si>
    <t>盛田　絃貴</t>
  </si>
  <si>
    <t>モリタ　ゲンキ</t>
  </si>
  <si>
    <t>都留　瑞</t>
  </si>
  <si>
    <t>ツル　ミズキ</t>
  </si>
  <si>
    <t>野尻　風羽</t>
  </si>
  <si>
    <t>ノジリ　フウ</t>
  </si>
  <si>
    <t>内田　麟太朗</t>
  </si>
  <si>
    <t>ウチダ　リンタロウ</t>
  </si>
  <si>
    <t>山室　青空</t>
  </si>
  <si>
    <t>ヤマムロ　ソウ</t>
  </si>
  <si>
    <t>木本　悠太</t>
  </si>
  <si>
    <t>キモト　ユウタ</t>
  </si>
  <si>
    <t>林　紘太</t>
  </si>
  <si>
    <t>ハヤシ　コウタ</t>
  </si>
  <si>
    <t>釘宮　康人</t>
  </si>
  <si>
    <t>クギミヤ　コウト</t>
  </si>
  <si>
    <t>沓掛　一裟</t>
  </si>
  <si>
    <t>クツカケ　イッサ</t>
  </si>
  <si>
    <t>菊池　凰牙</t>
  </si>
  <si>
    <t>キクチ　オウガ</t>
  </si>
  <si>
    <t>日浦　上総</t>
  </si>
  <si>
    <t>ヒウラ　カズサ</t>
  </si>
  <si>
    <t>園田　蓮</t>
  </si>
  <si>
    <t>ソノダ　レン</t>
  </si>
  <si>
    <t>金高　光哉</t>
  </si>
  <si>
    <t>カネタカ　コウヤ</t>
  </si>
  <si>
    <t>古家　遙真</t>
  </si>
  <si>
    <t>フルイエ　ハルマ</t>
  </si>
  <si>
    <t>那賀　敦輝</t>
  </si>
  <si>
    <t>ナカ　アツキ</t>
  </si>
  <si>
    <t>中山　大我</t>
  </si>
  <si>
    <t>ナカヤマ　オオガ</t>
  </si>
  <si>
    <t>菊池　爽真</t>
  </si>
  <si>
    <t>キクチ　ソウマ</t>
  </si>
  <si>
    <t>吉川　侑来</t>
  </si>
  <si>
    <t>ヨシカワ　ユライ</t>
  </si>
  <si>
    <t>古澤　愛斗</t>
  </si>
  <si>
    <t>フルサワ　マナト</t>
  </si>
  <si>
    <t>安藤　心大</t>
  </si>
  <si>
    <t>アンドウ　シンタ</t>
  </si>
  <si>
    <t>相川　莉久</t>
  </si>
  <si>
    <t>アイカワ　リク</t>
  </si>
  <si>
    <t>河野　桜晴</t>
  </si>
  <si>
    <t>カワノ　オウセイ</t>
  </si>
  <si>
    <t>大橋　歩生</t>
  </si>
  <si>
    <t>オオハシ　アユム</t>
  </si>
  <si>
    <t>阿部　将大</t>
  </si>
  <si>
    <t>アベ　ショウダイ</t>
  </si>
  <si>
    <t>財前　遥仁</t>
  </si>
  <si>
    <t>ザイゼン　ハルト</t>
  </si>
  <si>
    <t>河野　桜太</t>
  </si>
  <si>
    <t>コウノ　オウタ</t>
  </si>
  <si>
    <t>向井　照真</t>
  </si>
  <si>
    <t>ムカイ　テルマ</t>
  </si>
  <si>
    <t>植木　杏亮</t>
  </si>
  <si>
    <t>ウエキ　キョウウスケ</t>
  </si>
  <si>
    <t>南　絢斗</t>
  </si>
  <si>
    <t>ミナミ　アヤト</t>
  </si>
  <si>
    <t>藤澤　健琉</t>
  </si>
  <si>
    <t>フジサワ　タケル</t>
  </si>
  <si>
    <t>本久　湊</t>
  </si>
  <si>
    <t>モトヒサ　ミナト</t>
  </si>
  <si>
    <t>亀井　翔太朗</t>
  </si>
  <si>
    <t>カメイ　ショウタロウ</t>
  </si>
  <si>
    <t>三浦　喜与政</t>
  </si>
  <si>
    <t>ミウラ　キヨマサ</t>
  </si>
  <si>
    <t>三浦　雅翔</t>
  </si>
  <si>
    <t>ミウラ　マサト</t>
  </si>
  <si>
    <t>笠置　湊斗</t>
  </si>
  <si>
    <t>カサギ　ミナト</t>
  </si>
  <si>
    <t>村上　魁仁</t>
  </si>
  <si>
    <t>ムラカミ　カイト</t>
  </si>
  <si>
    <t>嶋津　琥珀</t>
  </si>
  <si>
    <t>シマヅ　コハク</t>
  </si>
  <si>
    <t>南　怜</t>
  </si>
  <si>
    <t>ミナミ　レイ</t>
  </si>
  <si>
    <t>古屋　直己</t>
  </si>
  <si>
    <t>コヤ　ナオキ</t>
  </si>
  <si>
    <t>本久　旭</t>
  </si>
  <si>
    <t>モトヒサ　アサヒ</t>
  </si>
  <si>
    <t>足立　徠</t>
  </si>
  <si>
    <t>アダチ　ライ</t>
  </si>
  <si>
    <t>髙浪　颯馬</t>
  </si>
  <si>
    <t>タカナミ　ソウマ</t>
  </si>
  <si>
    <t>杉田　翔</t>
  </si>
  <si>
    <t>スギタ　ショウ</t>
  </si>
  <si>
    <t>堀　晴翔</t>
  </si>
  <si>
    <t>ホリ　ハルト</t>
  </si>
  <si>
    <t>首藤　舞空</t>
  </si>
  <si>
    <t>シュトウ　マソラ</t>
  </si>
  <si>
    <t>中島　颯汰</t>
  </si>
  <si>
    <t>ナカシマ　ソウタ</t>
  </si>
  <si>
    <t>足立　陸</t>
  </si>
  <si>
    <t>アダチ　リク</t>
  </si>
  <si>
    <t>緒方　惇人</t>
  </si>
  <si>
    <t>オガタ　アツト</t>
  </si>
  <si>
    <t>古川　雄惺</t>
  </si>
  <si>
    <t>フルカワ　ユウセイ</t>
  </si>
  <si>
    <t>足立　雅樹</t>
  </si>
  <si>
    <t>アダチ　マサキ</t>
  </si>
  <si>
    <t>髙浪　遼馬</t>
  </si>
  <si>
    <t>タカナミ　リョウマ</t>
  </si>
  <si>
    <t>加藤　隆将</t>
  </si>
  <si>
    <t>カトウ　タカマサ</t>
  </si>
  <si>
    <t>吉成　優誠</t>
  </si>
  <si>
    <t>ヨシナリ　ユウセイ</t>
  </si>
  <si>
    <t>松本　透空</t>
  </si>
  <si>
    <t>マツモト　トア</t>
  </si>
  <si>
    <t>中村　龍星</t>
  </si>
  <si>
    <t>ナカムラ　リュウセイ</t>
  </si>
  <si>
    <t>河辺　冬伍</t>
  </si>
  <si>
    <t>カワベ　トウゴ</t>
  </si>
  <si>
    <t>小野　清志郎</t>
  </si>
  <si>
    <t>オノ　キヨシロウ</t>
  </si>
  <si>
    <t>梶谷　暖樹</t>
  </si>
  <si>
    <t>カジタニ　ハルキ</t>
  </si>
  <si>
    <t>竹之内　浬</t>
  </si>
  <si>
    <t>タケノウチ　カイリ</t>
  </si>
  <si>
    <t>佐藤　陽和</t>
  </si>
  <si>
    <t>サトウ　ヒヨリ</t>
  </si>
  <si>
    <t>江藤　蒼太</t>
  </si>
  <si>
    <t>エトウ　ソウタ</t>
  </si>
  <si>
    <t>堤　涼空</t>
  </si>
  <si>
    <t>ツツミ　リク</t>
  </si>
  <si>
    <t>友永　樹馬</t>
  </si>
  <si>
    <t>トモナガ　タツマ</t>
  </si>
  <si>
    <t>村上　右京</t>
  </si>
  <si>
    <t>ムラカミ　ウキョウ</t>
  </si>
  <si>
    <t>大野　仁</t>
  </si>
  <si>
    <t>オオノ　ジン</t>
  </si>
  <si>
    <t>須藤　世成</t>
  </si>
  <si>
    <t>ストウ　セナ</t>
  </si>
  <si>
    <t>小野　颯人</t>
  </si>
  <si>
    <t>オノ　ハヤト</t>
  </si>
  <si>
    <t>藤田　修亮</t>
  </si>
  <si>
    <t>フジタ　シュウスケ</t>
  </si>
  <si>
    <t>安東　周平</t>
  </si>
  <si>
    <t>アンドウ　シュウヘイ</t>
  </si>
  <si>
    <t>牧野　寛大</t>
  </si>
  <si>
    <t>マキノ　カンタ</t>
  </si>
  <si>
    <t>阿部　聡介</t>
  </si>
  <si>
    <t>アベ　ソウスケ</t>
  </si>
  <si>
    <t>中山　蓮珠</t>
  </si>
  <si>
    <t>ナカヤマ　レンジュ</t>
  </si>
  <si>
    <t>川畑　佑太</t>
  </si>
  <si>
    <t>カワバタ　ユウタ</t>
  </si>
  <si>
    <t>阿部　陽琥</t>
  </si>
  <si>
    <t>アベ　ハルク</t>
  </si>
  <si>
    <t>井藤　禅和</t>
  </si>
  <si>
    <t>イトウ　セワ</t>
  </si>
  <si>
    <t>荒金　陵平</t>
  </si>
  <si>
    <t>アラカネ　リョウヘイ</t>
  </si>
  <si>
    <t>青柳　陽貴</t>
  </si>
  <si>
    <t>アオヤギ　ハルキ</t>
  </si>
  <si>
    <t>藤本　颯空</t>
  </si>
  <si>
    <t>フジモト　ソラ</t>
  </si>
  <si>
    <t>椎葉　悠月</t>
  </si>
  <si>
    <t>シイバ　ユヅキ</t>
  </si>
  <si>
    <t>小川　嘉生斗</t>
  </si>
  <si>
    <t>オガワ　カブト</t>
  </si>
  <si>
    <t>荒金　淳平</t>
  </si>
  <si>
    <t>アラカネ　ジュンペイ</t>
  </si>
  <si>
    <t>小川　湊斗</t>
  </si>
  <si>
    <t>オガワ　ミナト</t>
  </si>
  <si>
    <t>後藤　翔琉</t>
  </si>
  <si>
    <t>ゴトウ　カイリ</t>
  </si>
  <si>
    <t>後藤　叶翔</t>
  </si>
  <si>
    <t>ゴトウ　トア</t>
  </si>
  <si>
    <t>井上　龍馬</t>
  </si>
  <si>
    <t>イノウエ　リョウマ</t>
  </si>
  <si>
    <t>野上　颯太</t>
  </si>
  <si>
    <t>ノガミ　ソウタ</t>
  </si>
  <si>
    <t>橋本　蓮</t>
  </si>
  <si>
    <t>ハシモト　レン</t>
  </si>
  <si>
    <t>長尾　龍真</t>
  </si>
  <si>
    <t>ナガオ　リョウマ</t>
  </si>
  <si>
    <t>伊藤　大翔</t>
  </si>
  <si>
    <t>イトウ　ヤマト</t>
  </si>
  <si>
    <t>北原　悠翔</t>
  </si>
  <si>
    <t>キタハラ　ユウト</t>
  </si>
  <si>
    <t>北原　幸侑</t>
  </si>
  <si>
    <t>キタハラ　コウスケ</t>
  </si>
  <si>
    <t>後藤　喬亮</t>
  </si>
  <si>
    <t>ゴトウ　キョウスケ</t>
  </si>
  <si>
    <t>首藤　志音</t>
  </si>
  <si>
    <t>シュトウ　シオン</t>
  </si>
  <si>
    <t>佐藤　凛月</t>
  </si>
  <si>
    <t>サトウ　リツキ</t>
  </si>
  <si>
    <t>矢野　都織</t>
  </si>
  <si>
    <t>ヤノ　トオリ</t>
  </si>
  <si>
    <t>柴田　光貴</t>
  </si>
  <si>
    <t>シバタ　コウキ</t>
  </si>
  <si>
    <t>諌山　心空</t>
  </si>
  <si>
    <t>イサヤマ　コア</t>
  </si>
  <si>
    <t>匹田　心絆</t>
  </si>
  <si>
    <t>ヒキタ　ココナ</t>
  </si>
  <si>
    <t>河原　岳</t>
  </si>
  <si>
    <t>カワハラ　ガク</t>
  </si>
  <si>
    <t>野上　瑛太</t>
  </si>
  <si>
    <t>ノガミ　エイタ</t>
  </si>
  <si>
    <t>二宮　蓮王</t>
  </si>
  <si>
    <t>ニノミヤ　レオ</t>
  </si>
  <si>
    <t>阿南　櫂</t>
  </si>
  <si>
    <t>アナン　カイ</t>
  </si>
  <si>
    <t>足立　誠悟</t>
  </si>
  <si>
    <t>アダチ　セイゴ</t>
  </si>
  <si>
    <t>宮部　拓斗</t>
  </si>
  <si>
    <t>ミヤベ　タクト</t>
  </si>
  <si>
    <t>座木　功伸</t>
  </si>
  <si>
    <t>ザキ　コウシン</t>
  </si>
  <si>
    <t>牧　春花</t>
  </si>
  <si>
    <t>マキ　ハルカ</t>
  </si>
  <si>
    <t>貝塚　新</t>
  </si>
  <si>
    <t>カイヅカ　アラタ</t>
  </si>
  <si>
    <t>久保　絆人</t>
  </si>
  <si>
    <t>クボ　キト</t>
  </si>
  <si>
    <t>松木　海耀</t>
  </si>
  <si>
    <t>マツキ　カイヨウ</t>
  </si>
  <si>
    <t>松浦　朝陽</t>
  </si>
  <si>
    <t>マツウラ　アサヒ</t>
  </si>
  <si>
    <t>山本　蒼汰</t>
  </si>
  <si>
    <t>ヤマモト　ソウタ</t>
  </si>
  <si>
    <t>森﨑　悠斗</t>
  </si>
  <si>
    <t>モリサキ　ユウト</t>
  </si>
  <si>
    <t>安藤　翔和</t>
  </si>
  <si>
    <t>アンドウ　ショウイ</t>
  </si>
  <si>
    <t>岡部　友咲</t>
  </si>
  <si>
    <t>オカベ　ユウサク</t>
  </si>
  <si>
    <t>姫野　愛椛</t>
  </si>
  <si>
    <t>ヒメノ　マナカ</t>
  </si>
  <si>
    <t>江藤　大稀</t>
  </si>
  <si>
    <t>エトウ　ダイキ</t>
  </si>
  <si>
    <t>安東　新泰</t>
  </si>
  <si>
    <t>アンドウ　アラタ</t>
  </si>
  <si>
    <t>小野　蓮華</t>
  </si>
  <si>
    <t>オノ　レンカ</t>
  </si>
  <si>
    <t>芦刈　翔真</t>
  </si>
  <si>
    <t>アシカリ　ショウマ</t>
  </si>
  <si>
    <t>佐藤　大夢</t>
  </si>
  <si>
    <t>サトウ　ヒロム</t>
  </si>
  <si>
    <t>鈴木　琉斗</t>
  </si>
  <si>
    <t>スズキ　リュウト</t>
  </si>
  <si>
    <t>中村　楽</t>
  </si>
  <si>
    <t>ナカムラ　ガク</t>
  </si>
  <si>
    <t>鈴木　玲央</t>
  </si>
  <si>
    <t>スズキ　レオ</t>
  </si>
  <si>
    <t>芦刈　乃莉</t>
  </si>
  <si>
    <t>アシカリ　アイリ</t>
  </si>
  <si>
    <t>西田　遼斗</t>
  </si>
  <si>
    <t>ニシダ　ハルト</t>
  </si>
  <si>
    <t>冬田　斗梧</t>
  </si>
  <si>
    <t>フユタ　トウゴ</t>
  </si>
  <si>
    <t>武生　翔空</t>
  </si>
  <si>
    <t>タケオ　トア</t>
  </si>
  <si>
    <t>鈴木　瑠依</t>
  </si>
  <si>
    <t>スズキ　ルイ</t>
  </si>
  <si>
    <t>武生　琉翔</t>
  </si>
  <si>
    <t>タケオ　ルイト</t>
  </si>
  <si>
    <t>下村　優斗</t>
  </si>
  <si>
    <t>シモムラ　ユウト</t>
  </si>
  <si>
    <t>北川　藍生</t>
  </si>
  <si>
    <t>キタガワ　アイキ</t>
  </si>
  <si>
    <t>増野　橙磨</t>
  </si>
  <si>
    <t>マスノ　トウマ</t>
  </si>
  <si>
    <t>藤野　璃空</t>
  </si>
  <si>
    <t>フジノ　リクウ</t>
  </si>
  <si>
    <t>漆間　悠介</t>
  </si>
  <si>
    <t>ウルマ　ユウスケ</t>
  </si>
  <si>
    <t>長野　佑都</t>
  </si>
  <si>
    <t>ナガノ　ユウト</t>
  </si>
  <si>
    <t>澤谷　昊汰</t>
  </si>
  <si>
    <t>サワヤ　コウタ</t>
  </si>
  <si>
    <t>漆間　琉晟</t>
  </si>
  <si>
    <t>ウルマ　リュウセイ</t>
  </si>
  <si>
    <t>戸田　有哉</t>
  </si>
  <si>
    <t>トダ　ユウヤ</t>
  </si>
  <si>
    <t>松岡　航希</t>
  </si>
  <si>
    <t>マツオカ　コウキ</t>
  </si>
  <si>
    <t>宮本　櫂吏</t>
  </si>
  <si>
    <t>ミヤモト　カイリ</t>
  </si>
  <si>
    <t>長岡　暖真</t>
  </si>
  <si>
    <t>ナガオカ　ハルマ</t>
  </si>
  <si>
    <t>阿南　波玖</t>
  </si>
  <si>
    <t>アナン　ハク</t>
  </si>
  <si>
    <t>小山　新太</t>
  </si>
  <si>
    <t>コヤマ　アラタ</t>
  </si>
  <si>
    <t>富来　奏多</t>
  </si>
  <si>
    <t>トミク　ソウタ</t>
  </si>
  <si>
    <t>前田　知希</t>
  </si>
  <si>
    <t>マエダ　トモキ</t>
  </si>
  <si>
    <t>敷嶋　慶武</t>
  </si>
  <si>
    <t>シキシマ　ケイタ</t>
  </si>
  <si>
    <t>高橋　泰來</t>
  </si>
  <si>
    <t>タカハシ　タイラ</t>
  </si>
  <si>
    <t>日高　颯真</t>
  </si>
  <si>
    <t>ヒダカ　ソウマ</t>
  </si>
  <si>
    <t>釘宮　蓮</t>
  </si>
  <si>
    <t>クギミヤ　レン</t>
  </si>
  <si>
    <t>牧　凛生</t>
  </si>
  <si>
    <t>マキ　リオウ</t>
  </si>
  <si>
    <t>大塚　蒼生</t>
  </si>
  <si>
    <t>オオツカ　アオイ</t>
  </si>
  <si>
    <t>仲村　健介</t>
  </si>
  <si>
    <t>ナカムラ　ケンスケ</t>
  </si>
  <si>
    <t>安部　煌大</t>
  </si>
  <si>
    <t>アベ　コウダイ</t>
  </si>
  <si>
    <t>梶原　晟瑠紫</t>
  </si>
  <si>
    <t>カジワラ　テルム</t>
  </si>
  <si>
    <t>太田　陽斗</t>
  </si>
  <si>
    <t>オオタ　ハルト</t>
  </si>
  <si>
    <t>弦本　康太</t>
  </si>
  <si>
    <t>ツルモト　コウタ</t>
  </si>
  <si>
    <t>弦本　雄太</t>
  </si>
  <si>
    <t>ツルモト　ユウタ</t>
  </si>
  <si>
    <t>敷嶋　健翔</t>
  </si>
  <si>
    <t>シキシマ　タケル</t>
  </si>
  <si>
    <t>釘宮　悠</t>
  </si>
  <si>
    <t>クギミヤ　ハル</t>
  </si>
  <si>
    <t>佐藤　蓮斗</t>
  </si>
  <si>
    <t>サトウ　レント</t>
  </si>
  <si>
    <t>衛本　翔</t>
  </si>
  <si>
    <t>エモト　ショウ</t>
  </si>
  <si>
    <t>長野　巧</t>
  </si>
  <si>
    <t>ナガノ　タクミ</t>
  </si>
  <si>
    <t>森田　一真</t>
  </si>
  <si>
    <t>モリタ　カズマ</t>
  </si>
  <si>
    <t>阿南　頼仁</t>
  </si>
  <si>
    <t>アナン　ライト</t>
  </si>
  <si>
    <t>小代　仁菜</t>
  </si>
  <si>
    <t>オジロ　ニナ</t>
  </si>
  <si>
    <t>永竿　友大</t>
  </si>
  <si>
    <t>ナガサオ　ユウダイ</t>
  </si>
  <si>
    <t>佐藤　楓真</t>
  </si>
  <si>
    <t>サトウ　フウマ</t>
  </si>
  <si>
    <t>西條　伶</t>
  </si>
  <si>
    <t>サイジョウ　リョウ</t>
  </si>
  <si>
    <t>髙橋　陽那汰</t>
  </si>
  <si>
    <t>タカハシ　ヒナタ</t>
  </si>
  <si>
    <t>三浦　琉空</t>
  </si>
  <si>
    <t>ミウラ　リク</t>
  </si>
  <si>
    <t>渡邊　蒼一朗</t>
  </si>
  <si>
    <t>ワタナベ　ソウイチロウ</t>
  </si>
  <si>
    <t>田﨑　蒼</t>
  </si>
  <si>
    <t>タサキ　アオイ</t>
  </si>
  <si>
    <t>石井　龍太</t>
  </si>
  <si>
    <t>イシイ　リュウタ</t>
  </si>
  <si>
    <t>高橋　和希</t>
  </si>
  <si>
    <t>タカハシ　カズキ</t>
  </si>
  <si>
    <t>サトウ　リヨウマ</t>
  </si>
  <si>
    <t>森本　圭祐</t>
  </si>
  <si>
    <t>モリモト　ケイスケ</t>
  </si>
  <si>
    <t>首藤　凛太郎</t>
  </si>
  <si>
    <t>シュトウ　リンタロウ</t>
  </si>
  <si>
    <t>霍田　健</t>
  </si>
  <si>
    <t>ツルタ　タケル</t>
  </si>
  <si>
    <t>副田　紗葵</t>
  </si>
  <si>
    <t>ソエダ　サキ</t>
  </si>
  <si>
    <t>和田　心陽</t>
  </si>
  <si>
    <t>ワダ　ムネハル</t>
  </si>
  <si>
    <t>副田　悠生</t>
  </si>
  <si>
    <t>ソエダ　ハルキ</t>
  </si>
  <si>
    <t>川瀬　龍馬</t>
  </si>
  <si>
    <t>カワセ　リョウマ</t>
  </si>
  <si>
    <t>弓削　颯允</t>
  </si>
  <si>
    <t>ユゲ　ソウマ</t>
  </si>
  <si>
    <t>田村　宥一郎</t>
  </si>
  <si>
    <t>タムラ　ユウイチロウ</t>
  </si>
  <si>
    <t>二宮　八大</t>
  </si>
  <si>
    <t>ニノミヤ　ハチダイ</t>
  </si>
  <si>
    <t>工藤　颯真</t>
  </si>
  <si>
    <t>クドウ　ソウマ</t>
  </si>
  <si>
    <t>恵藤　和海</t>
  </si>
  <si>
    <t>エトウ　カズミ</t>
  </si>
  <si>
    <t>佐藤　太一</t>
  </si>
  <si>
    <t>サトウ　タイチ</t>
  </si>
  <si>
    <t>恵藤　太陽</t>
  </si>
  <si>
    <t>エトウ　タイヨウ</t>
  </si>
  <si>
    <t>村上　陽哉</t>
  </si>
  <si>
    <t>ムラカミ　ハルヤ</t>
  </si>
  <si>
    <t>菅原　泰成</t>
  </si>
  <si>
    <t>スガハラ　タイセイ</t>
  </si>
  <si>
    <t>佐藤　俊平</t>
  </si>
  <si>
    <t>サトウ　シュンペイ</t>
  </si>
  <si>
    <t>髙野　充生</t>
  </si>
  <si>
    <t>タカノ　アツキ</t>
  </si>
  <si>
    <t>金崎　瑞樹</t>
  </si>
  <si>
    <t>カナザキ　ミズキ</t>
  </si>
  <si>
    <t>西　琉汰</t>
  </si>
  <si>
    <t>ニシ　リュウタ</t>
  </si>
  <si>
    <t>長尾　晟太朗</t>
  </si>
  <si>
    <t>ナガオ　セイタロウ</t>
  </si>
  <si>
    <t>衛藤　空樹</t>
  </si>
  <si>
    <t>エトウ　アイキ</t>
  </si>
  <si>
    <t>宗　志優</t>
  </si>
  <si>
    <t>ソウ　シユウ</t>
  </si>
  <si>
    <t>長岡　輝一</t>
  </si>
  <si>
    <t>ナガオカ　キイチ</t>
  </si>
  <si>
    <t>小畠　健</t>
  </si>
  <si>
    <t>オバタ　タケル</t>
  </si>
  <si>
    <t>三浦　悠生</t>
  </si>
  <si>
    <t>ミウラ　ハルキ</t>
  </si>
  <si>
    <t>岩本　乙花</t>
  </si>
  <si>
    <t>イワモト　オトカ</t>
  </si>
  <si>
    <t>竹内　新汰</t>
  </si>
  <si>
    <t>タケウチ　アラタ</t>
  </si>
  <si>
    <t>日出サッカースポーツ少年団</t>
  </si>
  <si>
    <t>上野　暖和</t>
  </si>
  <si>
    <t>ウエノ　ハルト</t>
  </si>
  <si>
    <t>黒木　竣太</t>
  </si>
  <si>
    <t>クロキ　シュンタ</t>
  </si>
  <si>
    <t>赤山　慎一郎</t>
  </si>
  <si>
    <t>アカヤマ　シンイチロウ</t>
  </si>
  <si>
    <t>高月　海真</t>
  </si>
  <si>
    <t>タカツキ　カイシン</t>
  </si>
  <si>
    <t>北川　優真</t>
  </si>
  <si>
    <t>キタガワ　ユウマ</t>
  </si>
  <si>
    <t>田口　心彩</t>
  </si>
  <si>
    <t>タグチ　ココロ</t>
  </si>
  <si>
    <t>本田　大知</t>
  </si>
  <si>
    <t>ホンダ　ダイチ</t>
  </si>
  <si>
    <t>山﨑　虎太郎</t>
  </si>
  <si>
    <t>ヤマサキ　コタロウ</t>
  </si>
  <si>
    <t>田口　稟太朗</t>
  </si>
  <si>
    <t>タグチ　リンタロウ</t>
  </si>
  <si>
    <t>塩崎　一夏</t>
  </si>
  <si>
    <t>シオサキ　イチカ</t>
  </si>
  <si>
    <t>赤山　侑希</t>
  </si>
  <si>
    <t>アカヤマ　ユキ</t>
  </si>
  <si>
    <t>神田　悠矢</t>
  </si>
  <si>
    <t>カンダ　ハルヤ</t>
  </si>
  <si>
    <t>三浦　丈瑠</t>
  </si>
  <si>
    <t>ミウラ　タケル</t>
  </si>
  <si>
    <t>高月　祥真</t>
  </si>
  <si>
    <t>タカツキ　ショウシン</t>
  </si>
  <si>
    <t>渡町台サッカークラブ</t>
  </si>
  <si>
    <t>多田　怜真</t>
  </si>
  <si>
    <t>タダ　リョウマ</t>
  </si>
  <si>
    <t>團塚　煌</t>
  </si>
  <si>
    <t>ダンヅカ　コウ</t>
  </si>
  <si>
    <t>高石　靖太</t>
  </si>
  <si>
    <t>タカイシ　セイタ</t>
  </si>
  <si>
    <t>小野　夏希</t>
  </si>
  <si>
    <t>オノ　ナツキ</t>
  </si>
  <si>
    <t>山本　紗奈</t>
  </si>
  <si>
    <t>ヤマモト　サナ</t>
  </si>
  <si>
    <t>青木　大和</t>
  </si>
  <si>
    <t>アオキ　ヤマト</t>
  </si>
  <si>
    <t>宮脇　遙冴</t>
  </si>
  <si>
    <t>ミヤワキ　ハルヒ</t>
  </si>
  <si>
    <t>上杉　想真</t>
  </si>
  <si>
    <t>ウエスギ　ソウマ</t>
  </si>
  <si>
    <t>安藤　岳</t>
  </si>
  <si>
    <t>アンドウ　ガク</t>
  </si>
  <si>
    <t>増野　瑛</t>
  </si>
  <si>
    <t>マスノ　アキラ</t>
  </si>
  <si>
    <t>三浦　龍星</t>
  </si>
  <si>
    <t>ミウラ　リュウセイ</t>
  </si>
  <si>
    <t>岩本　悠希</t>
  </si>
  <si>
    <t>イワモト　ハルキ</t>
  </si>
  <si>
    <t>白江　朔麻</t>
  </si>
  <si>
    <t>シラエ　サクマ</t>
  </si>
  <si>
    <t>溝濱　穂花</t>
  </si>
  <si>
    <t>ミゾハマ　ホノカ</t>
  </si>
  <si>
    <t>谷　廉太郎</t>
  </si>
  <si>
    <t>タニ　レンタロウ</t>
  </si>
  <si>
    <t>首藤　悠緋</t>
  </si>
  <si>
    <t>シュトウ　ユウヒ</t>
  </si>
  <si>
    <t>岩尾　康祐</t>
  </si>
  <si>
    <t>イワオ　コウスケ</t>
  </si>
  <si>
    <t>青木　稜羽</t>
  </si>
  <si>
    <t>アオキ　リウ</t>
  </si>
  <si>
    <t>松尾　瑛人</t>
  </si>
  <si>
    <t>マツオ　エイト</t>
  </si>
  <si>
    <t>行平　健晟</t>
  </si>
  <si>
    <t>ユキヒラ　ケンセイ</t>
  </si>
  <si>
    <t>手嶋　功士郎</t>
  </si>
  <si>
    <t>テシマ　コウシロウ</t>
  </si>
  <si>
    <t>江藤　大央</t>
  </si>
  <si>
    <t>エトウ　タオ</t>
  </si>
  <si>
    <t>小野　太誠</t>
  </si>
  <si>
    <t>オノ　タイセイ</t>
  </si>
  <si>
    <t>幸野　駿汰</t>
  </si>
  <si>
    <t>コウノ　シュンタ</t>
  </si>
  <si>
    <t>秋月　凛太</t>
  </si>
  <si>
    <t>アキヅキ　リンタ</t>
  </si>
  <si>
    <t>今山　俊ノ助</t>
  </si>
  <si>
    <t>イマヤマ　シュンノスケ</t>
  </si>
  <si>
    <t>秋吉　侃太</t>
  </si>
  <si>
    <t>アキヨシ　カンタ</t>
  </si>
  <si>
    <t>大野　拓翔</t>
  </si>
  <si>
    <t>オオノ　タクト</t>
  </si>
  <si>
    <t>山本　勘太</t>
  </si>
  <si>
    <t>ヤマゾト　カンタ</t>
  </si>
  <si>
    <t>豊後高田ＦＣ　Ｂｏｒｄｅｒ　Ｊｒ</t>
  </si>
  <si>
    <t>岩永　光叶</t>
  </si>
  <si>
    <t>イワナガ　ヒロト</t>
  </si>
  <si>
    <t>平岡　寛望</t>
  </si>
  <si>
    <t>ヒラオカ　ヒロム</t>
  </si>
  <si>
    <t>宮本　雄一稀</t>
  </si>
  <si>
    <t>ミヤモト　ユイキ</t>
  </si>
  <si>
    <t>大塚　祐也</t>
  </si>
  <si>
    <t>オオツカ　ユウヤ</t>
  </si>
  <si>
    <t>上條　彩美</t>
  </si>
  <si>
    <t>カミジョウ　アヤミ</t>
  </si>
  <si>
    <t>平岡　歩望</t>
  </si>
  <si>
    <t>ヒラオカ　アユム</t>
  </si>
  <si>
    <t>山田　唯</t>
  </si>
  <si>
    <t>ヤマダ　ユイ</t>
  </si>
  <si>
    <t>水江　果鈴</t>
  </si>
  <si>
    <t>ミズエ　カリン</t>
  </si>
  <si>
    <t>秋田　大和</t>
  </si>
  <si>
    <t>アキタ　ヤマト</t>
  </si>
  <si>
    <t>後藤　蒼真</t>
  </si>
  <si>
    <t>ゴトウ　ソウマ</t>
  </si>
  <si>
    <t>野田　尚吾</t>
  </si>
  <si>
    <t>ノダ　ショウゴ</t>
  </si>
  <si>
    <t>江口　蓮樹</t>
  </si>
  <si>
    <t>エグチ　レンキ</t>
  </si>
  <si>
    <t>青山　大志</t>
  </si>
  <si>
    <t>アオヤマ　ダイシ</t>
  </si>
  <si>
    <t>明石　汐心</t>
  </si>
  <si>
    <t>アカイシシ　ユウシン</t>
  </si>
  <si>
    <t>岩永　光琉</t>
  </si>
  <si>
    <t>竹田直入ＦＣ</t>
  </si>
  <si>
    <t>菅　泰河</t>
  </si>
  <si>
    <t>スガ　タイガ</t>
  </si>
  <si>
    <t>山中　夏紗音</t>
  </si>
  <si>
    <t>ヤマナカ　カサネ</t>
  </si>
  <si>
    <t>佐藤　雄輝</t>
  </si>
  <si>
    <t>サトウ　ユウキ</t>
  </si>
  <si>
    <t>小林　里奈</t>
  </si>
  <si>
    <t>コバヤシ　リナ</t>
  </si>
  <si>
    <t>吉良　皓心</t>
  </si>
  <si>
    <t>キラ　コウシン</t>
  </si>
  <si>
    <t>坂本　陽</t>
  </si>
  <si>
    <t>サカモト　ハル</t>
  </si>
  <si>
    <t>内川　愛梨</t>
  </si>
  <si>
    <t>ウチカワ　アイリ</t>
  </si>
  <si>
    <t>金田　敦暉</t>
  </si>
  <si>
    <t>クドウ　アツキ</t>
  </si>
  <si>
    <t>渡邊　彩人</t>
  </si>
  <si>
    <t>ワタナベ　アヤト</t>
  </si>
  <si>
    <t>後藤　侑大</t>
  </si>
  <si>
    <t>ゴトウ　ユウタ</t>
  </si>
  <si>
    <t>土屋　諒悟</t>
  </si>
  <si>
    <t>ツチヤ　リョウゴ</t>
  </si>
  <si>
    <t>佐田　悠斗</t>
  </si>
  <si>
    <t>サダ　ハルト</t>
  </si>
  <si>
    <t>成田　怜</t>
  </si>
  <si>
    <t>ナリタ　レイ</t>
  </si>
  <si>
    <t>瓜生　姫七夕</t>
  </si>
  <si>
    <t>ウリウ　ヒナタ</t>
  </si>
  <si>
    <t>渡邊　光稀</t>
  </si>
  <si>
    <t>ワタナベ　ミツキ</t>
  </si>
  <si>
    <t>羽田野　陸</t>
  </si>
  <si>
    <t>ハダノ　リク</t>
  </si>
  <si>
    <t>南立石サッカースポーツ少年団</t>
  </si>
  <si>
    <t>上田　一護</t>
  </si>
  <si>
    <t>ウエダ　イチゴ</t>
  </si>
  <si>
    <t>佐藤　宗義</t>
  </si>
  <si>
    <t>サトウ　ムネヨシ</t>
  </si>
  <si>
    <t>後藤　大夢</t>
  </si>
  <si>
    <t>ゴトウ　ヒロム</t>
  </si>
  <si>
    <t>有村　一翔</t>
  </si>
  <si>
    <t>アリムラ　カズト</t>
  </si>
  <si>
    <t>澤井　衣愛</t>
  </si>
  <si>
    <t>サワイ　イチカ</t>
  </si>
  <si>
    <t>工藤　大空</t>
  </si>
  <si>
    <t>クドウ　ツバサ</t>
  </si>
  <si>
    <t>廣田　瑠依</t>
  </si>
  <si>
    <t>ヒロタ　ルイ</t>
  </si>
  <si>
    <t>澤井　司聡</t>
  </si>
  <si>
    <t>サワイ　ツカサ</t>
  </si>
  <si>
    <t>藤原　翔斗</t>
  </si>
  <si>
    <t>フジワラ　ソラト</t>
  </si>
  <si>
    <t>松浦　幸輝</t>
  </si>
  <si>
    <t>マツウラ　コウキ</t>
  </si>
  <si>
    <t>釘宮　旭希</t>
  </si>
  <si>
    <t>クギミヤ　アサキ</t>
  </si>
  <si>
    <t>大久保　孝紀</t>
  </si>
  <si>
    <t>オオクボ　コウキ</t>
  </si>
  <si>
    <t>井上　晴人</t>
  </si>
  <si>
    <t>イノウエ　ハルト</t>
  </si>
  <si>
    <t>佐藤　譲治</t>
  </si>
  <si>
    <t>サトウ　ジョウジ</t>
  </si>
  <si>
    <t>川瀬　晴斗</t>
  </si>
  <si>
    <t>カワセ　ハルト</t>
  </si>
  <si>
    <t>原田　智弘</t>
  </si>
  <si>
    <t>ハラダ　トモヒロ</t>
  </si>
  <si>
    <t>江藤　治人</t>
  </si>
  <si>
    <t>エトウ　ハルト</t>
  </si>
  <si>
    <t>阿部　京輔</t>
  </si>
  <si>
    <t>アベ　キョウスケ</t>
  </si>
  <si>
    <t>宇野　藤獅郎</t>
  </si>
  <si>
    <t>ウノ　トウシロウ</t>
  </si>
  <si>
    <t>當麻　晃基</t>
  </si>
  <si>
    <t>トウマ　コウキ</t>
  </si>
  <si>
    <t>西江　真翔</t>
  </si>
  <si>
    <t>ニシエ　マナト</t>
  </si>
  <si>
    <t>池田　蒼梧</t>
  </si>
  <si>
    <t>イケダ　ソウゴ</t>
  </si>
  <si>
    <t>菊川　翼</t>
  </si>
  <si>
    <t>キクガワ　ツバサ</t>
  </si>
  <si>
    <t>木村　琳一</t>
  </si>
  <si>
    <t>キムラ　リヒト</t>
  </si>
  <si>
    <t>大塚　優河</t>
  </si>
  <si>
    <t>オオツカ　ユウガ</t>
  </si>
  <si>
    <t>中鶴　悠翔</t>
  </si>
  <si>
    <t>ナカツル　ユウト</t>
  </si>
  <si>
    <t>岩田　遥斗</t>
  </si>
  <si>
    <t>イワタ　ハルト</t>
  </si>
  <si>
    <t>上田　拳己</t>
  </si>
  <si>
    <t>ウエダ　ゲンキ</t>
  </si>
  <si>
    <t>渡辺　海輝</t>
  </si>
  <si>
    <t>ワタナベ　カイキ</t>
  </si>
  <si>
    <t>石田　頼樹</t>
  </si>
  <si>
    <t>イシダ　ライキ</t>
  </si>
  <si>
    <t>川畑　蒼空</t>
  </si>
  <si>
    <t>カワバタ　ソア</t>
  </si>
  <si>
    <t>安部　來輝</t>
  </si>
  <si>
    <t>アベ　ライキ</t>
  </si>
  <si>
    <t>牧　紫音</t>
  </si>
  <si>
    <t>マキ　シオン</t>
  </si>
  <si>
    <t>江崎　陽悠</t>
  </si>
  <si>
    <t>エザキ　ハルチカ</t>
  </si>
  <si>
    <t>丹生　昴亨</t>
  </si>
  <si>
    <t>ニュウ　タカユキ</t>
  </si>
  <si>
    <t>政村　青空</t>
  </si>
  <si>
    <t>マサムラ　ソラ</t>
  </si>
  <si>
    <t>阿孫　羽南</t>
  </si>
  <si>
    <t>アソン　ハナ</t>
  </si>
  <si>
    <t>松尾　翔</t>
  </si>
  <si>
    <t>マツオ　ショウ</t>
  </si>
  <si>
    <t>重住　龍真</t>
  </si>
  <si>
    <t>シゲズミ　リュウマ</t>
  </si>
  <si>
    <t>赤峰　宗佑</t>
  </si>
  <si>
    <t>アカミネ　ソウスケ</t>
  </si>
  <si>
    <t>阿部　瑞己</t>
  </si>
  <si>
    <t>アベ　ミズキ</t>
  </si>
  <si>
    <t>重住　亮真</t>
  </si>
  <si>
    <t>シゲズミ　リョウマ</t>
  </si>
  <si>
    <t>鶴原　瑞葵</t>
  </si>
  <si>
    <t>ツルハラ　ミズキ</t>
  </si>
  <si>
    <t>椎葉　琉稀</t>
  </si>
  <si>
    <t>シイバ　ルキ</t>
  </si>
  <si>
    <t>阿孫　悠琉</t>
  </si>
  <si>
    <t>アソン　ハル</t>
  </si>
  <si>
    <t>赤峰　悠斗</t>
  </si>
  <si>
    <t>アカミネ　ハルト</t>
  </si>
  <si>
    <t>政村　春瑠</t>
  </si>
  <si>
    <t>マサムラ　ハル</t>
  </si>
  <si>
    <t>安部　伍輝</t>
  </si>
  <si>
    <t>アベ　イツキ</t>
  </si>
  <si>
    <t>河合　康太朗</t>
  </si>
  <si>
    <t>カワイ　コウタロウ</t>
  </si>
  <si>
    <t>平川　桃子</t>
  </si>
  <si>
    <t>ヒラカワ　モモコ</t>
  </si>
  <si>
    <t>玉井　葉夏</t>
  </si>
  <si>
    <t>タマイ　ハナ</t>
  </si>
  <si>
    <t>仲島　れある</t>
  </si>
  <si>
    <t>ナカシマ　レアル</t>
  </si>
  <si>
    <t>後藤　颯太</t>
  </si>
  <si>
    <t>ゴトウ　ソウタ</t>
  </si>
  <si>
    <t>木全　晃大</t>
  </si>
  <si>
    <t>キマタ　コウダイ</t>
  </si>
  <si>
    <t>児玉　遥翔</t>
  </si>
  <si>
    <t>コダマ　ハルカ</t>
  </si>
  <si>
    <t>桑田　優辰</t>
  </si>
  <si>
    <t>クワタ　ユウシン</t>
  </si>
  <si>
    <t>田中　進太郎</t>
  </si>
  <si>
    <t>タナカ　シンタロウ</t>
  </si>
  <si>
    <t>竹丸　哲平</t>
  </si>
  <si>
    <t>タケマル　テッペイ</t>
  </si>
  <si>
    <t>佐藤　大和</t>
  </si>
  <si>
    <t>サトウ　ヤマト</t>
  </si>
  <si>
    <t>長野　玲汰</t>
  </si>
  <si>
    <t>ナガノ　レイタ</t>
  </si>
  <si>
    <t>阿部　颯馬</t>
  </si>
  <si>
    <t>アベ　ソウマ</t>
  </si>
  <si>
    <t>箸尾　行真</t>
  </si>
  <si>
    <t>ハシオ　イクマ</t>
  </si>
  <si>
    <t>仲島　光嵐</t>
  </si>
  <si>
    <t>ナカシマ　ミラン</t>
  </si>
  <si>
    <t>安部　蔵乃介</t>
  </si>
  <si>
    <t>アベ　クラノスケ</t>
  </si>
  <si>
    <t>臼杵ＳＳＳ</t>
  </si>
  <si>
    <t>曽我　?地</t>
  </si>
  <si>
    <t>ソガ　ライチ</t>
  </si>
  <si>
    <t>三嶋　祐澄</t>
  </si>
  <si>
    <t>ミシマ　ユウト</t>
  </si>
  <si>
    <t>薬師寺　洵翔</t>
  </si>
  <si>
    <t>ヤクシジ　シュント</t>
  </si>
  <si>
    <t>伊東　倫生</t>
  </si>
  <si>
    <t>イトウ　トモキ</t>
  </si>
  <si>
    <t>大戸　隆成</t>
  </si>
  <si>
    <t>ネギ　リュウセイ</t>
  </si>
  <si>
    <t>荻野　蓮士</t>
  </si>
  <si>
    <t>オギノ　レント</t>
  </si>
  <si>
    <t>安藤　颯</t>
  </si>
  <si>
    <t>アンドウ　ハヤテ</t>
  </si>
  <si>
    <t>椎原　蓮丸</t>
  </si>
  <si>
    <t>シイハラ　レンマル</t>
  </si>
  <si>
    <t>芥川　勇翔</t>
  </si>
  <si>
    <t>アクタガワ　ユウト</t>
  </si>
  <si>
    <t>廣瀬　颯大</t>
  </si>
  <si>
    <t>ヒロセ　ソウタ</t>
  </si>
  <si>
    <t>甲斐　一護</t>
  </si>
  <si>
    <t>カイ　イチゴ</t>
  </si>
  <si>
    <t>椎原　颯哉</t>
  </si>
  <si>
    <t>シイハラ　ソウヤ</t>
  </si>
  <si>
    <t>大津　航大</t>
  </si>
  <si>
    <t>オオツ　コウダイ</t>
  </si>
  <si>
    <t>竹山　嘩音</t>
  </si>
  <si>
    <t>タケヤマ　カノン</t>
  </si>
  <si>
    <t>林　悠羽</t>
  </si>
  <si>
    <t>ハヤシ　ユウワ</t>
  </si>
  <si>
    <t>石田　翼</t>
  </si>
  <si>
    <t>イシダ　ツバサ</t>
  </si>
  <si>
    <t>渡辺　晃大</t>
  </si>
  <si>
    <t>ワタナベ　コウタ</t>
  </si>
  <si>
    <t>佐藤　和真</t>
  </si>
  <si>
    <t>サトウ　カズマ</t>
  </si>
  <si>
    <t>佐藤　翔真</t>
  </si>
  <si>
    <t>サトウ　ショウマ</t>
  </si>
  <si>
    <t>山本　教介</t>
  </si>
  <si>
    <t>ヤマモト　キョウスケ</t>
  </si>
  <si>
    <t>麻生　蓮</t>
  </si>
  <si>
    <t>アソウ　レン</t>
  </si>
  <si>
    <t>阿部　虎牙</t>
  </si>
  <si>
    <t>アベ　タイガ</t>
  </si>
  <si>
    <t>大石　陽也</t>
  </si>
  <si>
    <t>オオイシ　ハルヤ</t>
  </si>
  <si>
    <t>秋吉　玲桜叶</t>
  </si>
  <si>
    <t>アキヨシ　レオト</t>
  </si>
  <si>
    <t>後藤　快瑠</t>
  </si>
  <si>
    <t>ゴトウ　カイル</t>
  </si>
  <si>
    <t>依田　雄翔</t>
  </si>
  <si>
    <t>ヨダ　ユウショウ</t>
  </si>
  <si>
    <t>麻生　悠</t>
  </si>
  <si>
    <t>アソウ　ユウ</t>
  </si>
  <si>
    <t>安永　蒼史</t>
  </si>
  <si>
    <t>ヤスナガ　ソウシ</t>
  </si>
  <si>
    <t>安慶名　光誠</t>
  </si>
  <si>
    <t>アゲナ　コウセイ</t>
  </si>
  <si>
    <t>ＦＣ安岐</t>
  </si>
  <si>
    <t>伊賀上　陸</t>
  </si>
  <si>
    <t>イガガミ　リク</t>
  </si>
  <si>
    <t>松丸　真大</t>
  </si>
  <si>
    <t>マツマル　マサト</t>
  </si>
  <si>
    <t>仮屋　月雲</t>
  </si>
  <si>
    <t>カリヤ　ツクモ</t>
  </si>
  <si>
    <t>廣峯　咲功</t>
  </si>
  <si>
    <t>ヒロミネ　サク</t>
  </si>
  <si>
    <t>田中　理琥</t>
  </si>
  <si>
    <t>タナカ　リク</t>
  </si>
  <si>
    <t>明石　琉希亜</t>
  </si>
  <si>
    <t>アカシ　ルキア</t>
  </si>
  <si>
    <t>南　凌介</t>
  </si>
  <si>
    <t>ミナミ　リョウスケ</t>
  </si>
  <si>
    <t>上野　紗奈</t>
  </si>
  <si>
    <t>ウエノ　サナ</t>
  </si>
  <si>
    <t>小玉　湊翔</t>
  </si>
  <si>
    <t>コダマ　ミナト</t>
  </si>
  <si>
    <t>山田　蓮次</t>
  </si>
  <si>
    <t>ヤマダ　レンジ</t>
  </si>
  <si>
    <t>峯下　快斗</t>
  </si>
  <si>
    <t>ミネシタ　カイト</t>
  </si>
  <si>
    <t>参　優太朗</t>
  </si>
  <si>
    <t>サン　ユウタロウ</t>
  </si>
  <si>
    <t>勝見　悠樹</t>
  </si>
  <si>
    <t>カツミ　ユウキ</t>
  </si>
  <si>
    <t>木村　夢歩</t>
  </si>
  <si>
    <t>キムラ　ユア</t>
  </si>
  <si>
    <t>吉良　蒼祐</t>
  </si>
  <si>
    <t>キラ　ソウスケ</t>
  </si>
  <si>
    <t>青山　恭輔</t>
  </si>
  <si>
    <t>アオヤマ　キョウスケ</t>
  </si>
  <si>
    <t>伊東　凌</t>
  </si>
  <si>
    <t>イトウ　リョウ</t>
  </si>
  <si>
    <t>濱野　脩翔</t>
  </si>
  <si>
    <t>ハマノ　シュウト</t>
  </si>
  <si>
    <t>佐藤　睦翔</t>
  </si>
  <si>
    <t>サトウ　リクト</t>
  </si>
  <si>
    <t>佐々木　琉衣</t>
  </si>
  <si>
    <t>ササキ　ルイ</t>
  </si>
  <si>
    <t>都　凛太朗</t>
  </si>
  <si>
    <t>ミヤコ　リンタロウ</t>
  </si>
  <si>
    <t>市野　琉太</t>
  </si>
  <si>
    <t>イチノ　リュウタ</t>
  </si>
  <si>
    <t>橋本　錦空</t>
  </si>
  <si>
    <t>ハシモト　キング</t>
  </si>
  <si>
    <t>下嶋　龍斗</t>
  </si>
  <si>
    <t>シモジマ　リュウト</t>
  </si>
  <si>
    <t>中嶌　大喜</t>
  </si>
  <si>
    <t>ナカジマ　タイキ</t>
  </si>
  <si>
    <t>工藤　義人</t>
  </si>
  <si>
    <t>クドウ　ヨシト</t>
  </si>
  <si>
    <t>大橋　薫</t>
  </si>
  <si>
    <t>オオハシ　カオル</t>
  </si>
  <si>
    <t>矢田　孝太郎</t>
  </si>
  <si>
    <t>ヤダ　コウタロウ</t>
  </si>
  <si>
    <t>安波　颯人</t>
  </si>
  <si>
    <t>ヤスナミ　ハヤト</t>
  </si>
  <si>
    <t>堤　悠晴</t>
  </si>
  <si>
    <t>ツツミ　ユウセイ</t>
  </si>
  <si>
    <t>石田　大和</t>
  </si>
  <si>
    <t>イシダ　ヤマト</t>
  </si>
  <si>
    <t>福吉　晴斗</t>
  </si>
  <si>
    <t>フクヨシ　ハルト</t>
  </si>
  <si>
    <t>坂下　蓮</t>
  </si>
  <si>
    <t>サカシタ　レン</t>
  </si>
  <si>
    <t>藤田　遥大</t>
  </si>
  <si>
    <t>フジタ　ユウキ</t>
  </si>
  <si>
    <t>有田　悠真</t>
  </si>
  <si>
    <t>アリタ　ユウマ</t>
  </si>
  <si>
    <t>髙野　陽生</t>
  </si>
  <si>
    <t>タカノ　ハルキ</t>
  </si>
  <si>
    <t>山﨑　耕大</t>
  </si>
  <si>
    <t>ヤマサキ　コウダイ</t>
  </si>
  <si>
    <t>隅　悠來</t>
  </si>
  <si>
    <t>スミ　ユウライ</t>
  </si>
  <si>
    <t>吉田　爽人</t>
  </si>
  <si>
    <t>ヨシダ　アキト</t>
  </si>
  <si>
    <t>井野　景太</t>
  </si>
  <si>
    <t>イノ　ケイタ</t>
  </si>
  <si>
    <t>芝　虎之介</t>
  </si>
  <si>
    <t>シバ　トラノスケ</t>
  </si>
  <si>
    <t>阿南　徠已</t>
  </si>
  <si>
    <t>アナミ　ライ</t>
  </si>
  <si>
    <t>西山　龍之介</t>
  </si>
  <si>
    <t>ニシヤマ　リュウノスケ</t>
  </si>
  <si>
    <t>河野　蒼空</t>
  </si>
  <si>
    <t>河野　朔</t>
  </si>
  <si>
    <t>カワノ　サク</t>
  </si>
  <si>
    <t>南　祐輔</t>
  </si>
  <si>
    <t>ミナミ　ユウスケ</t>
  </si>
  <si>
    <t>佐藤　拓馬</t>
  </si>
  <si>
    <t>サトウ　タクマ</t>
  </si>
  <si>
    <t>カティオーラフットボールクラブＵ－１２　Ｎｅｘｔ</t>
  </si>
  <si>
    <t>谷崎　冬虎</t>
  </si>
  <si>
    <t>タニザキ　トウゴ</t>
  </si>
  <si>
    <t>安部　優衣</t>
  </si>
  <si>
    <t>アベ　ユイ</t>
  </si>
  <si>
    <t>梶原　羚央</t>
  </si>
  <si>
    <t>カジワラ　レオ</t>
  </si>
  <si>
    <t>宮本　歩真</t>
  </si>
  <si>
    <t>ミヤモト　アルマ</t>
  </si>
  <si>
    <t>髙橋　蓮佑</t>
  </si>
  <si>
    <t>タカハシ　レンスケ</t>
  </si>
  <si>
    <t>軸丸　ゆな</t>
  </si>
  <si>
    <t>ジクマル　ユナ</t>
  </si>
  <si>
    <t>原野　蒼涼</t>
  </si>
  <si>
    <t>ハラノ　ソウスケ</t>
  </si>
  <si>
    <t>帆足　太陽</t>
  </si>
  <si>
    <t>ホアシ　タイヨウ</t>
  </si>
  <si>
    <t>石﨑　美羽</t>
  </si>
  <si>
    <t>イシザキ　ミハネ</t>
  </si>
  <si>
    <t>梅木　翔平</t>
  </si>
  <si>
    <t>ウメキ　ショウヘイ</t>
  </si>
  <si>
    <t>田邉　諒真</t>
  </si>
  <si>
    <t>タナベ　リョウマ</t>
  </si>
  <si>
    <t>小野　剛瑠</t>
  </si>
  <si>
    <t>オノ　タケル</t>
  </si>
  <si>
    <t>カティオーラフットボールクラブＵ－１２　Ｆｕｔｕｒｅ</t>
  </si>
  <si>
    <t>染谷　徠翔</t>
  </si>
  <si>
    <t>ソメヤ　ライト</t>
  </si>
  <si>
    <t>後藤　凪音</t>
  </si>
  <si>
    <t>ゴトウ　ナオト</t>
  </si>
  <si>
    <t>齋藤　悠翔</t>
  </si>
  <si>
    <t>サイトウ　ユウト</t>
  </si>
  <si>
    <t>濵﨑　柊登</t>
  </si>
  <si>
    <t>ハマサキ　シュウト</t>
  </si>
  <si>
    <t>石﨑　愛音</t>
  </si>
  <si>
    <t>イシザキ　アイネ</t>
  </si>
  <si>
    <t>真鍋　伊由</t>
  </si>
  <si>
    <t>マナベ　イオリ</t>
  </si>
  <si>
    <t>加藤　浩志</t>
  </si>
  <si>
    <t>カトウ　コウシ</t>
  </si>
  <si>
    <t>阿部　翔空</t>
  </si>
  <si>
    <t>林　和真</t>
  </si>
  <si>
    <t>ハヤシ　カズマ</t>
  </si>
  <si>
    <t>山下　蓮介</t>
  </si>
  <si>
    <t>ヤマシタ　レンスケ</t>
  </si>
  <si>
    <t>濱田　司</t>
  </si>
  <si>
    <t>ハマダ　ツカサ</t>
  </si>
  <si>
    <t>後藤　竜輝</t>
  </si>
  <si>
    <t>ゴトウ　リュウキ</t>
  </si>
  <si>
    <t>菅　健琉</t>
  </si>
  <si>
    <t>スガ　タケル</t>
  </si>
  <si>
    <t>平井　蒼斗</t>
  </si>
  <si>
    <t>ヒライ　アオト</t>
  </si>
  <si>
    <t>小川　瑛翔</t>
  </si>
  <si>
    <t>オガワ　エイト</t>
  </si>
  <si>
    <t>山崎　琥大朗</t>
  </si>
  <si>
    <t>長岡　聖空</t>
  </si>
  <si>
    <t>ナガオカ　セイア</t>
  </si>
  <si>
    <t>高司　理公</t>
  </si>
  <si>
    <t>タカツカ　リオウ</t>
  </si>
  <si>
    <t>佐藤　晴生吉</t>
  </si>
  <si>
    <t>サトウ　セイキチ</t>
  </si>
  <si>
    <t>亀井　楓</t>
  </si>
  <si>
    <t>カメイ　カエデ</t>
  </si>
  <si>
    <t>長岡　蒼空</t>
  </si>
  <si>
    <t>ナガオカ　ソラ</t>
  </si>
  <si>
    <t>角谷　春樹</t>
  </si>
  <si>
    <t>カクヤ　ハルキ</t>
  </si>
  <si>
    <t>上田　孝騎</t>
  </si>
  <si>
    <t>ウエダ　コウキ</t>
  </si>
  <si>
    <t>丸山　裕月</t>
  </si>
  <si>
    <t>マルヤマ　ユヅキ</t>
  </si>
  <si>
    <t>首藤　彰斗</t>
  </si>
  <si>
    <t>シュトウ　アキト</t>
  </si>
  <si>
    <t>山田　陽喜</t>
  </si>
  <si>
    <t>ヤマダ　ハルキ</t>
  </si>
  <si>
    <t>後藤　恵大</t>
  </si>
  <si>
    <t>ゴトウ　ケイタ</t>
  </si>
  <si>
    <t>古野　大我</t>
  </si>
  <si>
    <t>フルノ　タイガ</t>
  </si>
  <si>
    <t>上野　透瑚</t>
  </si>
  <si>
    <t>ウエノ　トウゴ</t>
  </si>
  <si>
    <t>衛藤　蒼依</t>
  </si>
  <si>
    <t>上野　桜汰</t>
  </si>
  <si>
    <t>片山　峻吾</t>
  </si>
  <si>
    <t>カタヤマ　シュンゴ</t>
  </si>
  <si>
    <t>鶴岡　晃汰</t>
  </si>
  <si>
    <t>ツルオカ　コウタ</t>
  </si>
  <si>
    <t>村中　俊太</t>
  </si>
  <si>
    <t>ムラナカ　シュンタ</t>
  </si>
  <si>
    <t>大塚　憧希</t>
  </si>
  <si>
    <t>オオツカ　ショウキ</t>
  </si>
  <si>
    <t>安部　悠真</t>
  </si>
  <si>
    <t>アベ　ユウマ</t>
  </si>
  <si>
    <t>児玉　陵空</t>
  </si>
  <si>
    <t>コダマ　リク</t>
  </si>
  <si>
    <t>池永　煌一朗</t>
  </si>
  <si>
    <t>イケナガ　コウイチロウ</t>
  </si>
  <si>
    <t>高橋　恒太</t>
  </si>
  <si>
    <t>タカハシ　コウタ</t>
  </si>
  <si>
    <t>栗林　透我</t>
  </si>
  <si>
    <t>クリバヤシ　トウガ</t>
  </si>
  <si>
    <t>北山　春斗</t>
  </si>
  <si>
    <t>キタヤマ　ハルト</t>
  </si>
  <si>
    <t>井上　陽太</t>
  </si>
  <si>
    <t>イノウエ　ハルタ</t>
  </si>
  <si>
    <t>宮田　柊真</t>
  </si>
  <si>
    <t>ミヤタ　トウマ</t>
  </si>
  <si>
    <t>亀井　嘉人</t>
  </si>
  <si>
    <t>カメイ　ヨシト</t>
  </si>
  <si>
    <t>下瀬　魁莉</t>
  </si>
  <si>
    <t>シモセ　カイリ</t>
  </si>
  <si>
    <t>横山　成毅</t>
  </si>
  <si>
    <t>ヨコヤマ　ナルキ</t>
  </si>
  <si>
    <t>長友　響叶</t>
  </si>
  <si>
    <t>ナガトモ　ヒビト</t>
  </si>
  <si>
    <t>伊藤　太我</t>
  </si>
  <si>
    <t>イトウ　タイガ</t>
  </si>
  <si>
    <t>古野　光臥</t>
  </si>
  <si>
    <t>フルノ　コウガ</t>
  </si>
  <si>
    <t>河野　悠亜</t>
  </si>
  <si>
    <t>カワノ　ユウア</t>
  </si>
  <si>
    <t>石川　洸英</t>
  </si>
  <si>
    <t>イシカワ　コウエイ</t>
  </si>
  <si>
    <t>間　隆成</t>
  </si>
  <si>
    <t>ハサマ　リュウセイ</t>
  </si>
  <si>
    <t>幸　優翔</t>
  </si>
  <si>
    <t>ユキ　ユウト</t>
  </si>
  <si>
    <t>師藤　大輔</t>
  </si>
  <si>
    <t>シトウ　ダイスケ</t>
  </si>
  <si>
    <t>後藤　響己</t>
  </si>
  <si>
    <t>郡田　匠</t>
  </si>
  <si>
    <t>コオリダ　タクミ</t>
  </si>
  <si>
    <t>小畑　楓叶</t>
  </si>
  <si>
    <t>オバタ　フウカイ</t>
  </si>
  <si>
    <t>小倉　瑠隼</t>
  </si>
  <si>
    <t>オグラ　ルイト</t>
  </si>
  <si>
    <t>嶋津　色音</t>
  </si>
  <si>
    <t>シマヅ　イロト</t>
  </si>
  <si>
    <t>衛藤　祥太</t>
  </si>
  <si>
    <t>エトウ　ショウタ</t>
  </si>
  <si>
    <t>穴見　恒輝</t>
  </si>
  <si>
    <t>アナミ　コウキ</t>
  </si>
  <si>
    <t>小倉　遙隼</t>
  </si>
  <si>
    <t>オグラ　ハルト</t>
  </si>
  <si>
    <t>五十川　蘭</t>
  </si>
  <si>
    <t>イカガワ　ラン</t>
  </si>
  <si>
    <t>平川　晴貴</t>
  </si>
  <si>
    <t>ヒラカワ　ハルキ</t>
  </si>
  <si>
    <t>山田　燎明</t>
  </si>
  <si>
    <t>ヤマダ　リョウメイ</t>
  </si>
  <si>
    <t>吉田　悠真</t>
  </si>
  <si>
    <t>ヨシダ　ユウマ</t>
  </si>
  <si>
    <t>大熊　颯良</t>
  </si>
  <si>
    <t>オオクマ　ソラ</t>
  </si>
  <si>
    <t>県央おおのＪＦＣ</t>
  </si>
  <si>
    <t>矢野　啓</t>
  </si>
  <si>
    <t>ヤノ　ヒラク</t>
  </si>
  <si>
    <t>小野　陽斗</t>
  </si>
  <si>
    <t>オノ　ハルト</t>
  </si>
  <si>
    <t>冨田　伊吹</t>
  </si>
  <si>
    <t>トミタ　イブキ</t>
  </si>
  <si>
    <t>小野　琢磨</t>
  </si>
  <si>
    <t>オノ　タクマ</t>
  </si>
  <si>
    <t>足立　希望</t>
  </si>
  <si>
    <t>アダチ　ノゾム</t>
  </si>
  <si>
    <t>深田　瑠唯</t>
  </si>
  <si>
    <t>フカタ　ルイ</t>
  </si>
  <si>
    <t>河辺　光央</t>
  </si>
  <si>
    <t>カワベ　コオ</t>
  </si>
  <si>
    <t>仲町　駿祐</t>
  </si>
  <si>
    <t>ナカマチ　シュンスケ</t>
  </si>
  <si>
    <t>宮成　淳也</t>
  </si>
  <si>
    <t>ミヤナリ　ジュンヤ</t>
  </si>
  <si>
    <t>宮成　一慎</t>
  </si>
  <si>
    <t>ミヤナリ　カズマ</t>
  </si>
  <si>
    <t>森田　悠司</t>
  </si>
  <si>
    <t>モリタ　ユウジ</t>
  </si>
  <si>
    <t>深田　吏都</t>
  </si>
  <si>
    <t>フカタ　リツ</t>
  </si>
  <si>
    <t>西田　伍希</t>
  </si>
  <si>
    <t>ニシダ　イツキ</t>
  </si>
  <si>
    <t>向　一志</t>
  </si>
  <si>
    <t>ムコウ　ヒトシ</t>
  </si>
  <si>
    <t>工藤　陽稀</t>
  </si>
  <si>
    <t>クドウ　ハルキ</t>
  </si>
  <si>
    <t>宮本　陸光</t>
  </si>
  <si>
    <t>ミヤモト　タカヒロ</t>
  </si>
  <si>
    <t>渡辺　太観</t>
  </si>
  <si>
    <t>ワタナベ　タイカン</t>
  </si>
  <si>
    <t>加藤　悠都</t>
  </si>
  <si>
    <t>カトウ　ユウト</t>
  </si>
  <si>
    <t>河野　彪駕</t>
  </si>
  <si>
    <t>カワノ　ヒュウガ</t>
  </si>
  <si>
    <t>伊賀　旺甫</t>
  </si>
  <si>
    <t>イガ　オウスケ</t>
  </si>
  <si>
    <t>田村　瑛人</t>
  </si>
  <si>
    <t>タムラ　エイト</t>
  </si>
  <si>
    <t>藤野　世那</t>
  </si>
  <si>
    <t>フジノ　セナ</t>
  </si>
  <si>
    <t>中道　祐槻</t>
  </si>
  <si>
    <t>ナカミチ　ユヅキ</t>
  </si>
  <si>
    <t>田口　椋雅</t>
  </si>
  <si>
    <t>タグチ　リョウガ</t>
  </si>
  <si>
    <t>島谷　絆人</t>
  </si>
  <si>
    <t>シマタニ　ハント</t>
  </si>
  <si>
    <t>甲斐　凛太郎</t>
  </si>
  <si>
    <t>カイ　リンタロウ</t>
  </si>
  <si>
    <t>足達　蒼介</t>
  </si>
  <si>
    <t>アダチ　ソウスケ</t>
  </si>
  <si>
    <t>平山　洸太</t>
  </si>
  <si>
    <t>ヒラヤマ　コウタ</t>
  </si>
  <si>
    <t>ようこくバンビーレＦＣ</t>
  </si>
  <si>
    <t>福良　太一</t>
  </si>
  <si>
    <t>フクラ　タイチ</t>
  </si>
  <si>
    <t>松田　慶人</t>
  </si>
  <si>
    <t>マツダ　ケイト</t>
  </si>
  <si>
    <t>宮下　斗真</t>
  </si>
  <si>
    <t>ミヤシタ　トウマ</t>
  </si>
  <si>
    <t>藤川　桃也</t>
  </si>
  <si>
    <t>フジカワ　トウヤ</t>
  </si>
  <si>
    <t>佐藤　晴斗</t>
  </si>
  <si>
    <t>大本　理生</t>
  </si>
  <si>
    <t>オオモト　リオ</t>
  </si>
  <si>
    <t>山下　大輔</t>
  </si>
  <si>
    <t>ヤマシタ　ダイスケ</t>
  </si>
  <si>
    <t>山下　慶人</t>
  </si>
  <si>
    <t>ヤマシタ　ケイト</t>
  </si>
  <si>
    <t>河野　陽真</t>
  </si>
  <si>
    <t>コウノ　ハルマ</t>
  </si>
  <si>
    <t>河野　斗真</t>
  </si>
  <si>
    <t>コウノ　トウマ</t>
  </si>
  <si>
    <t>前田　陽向</t>
  </si>
  <si>
    <t>マエダ　ヒナタ</t>
  </si>
  <si>
    <t>大本　琉生</t>
  </si>
  <si>
    <t>オオモト　ルイ</t>
  </si>
  <si>
    <t>福良　のぞみ</t>
  </si>
  <si>
    <t>フクラ　ノゾミ</t>
  </si>
  <si>
    <t>野津ＦＣ</t>
  </si>
  <si>
    <t>流　大智</t>
  </si>
  <si>
    <t>ミズユキ　ダイチ</t>
  </si>
  <si>
    <t>岡部　悠李</t>
  </si>
  <si>
    <t>オカベ　ユウリ</t>
  </si>
  <si>
    <t>平　光ノ介</t>
  </si>
  <si>
    <t>ヒラ　コウノスケ</t>
  </si>
  <si>
    <t>川野　秀弥</t>
  </si>
  <si>
    <t>カワノ　シュウヤ</t>
  </si>
  <si>
    <t>岡部　安莉</t>
  </si>
  <si>
    <t>オカベ　アンリ</t>
  </si>
  <si>
    <t>柴田　琉生</t>
  </si>
  <si>
    <t>シバタ　ルイ</t>
  </si>
  <si>
    <t>吉良　咲耶</t>
  </si>
  <si>
    <t>キラ　サクヤ</t>
  </si>
  <si>
    <t>神野　隼羽</t>
  </si>
  <si>
    <t>カミノ　トワ</t>
  </si>
  <si>
    <t>白根　知紘</t>
  </si>
  <si>
    <t>シラネ　チヒロ</t>
  </si>
  <si>
    <t>川野　晃汰</t>
  </si>
  <si>
    <t>カワノ　コウタ</t>
  </si>
  <si>
    <t>植田　琉生</t>
  </si>
  <si>
    <t>平山　旭</t>
  </si>
  <si>
    <t>ヒラヤマ　アサヒ</t>
  </si>
  <si>
    <t>大野　遥生</t>
  </si>
  <si>
    <t>オオノ　ハルキ</t>
  </si>
  <si>
    <t>松垣　龍空</t>
  </si>
  <si>
    <t>マツガキ　リク</t>
  </si>
  <si>
    <t>遠藤　太雅</t>
  </si>
  <si>
    <t>エンドウ　タイガ</t>
  </si>
  <si>
    <t>桑山　廣大</t>
  </si>
  <si>
    <t>クワヤマ　コウタ</t>
  </si>
  <si>
    <t>宮川　泰晴</t>
  </si>
  <si>
    <t>ミヤカワ　タイセイ</t>
  </si>
  <si>
    <t>工藤　快翔</t>
  </si>
  <si>
    <t>クドウ　カイト</t>
  </si>
  <si>
    <t>松垣　蒼空</t>
  </si>
  <si>
    <t>マツガキ　ソラ</t>
  </si>
  <si>
    <t>石井　瑛登</t>
  </si>
  <si>
    <t>イシイ　エイト</t>
  </si>
  <si>
    <t>本城　梛翔</t>
  </si>
  <si>
    <t>ホンジョウ　ナギト</t>
  </si>
  <si>
    <t>大庭　圭人</t>
  </si>
  <si>
    <t>オオバ　ケイト</t>
  </si>
  <si>
    <t>首藤　煌人</t>
  </si>
  <si>
    <t>シュトウ　キラト</t>
  </si>
  <si>
    <t>湯浅　聡</t>
  </si>
  <si>
    <t>ユアサ　サトル</t>
  </si>
  <si>
    <t>江戸　翔哉</t>
  </si>
  <si>
    <t>エド　ショウヤ</t>
  </si>
  <si>
    <t>井上　楓斗</t>
  </si>
  <si>
    <t>イノウエ　カイト</t>
  </si>
  <si>
    <t>生口　彩人</t>
  </si>
  <si>
    <t>イグチ　アヤト</t>
  </si>
  <si>
    <t>柳井　侑也</t>
  </si>
  <si>
    <t>ヤナイ　ユウヤ</t>
  </si>
  <si>
    <t>竹尾　麟太朗</t>
  </si>
  <si>
    <t>タケオ　リンタロウ</t>
  </si>
  <si>
    <t>工藤　蓮大</t>
  </si>
  <si>
    <t>クドウ　レンタ</t>
  </si>
  <si>
    <t>長田　莉旺</t>
  </si>
  <si>
    <t>ナガタ　リオ</t>
  </si>
  <si>
    <t>三木　柊歩</t>
  </si>
  <si>
    <t>ミキ　シュウト</t>
  </si>
  <si>
    <t>足立　朔太郎</t>
  </si>
  <si>
    <t>アダチ　サクタロウ</t>
  </si>
  <si>
    <t>神崎　蓮人</t>
  </si>
  <si>
    <t>カンザキ　レント</t>
  </si>
  <si>
    <t>森山　佳恒</t>
  </si>
  <si>
    <t>モリヤマ　ヨシヒサ</t>
  </si>
  <si>
    <t>藤川　成</t>
  </si>
  <si>
    <t>フジカワ　ナル</t>
  </si>
  <si>
    <t>米田　壮志</t>
  </si>
  <si>
    <t>ヨネダ　ソウシ</t>
  </si>
  <si>
    <t>堺　彩実</t>
  </si>
  <si>
    <t>サカイ　アヤミ</t>
  </si>
  <si>
    <t>後藤　瑛斗</t>
  </si>
  <si>
    <t>ゴトウ　エイト</t>
  </si>
  <si>
    <t>河野　春叶</t>
  </si>
  <si>
    <t>カワノ　ハルト</t>
  </si>
  <si>
    <t>乗富　璃星</t>
  </si>
  <si>
    <t>ノリドミ　リセイ</t>
  </si>
  <si>
    <t>大分トリニータタートルズ　キング</t>
  </si>
  <si>
    <t>後藤　旺太</t>
  </si>
  <si>
    <t>ゴトウ　オウタ</t>
  </si>
  <si>
    <t>栗本　真帆</t>
  </si>
  <si>
    <t>クリモト　マホ</t>
  </si>
  <si>
    <t>麻生　凱斗</t>
  </si>
  <si>
    <t>アソウ　カイト</t>
  </si>
  <si>
    <t>三浦　蓮美</t>
  </si>
  <si>
    <t>ミウラ　ハスミ</t>
  </si>
  <si>
    <t>佐藤　稜悟</t>
  </si>
  <si>
    <t>サトウ　リョウゴ</t>
  </si>
  <si>
    <t>三宮　直人</t>
  </si>
  <si>
    <t>サンノミヤ　ナオト</t>
  </si>
  <si>
    <t>藤野　和馬</t>
  </si>
  <si>
    <t>フジノ　カズマ</t>
  </si>
  <si>
    <t>藤本　英太郎</t>
  </si>
  <si>
    <t>フジモト　エイタロウ</t>
  </si>
  <si>
    <t>矢野　壮太郎</t>
  </si>
  <si>
    <t>ヤノ　ソウタロウ</t>
  </si>
  <si>
    <t>中野　祥汰</t>
  </si>
  <si>
    <t>ナカノ　ショウタ</t>
  </si>
  <si>
    <t>野上　泰雅</t>
  </si>
  <si>
    <t>ノガミ　タイガ</t>
  </si>
  <si>
    <t>中井　一歩輝</t>
  </si>
  <si>
    <t>ナカイ　イブキ</t>
  </si>
  <si>
    <t>大原　瑠斗</t>
  </si>
  <si>
    <t>オオハラ　リュウト</t>
  </si>
  <si>
    <t>大分トリニータタートルズ　ウルトラ</t>
  </si>
  <si>
    <t>伊東　俊紀</t>
  </si>
  <si>
    <t>イトウ　トシキ</t>
  </si>
  <si>
    <t>伊藤　結兜</t>
  </si>
  <si>
    <t>イトウ　ユイト</t>
  </si>
  <si>
    <t>小林　央宜</t>
  </si>
  <si>
    <t>コバヤシ　オウキ</t>
  </si>
  <si>
    <t>岩﨑　惺大</t>
  </si>
  <si>
    <t>イワサキ　セイダイ</t>
  </si>
  <si>
    <t>田島　勇波</t>
  </si>
  <si>
    <t>タシマ　イサナ</t>
  </si>
  <si>
    <t>諏訪　要</t>
  </si>
  <si>
    <t>スワ　カナメ</t>
  </si>
  <si>
    <t>佐藤　空也</t>
  </si>
  <si>
    <t>サトウ　ソラ</t>
  </si>
  <si>
    <t>久野　隆貴</t>
  </si>
  <si>
    <t>ヒサノ　リュウキ</t>
  </si>
  <si>
    <t>後藤　和貴</t>
  </si>
  <si>
    <t>ゴトウ　カズキ</t>
  </si>
  <si>
    <t>河津　侑真</t>
  </si>
  <si>
    <t>カワズ　ユウマ</t>
  </si>
  <si>
    <t>後藤　蒼翔</t>
  </si>
  <si>
    <t>ゴトウ　アオト</t>
  </si>
  <si>
    <t>諌山　永遠</t>
  </si>
  <si>
    <t>イサヤマ　トワ</t>
  </si>
  <si>
    <t>木下　凌佑</t>
  </si>
  <si>
    <t>キノシタ　リョウスケ</t>
  </si>
  <si>
    <t>河野　祐生</t>
  </si>
  <si>
    <t>カワノ　ユウ</t>
  </si>
  <si>
    <t>スマイス日出</t>
  </si>
  <si>
    <t>堀　健琉</t>
  </si>
  <si>
    <t>ホリ　タケル</t>
  </si>
  <si>
    <t>大村　星和</t>
  </si>
  <si>
    <t>オオムラ　セナ</t>
  </si>
  <si>
    <t>清水　煌太</t>
  </si>
  <si>
    <t>シミズ　コウタ</t>
  </si>
  <si>
    <t>小平　翔空</t>
  </si>
  <si>
    <t>コダイラ　トア</t>
  </si>
  <si>
    <t>阿部　颯太</t>
  </si>
  <si>
    <t>アベ　ソウタ</t>
  </si>
  <si>
    <t>碇山　大貴</t>
  </si>
  <si>
    <t>イカリヤマ　ダイキ</t>
  </si>
  <si>
    <t>秦　友起</t>
  </si>
  <si>
    <t>ハタ　ユウキ</t>
  </si>
  <si>
    <t>吉岡　大悟</t>
  </si>
  <si>
    <t>ヨシオカ　ダイゴ</t>
  </si>
  <si>
    <t>佐藤　寛太</t>
  </si>
  <si>
    <t>サトウ　カンタ</t>
  </si>
  <si>
    <t>藤井　晴斗</t>
  </si>
  <si>
    <t>フジイ　ハルト</t>
  </si>
  <si>
    <t>重松　裕人</t>
  </si>
  <si>
    <t>シゲマツ　ユウト</t>
  </si>
  <si>
    <t>甲斐　陸人</t>
  </si>
  <si>
    <t>カイ　リクト</t>
  </si>
  <si>
    <t>佐々木　颯汰</t>
  </si>
  <si>
    <t>ササキ　フウタ</t>
  </si>
  <si>
    <t>池田　春翔</t>
  </si>
  <si>
    <t>イケダ　ハルト</t>
  </si>
  <si>
    <t>佐藤　瞬将</t>
  </si>
  <si>
    <t>サトウ　シュンスケ</t>
  </si>
  <si>
    <t>岡山　湊</t>
  </si>
  <si>
    <t>オカヤマ　ミナト</t>
  </si>
  <si>
    <t>磯田　葵</t>
  </si>
  <si>
    <t>イソダ　アオイ</t>
  </si>
  <si>
    <t>中島　達成</t>
  </si>
  <si>
    <t>ナカシマ　タツナリ</t>
  </si>
  <si>
    <t>中島　桜雅</t>
  </si>
  <si>
    <t>ナカシマ　オウガ</t>
  </si>
  <si>
    <t>矢野　海美</t>
  </si>
  <si>
    <t>ヤノ　ウミ</t>
  </si>
  <si>
    <t>矢野　美虹</t>
  </si>
  <si>
    <t>ヤノ　ミコ</t>
  </si>
  <si>
    <t>加藤　茉梨百</t>
  </si>
  <si>
    <t>カトウ　マリモ</t>
  </si>
  <si>
    <t>時枝　依吹</t>
  </si>
  <si>
    <t>トキエダ　イブキ</t>
  </si>
  <si>
    <t>石見　絆騎</t>
  </si>
  <si>
    <t>イシミ　ツナキ</t>
  </si>
  <si>
    <t>中島　大雅</t>
  </si>
  <si>
    <t>ナカシマ　タイガ</t>
  </si>
  <si>
    <t>末弘　俊晶</t>
  </si>
  <si>
    <t>スエヒロ　トシアキ</t>
  </si>
  <si>
    <t>橋本　陽馬</t>
  </si>
  <si>
    <t>ハシモト　ハルマ</t>
  </si>
  <si>
    <t>稲葉　悠貴</t>
  </si>
  <si>
    <t>イナバ　ユウキ</t>
  </si>
  <si>
    <t>上原　有然</t>
  </si>
  <si>
    <t>ウエハラ　ユウゼン</t>
  </si>
  <si>
    <t>久保﨑　兆</t>
  </si>
  <si>
    <t>クボサキ　キザシ</t>
  </si>
  <si>
    <t>髙村　陽太</t>
  </si>
  <si>
    <t>タカムラ　ヨウタ</t>
  </si>
  <si>
    <t>江田　瑛翔</t>
  </si>
  <si>
    <t>コウダ　エイト</t>
  </si>
  <si>
    <t>矢幡　陸</t>
  </si>
  <si>
    <t>ヤハタ　リク</t>
  </si>
  <si>
    <t>金子　将大</t>
  </si>
  <si>
    <t>カネコ　ショウタ</t>
  </si>
  <si>
    <t>坂本　帆那</t>
  </si>
  <si>
    <t>サカモト　ハンナ</t>
  </si>
  <si>
    <t>坂本　悠虎</t>
  </si>
  <si>
    <t>サカモト　ハルト</t>
  </si>
  <si>
    <t>堀田　徠亜</t>
  </si>
  <si>
    <t>ホリタ　ライア</t>
  </si>
  <si>
    <t>中尾　栄都</t>
  </si>
  <si>
    <t>ナカオ　ハルト</t>
  </si>
  <si>
    <t>大道　琉生</t>
  </si>
  <si>
    <t>オオミチ　リュウセイ</t>
  </si>
  <si>
    <t>山本　涼介</t>
  </si>
  <si>
    <t>ヤマモト　リョウスケ</t>
  </si>
  <si>
    <t>大曲　一颯</t>
  </si>
  <si>
    <t>オオマガリ　イッサ</t>
  </si>
  <si>
    <t>千原　仁斗</t>
  </si>
  <si>
    <t>チハラ　ジント</t>
  </si>
  <si>
    <t>立花　煉</t>
  </si>
  <si>
    <t>タチバナ　レン</t>
  </si>
  <si>
    <t>長谷部　文人</t>
  </si>
  <si>
    <t>ハセベ　フミト</t>
  </si>
  <si>
    <t>足立　皇清</t>
  </si>
  <si>
    <t>アダチ　コウセイ</t>
  </si>
  <si>
    <t>河野　晃也</t>
  </si>
  <si>
    <t>カワノ　テルヤ</t>
  </si>
  <si>
    <t>小石　宗太郎</t>
  </si>
  <si>
    <t>コイシ　ソウタロウ</t>
  </si>
  <si>
    <t>後藤　謙太</t>
  </si>
  <si>
    <t>ゴトウ　ケンタ</t>
  </si>
  <si>
    <t>後藤　依知花</t>
  </si>
  <si>
    <t>ゴトウ　イチカ</t>
  </si>
  <si>
    <t>佐藤　翔</t>
  </si>
  <si>
    <t>サトウ　カケル</t>
  </si>
  <si>
    <t>伊藤　舜狼</t>
  </si>
  <si>
    <t>イトウ　シュンラン</t>
  </si>
  <si>
    <t>徳重　宗太</t>
  </si>
  <si>
    <t>トクシゲ　ソウタ</t>
  </si>
  <si>
    <t>森崎　聖菜</t>
  </si>
  <si>
    <t>モリサキ　セイナ</t>
  </si>
  <si>
    <t>後藤　舜太</t>
  </si>
  <si>
    <t>ゴトウ　シュンタ</t>
  </si>
  <si>
    <t>荻本　琉煌</t>
  </si>
  <si>
    <t>オギモト　リオン</t>
  </si>
  <si>
    <t>小石　花奈</t>
  </si>
  <si>
    <t>コイシ　ハナ</t>
  </si>
  <si>
    <t>吉田　圭吾</t>
  </si>
  <si>
    <t>ヨシダ　ケイゴ</t>
  </si>
  <si>
    <t>後藤　竜成</t>
  </si>
  <si>
    <t>ゴトウ　リュウセイ</t>
  </si>
  <si>
    <t>吉良　真翔</t>
  </si>
  <si>
    <t>キラ　マナト</t>
  </si>
  <si>
    <t>河野　智咲</t>
  </si>
  <si>
    <t>カワノ　チサキ</t>
  </si>
  <si>
    <t>Ｍ．Ｓ．Ｓ</t>
  </si>
  <si>
    <t>湯田　王士</t>
  </si>
  <si>
    <t>ユダ　オウジ</t>
  </si>
  <si>
    <t>竹中　啓悟</t>
  </si>
  <si>
    <t>タケナカ　ケイゴ</t>
  </si>
  <si>
    <t>中川　侑哉</t>
  </si>
  <si>
    <t>ナカガワ　ユウヤ</t>
  </si>
  <si>
    <t>高山　尚大</t>
  </si>
  <si>
    <t>タカヤマ　ナオヒロ</t>
  </si>
  <si>
    <t>末廣　虎太郎</t>
  </si>
  <si>
    <t>スエヒロ　コタロウ</t>
  </si>
  <si>
    <t>河野　蒼祐</t>
  </si>
  <si>
    <t>大住　拓真</t>
  </si>
  <si>
    <t>オオスミ　タクマ</t>
  </si>
  <si>
    <t>三浦　幹太</t>
  </si>
  <si>
    <t>土居　志誠</t>
  </si>
  <si>
    <t>ドイ　シセイ</t>
  </si>
  <si>
    <t>坂本　航大</t>
  </si>
  <si>
    <t>サカモト　コウタ</t>
  </si>
  <si>
    <t>安藤　朱生</t>
  </si>
  <si>
    <t>アンドウ　シュウ</t>
  </si>
  <si>
    <t>羽生　悠真</t>
  </si>
  <si>
    <t>ハブ　ユウマ</t>
  </si>
  <si>
    <t>本村　湊士</t>
  </si>
  <si>
    <t>モトムラ　ミナト</t>
  </si>
  <si>
    <t>福田　悠之介</t>
  </si>
  <si>
    <t>フクダ　ユウノスケ</t>
  </si>
  <si>
    <t>河野　真幸</t>
  </si>
  <si>
    <t>コウノ　サネユキ</t>
  </si>
  <si>
    <t>安東　暖人</t>
  </si>
  <si>
    <t>アンドウ　ハルト</t>
  </si>
  <si>
    <t>高倉　怜臣</t>
  </si>
  <si>
    <t>タカクラ　レオ</t>
  </si>
  <si>
    <t>藤田　直斗</t>
  </si>
  <si>
    <t>フジタ　ナオト</t>
  </si>
  <si>
    <t>川端　翼惺</t>
  </si>
  <si>
    <t>カワバタ　エルト</t>
  </si>
  <si>
    <t>赤石　昂輝</t>
  </si>
  <si>
    <t>アカイシ　コウキ</t>
  </si>
  <si>
    <t>三浦　健</t>
  </si>
  <si>
    <t>家股　麟太郎</t>
  </si>
  <si>
    <t>ヤマタ　リンタロウ</t>
  </si>
  <si>
    <t>西山　支庵</t>
  </si>
  <si>
    <t>ニシヤマ　ジアン</t>
  </si>
  <si>
    <t>大久保　翔太朗</t>
  </si>
  <si>
    <t>オオクボ　ショウタロウ</t>
  </si>
  <si>
    <t>小泉　杏奈</t>
  </si>
  <si>
    <t>コイズミ　アンナ</t>
  </si>
  <si>
    <t>田尻　真路</t>
  </si>
  <si>
    <t>タジリ　マサミチ</t>
  </si>
  <si>
    <t>大賀　颯良</t>
  </si>
  <si>
    <t>オオガ　ソラ</t>
  </si>
  <si>
    <t>西村　純平</t>
  </si>
  <si>
    <t>ニシムラ　ジュンペイ</t>
  </si>
  <si>
    <t>川野　有翔</t>
  </si>
  <si>
    <t>カワノ　ユウショウ</t>
  </si>
  <si>
    <t>酒井　彩海</t>
  </si>
  <si>
    <t>サカイ　アヤト</t>
  </si>
  <si>
    <t>橋本　竜人</t>
  </si>
  <si>
    <t>ハシモト　リュウト</t>
  </si>
  <si>
    <t>大茂　蓮人</t>
  </si>
  <si>
    <t>オオシゲ　レント</t>
  </si>
  <si>
    <t>朝日ＦＣ</t>
  </si>
  <si>
    <t>安部　湧貴</t>
  </si>
  <si>
    <t>アベ　ユウキ</t>
  </si>
  <si>
    <t>窪　紗幸</t>
  </si>
  <si>
    <t>クボ　サユキ</t>
  </si>
  <si>
    <t>亀田　湊</t>
  </si>
  <si>
    <t>カメダ　ミナト</t>
  </si>
  <si>
    <t>平川　怜</t>
  </si>
  <si>
    <t>ヒラカワ　レイ</t>
  </si>
  <si>
    <t>河野　優斗</t>
  </si>
  <si>
    <t>コウノ　ユウト</t>
  </si>
  <si>
    <t>内田　翔貴</t>
  </si>
  <si>
    <t>ウチダ　ショウキ</t>
  </si>
  <si>
    <t>吉水　小夏</t>
  </si>
  <si>
    <t>ヨシミズ　コナツ</t>
  </si>
  <si>
    <t>鈴木　奏志</t>
  </si>
  <si>
    <t>スズキ　ソウシ</t>
  </si>
  <si>
    <t>北林　凛成</t>
  </si>
  <si>
    <t>キタバヤシ　リンセイ</t>
  </si>
  <si>
    <t>清水　遼</t>
  </si>
  <si>
    <t>シミズ　リョウ</t>
  </si>
  <si>
    <t>加藤　慶悟</t>
  </si>
  <si>
    <t>カトウ　ケイゴ</t>
  </si>
  <si>
    <t>安波　進之介</t>
  </si>
  <si>
    <t>ヤスナミ　シンノスケ</t>
  </si>
  <si>
    <t>青松　蒼空</t>
  </si>
  <si>
    <t>アオマツ　ソラ</t>
  </si>
  <si>
    <t>大石　楓太</t>
  </si>
  <si>
    <t>オオイシ　フウタ</t>
  </si>
  <si>
    <t>加藤　遼士</t>
  </si>
  <si>
    <t>カトウ　ハルト</t>
  </si>
  <si>
    <t>矢野　虎士朗</t>
  </si>
  <si>
    <t>ヤノ　コジロウ</t>
  </si>
  <si>
    <t>安倍　孝輝</t>
  </si>
  <si>
    <t>小山　誠人</t>
  </si>
  <si>
    <t>コヤマ　マコト</t>
  </si>
  <si>
    <t>上野　兼謙</t>
  </si>
  <si>
    <t>ウエノ　ケンゴ</t>
  </si>
  <si>
    <t>二宮　武輝</t>
  </si>
  <si>
    <t>ニノミヤ　タケキ</t>
  </si>
  <si>
    <t>生野　晴斗</t>
  </si>
  <si>
    <t>清原　大雅</t>
  </si>
  <si>
    <t>キヨハラ　タイガ</t>
  </si>
  <si>
    <t>嶋村　堪太</t>
  </si>
  <si>
    <t>シマムラ　カンタ</t>
  </si>
  <si>
    <t>久保田　龍太郎</t>
  </si>
  <si>
    <t>クボタ　リュウタロウ</t>
  </si>
  <si>
    <t>森　瑠唯</t>
  </si>
  <si>
    <t>モリ　ルイ</t>
  </si>
  <si>
    <t>高井　蒼良</t>
  </si>
  <si>
    <t>タカイ　ソラ</t>
  </si>
  <si>
    <t>本多　衣音</t>
  </si>
  <si>
    <t>ホンダ　イオン</t>
  </si>
  <si>
    <t>荒井　応生</t>
  </si>
  <si>
    <t>アライ　オウセイ</t>
  </si>
  <si>
    <t>上田　倫太郎</t>
  </si>
  <si>
    <t>ウエダ　リンタロウ</t>
  </si>
  <si>
    <t>田中　湊人</t>
  </si>
  <si>
    <t>タナカ　ミナト</t>
  </si>
  <si>
    <t>井上　碧琉</t>
  </si>
  <si>
    <t>イノウエ　アル</t>
  </si>
  <si>
    <t>久保　瑠唯斗</t>
  </si>
  <si>
    <t>クボ　ルイト</t>
  </si>
  <si>
    <t>吉崎　晴登</t>
  </si>
  <si>
    <t>ヨシザキ　ハルト</t>
  </si>
  <si>
    <t>久保　結唯斗</t>
  </si>
  <si>
    <t>クボ　ユイト</t>
  </si>
  <si>
    <t>壇　智大</t>
  </si>
  <si>
    <t>ダン　チヒロ</t>
  </si>
  <si>
    <t>高崎　藍太郎</t>
  </si>
  <si>
    <t>タカサキ　ランタロウ</t>
  </si>
  <si>
    <t>島津　大河</t>
  </si>
  <si>
    <t>シマヅ　タイガ</t>
  </si>
  <si>
    <t>鈴木田　憲志</t>
  </si>
  <si>
    <t>スズキダ　ケンシ</t>
  </si>
  <si>
    <t>成重　光琉</t>
  </si>
  <si>
    <t>ナリシゲ　ヒカル</t>
  </si>
  <si>
    <t>宮本　喜平</t>
  </si>
  <si>
    <t>ミヤモト　キッペイ</t>
  </si>
  <si>
    <t>鈴木　結也</t>
  </si>
  <si>
    <t>スズキ　ユウヤ</t>
  </si>
  <si>
    <t>鈴木　智也</t>
  </si>
  <si>
    <t>スズキ　トモヤ</t>
  </si>
  <si>
    <t>ＦＣリーベル</t>
  </si>
  <si>
    <t>植山　颯太</t>
  </si>
  <si>
    <t>ウエヤマ　ソウタ</t>
  </si>
  <si>
    <t>朝光　愛絆</t>
  </si>
  <si>
    <t>アサミツ　アズナ</t>
  </si>
  <si>
    <t>島田　旺汰</t>
  </si>
  <si>
    <t>シマダ　オウタ</t>
  </si>
  <si>
    <t>安部　拳志郎</t>
  </si>
  <si>
    <t>アベ　ケンシロウ</t>
  </si>
  <si>
    <t>仮屋園　和空</t>
  </si>
  <si>
    <t>カリヤゾノ　ワク</t>
  </si>
  <si>
    <t>山本　優吾</t>
  </si>
  <si>
    <t>ヤマモト　ユウゴ</t>
  </si>
  <si>
    <t>島田　幹斗</t>
  </si>
  <si>
    <t>シマダ　ミキト</t>
  </si>
  <si>
    <t>園田　湊斗</t>
  </si>
  <si>
    <t>ソノダ　ミナト</t>
  </si>
  <si>
    <t>西邑　聖愛</t>
  </si>
  <si>
    <t>ニシムラ　セイア</t>
  </si>
  <si>
    <t>山崎　ノア</t>
  </si>
  <si>
    <t>ヤマザキ　ノア</t>
  </si>
  <si>
    <t>園田　龍斗</t>
  </si>
  <si>
    <t>ソノダ　リュウト</t>
  </si>
  <si>
    <t>三股　虎聖</t>
  </si>
  <si>
    <t>ミマタ　コウセイ</t>
  </si>
  <si>
    <t>明石　凌芽</t>
  </si>
  <si>
    <t>アカシ　リョウガ</t>
  </si>
  <si>
    <t>如水ジュニアサッカークラブ</t>
  </si>
  <si>
    <t>河津　夏樹</t>
  </si>
  <si>
    <t>カワヅ　ナツキ</t>
  </si>
  <si>
    <t>石田　怜士</t>
  </si>
  <si>
    <t>イシダ　レイジ</t>
  </si>
  <si>
    <t>木城　來覇</t>
  </si>
  <si>
    <t>キシロ　ライハ</t>
  </si>
  <si>
    <t>稲積　健太</t>
  </si>
  <si>
    <t>イナヅミ　ケンタ</t>
  </si>
  <si>
    <t>黒土　挨吾</t>
  </si>
  <si>
    <t>クロツチ　アイゴ</t>
  </si>
  <si>
    <t>庄部　銀造</t>
  </si>
  <si>
    <t>ショウブ　ギンゾウ</t>
  </si>
  <si>
    <t>小野　倫平</t>
  </si>
  <si>
    <t>オノ　リンペイ</t>
  </si>
  <si>
    <t>原田　一瑳</t>
  </si>
  <si>
    <t>ハラダ　イッサ</t>
  </si>
  <si>
    <t>大新田　大輝</t>
  </si>
  <si>
    <t>オオシンデン　ダイキ</t>
  </si>
  <si>
    <t>椎橋　世凪</t>
  </si>
  <si>
    <t>シイバシ　セナ</t>
  </si>
  <si>
    <t>中村　神童</t>
  </si>
  <si>
    <t>ナカムラ　シュウト</t>
  </si>
  <si>
    <t>小川　裕聖</t>
  </si>
  <si>
    <t>オガワ　ユウセイ</t>
  </si>
  <si>
    <t>北村　優</t>
  </si>
  <si>
    <t>キタムラ　ヒロ</t>
  </si>
  <si>
    <t>西岡　蒼真</t>
  </si>
  <si>
    <t>ニシオカ　ソウマ</t>
  </si>
  <si>
    <t>屋敷　健将</t>
  </si>
  <si>
    <t>ヤシキ　ケンショウ</t>
  </si>
  <si>
    <t>建野　智哉</t>
  </si>
  <si>
    <t>タテノ　トモヤ</t>
  </si>
  <si>
    <t>佐藤　日向</t>
  </si>
  <si>
    <t>サトウ　ヒナタ</t>
  </si>
  <si>
    <t>幸　鼓太郎</t>
  </si>
  <si>
    <t>ユキ　コタロウ</t>
  </si>
  <si>
    <t>田中　涼太</t>
  </si>
  <si>
    <t>タナカ　リョウタ</t>
  </si>
  <si>
    <t>吉原　和希</t>
  </si>
  <si>
    <t>ヨシハラ　カズキ</t>
  </si>
  <si>
    <t>矢野　智絆</t>
  </si>
  <si>
    <t>ヤノ　トモキ</t>
  </si>
  <si>
    <t>谷川　舜</t>
  </si>
  <si>
    <t>タニカワ　シュン</t>
  </si>
  <si>
    <t>平川　瑛翔</t>
  </si>
  <si>
    <t>ヒラカワ　エイト</t>
  </si>
  <si>
    <t>太郎良　直之</t>
  </si>
  <si>
    <t>タロウラ　ナオユキ</t>
  </si>
  <si>
    <t>林　虎空</t>
  </si>
  <si>
    <t>ハヤシ　コア</t>
  </si>
  <si>
    <t>吉廣　諒太郎</t>
  </si>
  <si>
    <t>ヨシヒロ　リョウタロウ</t>
  </si>
  <si>
    <t>ＦＣ．ＲＥ．ＳＴＡＲＴ　</t>
  </si>
  <si>
    <t>千原　悠真</t>
  </si>
  <si>
    <t>チハラ　ユウマ</t>
  </si>
  <si>
    <t>平野　緋月</t>
  </si>
  <si>
    <t>ヒラノ　ヒヅキ</t>
  </si>
  <si>
    <t>苑田　龍弥</t>
  </si>
  <si>
    <t>ソノダ　リュウヤ</t>
  </si>
  <si>
    <t>諌山　唯斗</t>
  </si>
  <si>
    <t>イサヤマ　ユイト</t>
  </si>
  <si>
    <t>横田　聡佑</t>
  </si>
  <si>
    <t>ヨコタ　ソウスケ</t>
  </si>
  <si>
    <t>坂本　稟太郎</t>
  </si>
  <si>
    <t>サカモト　リンタロウ</t>
  </si>
  <si>
    <t>渡邉　凌大</t>
  </si>
  <si>
    <t>ワタナベ　リョウタ</t>
  </si>
  <si>
    <t>黒木　陸叶</t>
  </si>
  <si>
    <t>クロキ　リクト</t>
  </si>
  <si>
    <t>小田　徳大</t>
  </si>
  <si>
    <t>オダ　トクダイ</t>
  </si>
  <si>
    <t>岡見　柊飛</t>
  </si>
  <si>
    <t>オカミ　シュウト</t>
  </si>
  <si>
    <t>井上　來都</t>
  </si>
  <si>
    <t>イノウエ　ライト</t>
  </si>
  <si>
    <t>小田原　明楽</t>
  </si>
  <si>
    <t>オダワラ　アキラ</t>
  </si>
  <si>
    <t>大分セントラルＦＣ</t>
  </si>
  <si>
    <t>上野　壮琉</t>
  </si>
  <si>
    <t>ウエノ　タケル</t>
  </si>
  <si>
    <t>兼田　毅竜</t>
  </si>
  <si>
    <t>カネダ　キリュウ</t>
  </si>
  <si>
    <t>廣岡　星汰</t>
  </si>
  <si>
    <t>ヒロオカ　ショウタ</t>
  </si>
  <si>
    <t>中川　泰良</t>
  </si>
  <si>
    <t>ナカガワ　タイラ</t>
  </si>
  <si>
    <t>川上　倫央</t>
  </si>
  <si>
    <t>カワカミ　リオン</t>
  </si>
  <si>
    <t>大津　瑞斗</t>
  </si>
  <si>
    <t>オオツ　ミズト</t>
  </si>
  <si>
    <t>江島　優斗</t>
  </si>
  <si>
    <t>エジマ　ユウト</t>
  </si>
  <si>
    <t>後藤　瑠翔</t>
  </si>
  <si>
    <t>ゴトウ　ルカ</t>
  </si>
  <si>
    <t>亀野　佑輝</t>
  </si>
  <si>
    <t>カメノ　ユウキ</t>
  </si>
  <si>
    <t>奈須　虎太郎</t>
  </si>
  <si>
    <t>ナス　コタロウ</t>
  </si>
  <si>
    <t>髙橋　悠真</t>
  </si>
  <si>
    <t>タカハシ　ユウマ</t>
  </si>
  <si>
    <t>中野　陸翔</t>
  </si>
  <si>
    <t>ナカノ　リクト</t>
  </si>
  <si>
    <t>須川　礼理</t>
  </si>
  <si>
    <t>スガワ　レイリ</t>
  </si>
  <si>
    <t>宮部　圭佑</t>
  </si>
  <si>
    <t>ミヤベ　ケイスケ</t>
  </si>
  <si>
    <t>奈須　あまね</t>
  </si>
  <si>
    <t>ナス　アマネ</t>
  </si>
  <si>
    <t>後藤　漣</t>
  </si>
  <si>
    <t>ゴトウ　レン</t>
  </si>
  <si>
    <t>審判登録番号</t>
  </si>
  <si>
    <t>資格</t>
  </si>
  <si>
    <t>フリガナ</t>
  </si>
  <si>
    <t>性別</t>
  </si>
  <si>
    <t>技能区分</t>
  </si>
  <si>
    <t>所属協会</t>
  </si>
  <si>
    <t>第二登録協会</t>
  </si>
  <si>
    <t>選択肢より</t>
  </si>
  <si>
    <t>R001251601</t>
  </si>
  <si>
    <t>佐々木　慎哉</t>
  </si>
  <si>
    <t>１級</t>
  </si>
  <si>
    <t>ササキ　シンヤ</t>
  </si>
  <si>
    <t>男性</t>
  </si>
  <si>
    <t>S審判</t>
  </si>
  <si>
    <t>大分県</t>
  </si>
  <si>
    <t>R001265145</t>
  </si>
  <si>
    <t>秋元　昭一</t>
  </si>
  <si>
    <t>２級</t>
  </si>
  <si>
    <t>アキモト　ショウイチ</t>
  </si>
  <si>
    <t>R000879756</t>
  </si>
  <si>
    <t>足達　実生</t>
  </si>
  <si>
    <t>アダチ　ジツオ</t>
  </si>
  <si>
    <t>R001253502</t>
  </si>
  <si>
    <t>安藤　博幸</t>
  </si>
  <si>
    <t>アンドウ　ヒロユキ</t>
  </si>
  <si>
    <t>R006221377</t>
  </si>
  <si>
    <t>池添　将大</t>
  </si>
  <si>
    <t>イケゾエ　マサヒロ</t>
  </si>
  <si>
    <t>R001262333</t>
  </si>
  <si>
    <t>イサモト　ヒデキ</t>
  </si>
  <si>
    <t>R001527744</t>
  </si>
  <si>
    <t>稲橋　徳彦</t>
  </si>
  <si>
    <t>イナハシ　ノリヒコ</t>
  </si>
  <si>
    <t>R001254060</t>
  </si>
  <si>
    <t>井上　大知</t>
  </si>
  <si>
    <t>イノウエ　ダイチ</t>
  </si>
  <si>
    <t>R001265172</t>
  </si>
  <si>
    <t>岩尾　雅広</t>
  </si>
  <si>
    <t>イワオ　マサヒロ</t>
  </si>
  <si>
    <t>R001262546</t>
  </si>
  <si>
    <t>岩崎　浩也</t>
  </si>
  <si>
    <t>イワサキ　ヒロヤ</t>
  </si>
  <si>
    <t>大石　雅宣</t>
  </si>
  <si>
    <t>オオイシ　マサノリ</t>
  </si>
  <si>
    <t>R001265233</t>
  </si>
  <si>
    <t>大野　髙洋</t>
  </si>
  <si>
    <t>オオノ　タカヒロ</t>
  </si>
  <si>
    <t>R002530125</t>
  </si>
  <si>
    <t>小畑　広大</t>
  </si>
  <si>
    <t>オバタ　コウダイ</t>
  </si>
  <si>
    <t>R009212325</t>
  </si>
  <si>
    <t>戒田　直樹</t>
  </si>
  <si>
    <t>カイダ　ナオキ</t>
  </si>
  <si>
    <t>R010281800</t>
  </si>
  <si>
    <t>河野　光喜</t>
  </si>
  <si>
    <t>カワノ　ミツキ</t>
  </si>
  <si>
    <t>R001262971</t>
  </si>
  <si>
    <t>木下　富喜</t>
  </si>
  <si>
    <t>キノシタ　トミヨシ</t>
  </si>
  <si>
    <t>R001262999</t>
  </si>
  <si>
    <t>木原　一心</t>
  </si>
  <si>
    <t>キハラ　カズシ</t>
  </si>
  <si>
    <t>R008479330</t>
  </si>
  <si>
    <t>國友　達朗</t>
  </si>
  <si>
    <t>クニトモ　タツロウ</t>
  </si>
  <si>
    <t>R010259420</t>
  </si>
  <si>
    <t>窪田　雅一</t>
  </si>
  <si>
    <t>クボタ　マサカズ</t>
  </si>
  <si>
    <t>R005528255</t>
  </si>
  <si>
    <t>黒田　大貴</t>
  </si>
  <si>
    <t>クロダ　ダイキ</t>
  </si>
  <si>
    <t>R001265349</t>
  </si>
  <si>
    <t>小出　康博</t>
  </si>
  <si>
    <t>コイデ　ヤスヒロ</t>
  </si>
  <si>
    <t>R001265376</t>
  </si>
  <si>
    <t>後藤　樹明</t>
  </si>
  <si>
    <t>ゴトウ　シゲアキ</t>
  </si>
  <si>
    <t>R000876616</t>
  </si>
  <si>
    <t>後藤　晋平</t>
  </si>
  <si>
    <t>ゴトウ　シンペイ</t>
  </si>
  <si>
    <t>R001265367</t>
  </si>
  <si>
    <t>後藤　啓之</t>
  </si>
  <si>
    <t>ゴトウ　ヒロユキ</t>
  </si>
  <si>
    <t>R010536851</t>
  </si>
  <si>
    <t>酒井　駿</t>
  </si>
  <si>
    <t>サカイ　シュン</t>
  </si>
  <si>
    <t>R001256943</t>
  </si>
  <si>
    <t>笹原　年浩</t>
  </si>
  <si>
    <t>ササハラ　トシヒロ</t>
  </si>
  <si>
    <t>R003255841</t>
  </si>
  <si>
    <t>塩月　勇輝</t>
  </si>
  <si>
    <t>シオツキ　ユウキ</t>
  </si>
  <si>
    <t>R001265385</t>
  </si>
  <si>
    <t>須藤　健二</t>
  </si>
  <si>
    <t>ストウ　ケンジ</t>
  </si>
  <si>
    <t>R006221465</t>
  </si>
  <si>
    <t>曽我　拓実</t>
  </si>
  <si>
    <t>ソガ　タクミ</t>
  </si>
  <si>
    <t>R010052667</t>
  </si>
  <si>
    <t>髙木　翔</t>
  </si>
  <si>
    <t>タカキ　カケル</t>
  </si>
  <si>
    <t>R001257924</t>
  </si>
  <si>
    <t>高木　哲也</t>
  </si>
  <si>
    <t>タカキ　テツヤ</t>
  </si>
  <si>
    <t>R000892429</t>
  </si>
  <si>
    <t>田中　博</t>
  </si>
  <si>
    <t>タナカ　ヒロシ</t>
  </si>
  <si>
    <t>R001265428</t>
  </si>
  <si>
    <t>坪井　和幸</t>
  </si>
  <si>
    <t>ツボイ　カズユキ</t>
  </si>
  <si>
    <t>R001265437</t>
  </si>
  <si>
    <t>寺林　豊</t>
  </si>
  <si>
    <t>テラバヤシ　ユタカ</t>
  </si>
  <si>
    <t>R010250271</t>
  </si>
  <si>
    <t>中尾　亜夢</t>
  </si>
  <si>
    <t>ナカオ　アユ</t>
  </si>
  <si>
    <t>R006151032</t>
  </si>
  <si>
    <t>中尾　優志</t>
  </si>
  <si>
    <t>ナカオ　ユウシ</t>
  </si>
  <si>
    <t>R003317390</t>
  </si>
  <si>
    <t>中園　健太郎</t>
  </si>
  <si>
    <t>ナカゾノ　ケンタロウ</t>
  </si>
  <si>
    <t>R001265464</t>
  </si>
  <si>
    <t>仲摩　則孝</t>
  </si>
  <si>
    <t>ナカマ　ノリタカ</t>
  </si>
  <si>
    <t>R001265358</t>
  </si>
  <si>
    <t>西田　亜矢</t>
  </si>
  <si>
    <t>ニシダ　アヤ</t>
  </si>
  <si>
    <t>女性</t>
  </si>
  <si>
    <t>R010169055</t>
  </si>
  <si>
    <t>二宮　勇志</t>
  </si>
  <si>
    <t>ニノミヤ　ユウシ</t>
  </si>
  <si>
    <t>R010167733</t>
  </si>
  <si>
    <t>原　大貴</t>
  </si>
  <si>
    <t>ハラ　ダイキ</t>
  </si>
  <si>
    <t>R001265473</t>
  </si>
  <si>
    <t>引地　弘幸</t>
  </si>
  <si>
    <t>ヒキチ　ヒロユキ</t>
  </si>
  <si>
    <t>R001260140</t>
  </si>
  <si>
    <t>福田　人志</t>
  </si>
  <si>
    <t>フクダ　ヒトシ</t>
  </si>
  <si>
    <t>R001265534</t>
  </si>
  <si>
    <t>前山　精治</t>
  </si>
  <si>
    <t>マエヤマ　セイジ</t>
  </si>
  <si>
    <t>R001260593</t>
  </si>
  <si>
    <t>増永　伸也</t>
  </si>
  <si>
    <t>マスナガ　ノブヤ</t>
  </si>
  <si>
    <t>R001265552</t>
  </si>
  <si>
    <t>松原　マヤ</t>
  </si>
  <si>
    <t>マツバラ　マヤ</t>
  </si>
  <si>
    <t>R010264267</t>
  </si>
  <si>
    <t>馬原　直人</t>
  </si>
  <si>
    <t>マバル　ナオト</t>
  </si>
  <si>
    <t>R002331010</t>
  </si>
  <si>
    <t>丸小野　聡暢</t>
  </si>
  <si>
    <t>マルオノ　トシノブ</t>
  </si>
  <si>
    <t>R003422498</t>
  </si>
  <si>
    <t>三ヶ尻　和也</t>
  </si>
  <si>
    <t>ミカジリ　カズヤ</t>
  </si>
  <si>
    <t>R004793649</t>
  </si>
  <si>
    <t>水江　真太郎</t>
  </si>
  <si>
    <t>ミズエ　シンタロウ</t>
  </si>
  <si>
    <t>R001264632</t>
  </si>
  <si>
    <t>湊　弘智</t>
  </si>
  <si>
    <t>ミナト　ヒロトモ</t>
  </si>
  <si>
    <t>ヤハタ　タカシ</t>
  </si>
  <si>
    <t>R006093817</t>
  </si>
  <si>
    <t>幸　壮一郎</t>
  </si>
  <si>
    <t>ユキ　ソウイチロウ</t>
  </si>
  <si>
    <t>和田　行祐</t>
  </si>
  <si>
    <t>ワダ　コウスケ</t>
  </si>
  <si>
    <t>R001262023</t>
  </si>
  <si>
    <t>和田　敬生</t>
  </si>
  <si>
    <t>ワダ　タカオ</t>
  </si>
  <si>
    <t>R010093470</t>
  </si>
  <si>
    <t>合澤　慎太郎</t>
  </si>
  <si>
    <t>３級</t>
  </si>
  <si>
    <t>アイザワ　シンタロウ</t>
  </si>
  <si>
    <t>R001264881</t>
  </si>
  <si>
    <t>赤山　千晶</t>
  </si>
  <si>
    <t>アカヤマ　チアキ</t>
  </si>
  <si>
    <t>R001253007</t>
  </si>
  <si>
    <t>秋元　貴生</t>
  </si>
  <si>
    <t>アキモト　タカオ</t>
  </si>
  <si>
    <t>R001253025</t>
  </si>
  <si>
    <t>アキヨシ　アキラ</t>
  </si>
  <si>
    <t>R010376364</t>
  </si>
  <si>
    <t>秋吉　慶汰</t>
  </si>
  <si>
    <t>アキヨシ　ケイタ</t>
  </si>
  <si>
    <t>R007960093</t>
  </si>
  <si>
    <t>浅井　佑太</t>
  </si>
  <si>
    <t>アサイ　ユウタ</t>
  </si>
  <si>
    <t>R007728424</t>
  </si>
  <si>
    <t>浅田　雄太</t>
  </si>
  <si>
    <t>アサダ　ユウタ</t>
  </si>
  <si>
    <t>アサヒナ　ヨシユキ</t>
  </si>
  <si>
    <t>R003317336</t>
  </si>
  <si>
    <t>朝吹　崇宏</t>
  </si>
  <si>
    <t>アサブキ　タカヒロ</t>
  </si>
  <si>
    <t>R001253159</t>
  </si>
  <si>
    <t>麻生　勝稔</t>
  </si>
  <si>
    <t>アソウ　カツトシ</t>
  </si>
  <si>
    <t>R001253557</t>
  </si>
  <si>
    <t>安達　信也</t>
  </si>
  <si>
    <t>アダチ　シンヤ</t>
  </si>
  <si>
    <t>R010069871</t>
  </si>
  <si>
    <t>足立　卓也</t>
  </si>
  <si>
    <t>アダチ　タクヤ</t>
  </si>
  <si>
    <t>R010396578</t>
  </si>
  <si>
    <t>足立　尚隆</t>
  </si>
  <si>
    <t>アダチ　ナオタカ</t>
  </si>
  <si>
    <t>R010189040</t>
  </si>
  <si>
    <t>阿地　孝</t>
  </si>
  <si>
    <t>アチ　タカシ</t>
  </si>
  <si>
    <t>R010313745</t>
  </si>
  <si>
    <t>穴井　大地</t>
  </si>
  <si>
    <t>アナイ　ダイチ</t>
  </si>
  <si>
    <t>R010352942</t>
  </si>
  <si>
    <t>姉川　光一朗</t>
  </si>
  <si>
    <t>アネカワ　コウイチロウ</t>
  </si>
  <si>
    <t>R001262184</t>
  </si>
  <si>
    <t>安部　一徳</t>
  </si>
  <si>
    <t>アベ　カズノリ</t>
  </si>
  <si>
    <t>R006573784</t>
  </si>
  <si>
    <t>安倍　和広</t>
  </si>
  <si>
    <t>アベ　カズヒロ</t>
  </si>
  <si>
    <t>R009460436</t>
  </si>
  <si>
    <t>安部　隆行</t>
  </si>
  <si>
    <t>アベ　タカユキ</t>
  </si>
  <si>
    <t>R010189323</t>
  </si>
  <si>
    <t>安部　孝之</t>
  </si>
  <si>
    <t>R007959103</t>
  </si>
  <si>
    <t>安倍　達也</t>
  </si>
  <si>
    <t>アベ　タツヤ</t>
  </si>
  <si>
    <t>R001262209</t>
  </si>
  <si>
    <t>阿部　浩之</t>
  </si>
  <si>
    <t>アベ　ヒロユキ</t>
  </si>
  <si>
    <t>安部　正信</t>
  </si>
  <si>
    <t>アベ　マサノブ</t>
  </si>
  <si>
    <t>R005336098</t>
  </si>
  <si>
    <t>荒木　宗明</t>
  </si>
  <si>
    <t>アラキ　ムネアキ</t>
  </si>
  <si>
    <t>R010189314</t>
  </si>
  <si>
    <t>有村　惇志</t>
  </si>
  <si>
    <t>アリムラ　アツシ</t>
  </si>
  <si>
    <t>R001251036</t>
  </si>
  <si>
    <t>有村　季幸</t>
  </si>
  <si>
    <t>アリムラ　トシユキ</t>
  </si>
  <si>
    <t>R008634229</t>
  </si>
  <si>
    <t>安藤　昭徳</t>
  </si>
  <si>
    <t>アンドウ　アキノリ</t>
  </si>
  <si>
    <t>R007003033</t>
  </si>
  <si>
    <t>安藤　和洋</t>
  </si>
  <si>
    <t>アンドウ　カズヒロ</t>
  </si>
  <si>
    <t>R001253496</t>
  </si>
  <si>
    <t>アンドウ　シンジ</t>
  </si>
  <si>
    <t>R010013254</t>
  </si>
  <si>
    <t>安藤　暢</t>
  </si>
  <si>
    <t>アンドウ　トオル</t>
  </si>
  <si>
    <t>R010064829</t>
  </si>
  <si>
    <t>安藤　英明</t>
  </si>
  <si>
    <t>アンドウ　ヒデアキ</t>
  </si>
  <si>
    <t>R001253548</t>
  </si>
  <si>
    <t>安藤　洋樹</t>
  </si>
  <si>
    <t>アンドウ　ヒロキ</t>
  </si>
  <si>
    <t>R010598060</t>
  </si>
  <si>
    <t>安藤　真輝</t>
  </si>
  <si>
    <t>アンドウ　マサキ</t>
  </si>
  <si>
    <t>R001262254</t>
  </si>
  <si>
    <t>アンドウ　ミキオ</t>
  </si>
  <si>
    <t>R009547124</t>
  </si>
  <si>
    <t>安藤　洋一</t>
  </si>
  <si>
    <t>アンドウ　ヨウイチ</t>
  </si>
  <si>
    <t>R007960084</t>
  </si>
  <si>
    <t>安部　武志</t>
  </si>
  <si>
    <t>アンベ　タケシ</t>
  </si>
  <si>
    <t>R001262290</t>
  </si>
  <si>
    <t>池江　浩一郎</t>
  </si>
  <si>
    <t>イケエ　コウイチロウ</t>
  </si>
  <si>
    <t>R010599585</t>
  </si>
  <si>
    <t>池崎　聖矢</t>
  </si>
  <si>
    <t>イケザキ　セイヤ</t>
  </si>
  <si>
    <t>R010306442</t>
  </si>
  <si>
    <t>池田　達哉</t>
  </si>
  <si>
    <t>イケダ　タツヤ</t>
  </si>
  <si>
    <t>R002384216</t>
  </si>
  <si>
    <t>池田　浩</t>
  </si>
  <si>
    <t>イケダ　ヒロシ</t>
  </si>
  <si>
    <t>R010093456</t>
  </si>
  <si>
    <t>池邉　賢一</t>
  </si>
  <si>
    <t>イケベ　ケンイチ</t>
  </si>
  <si>
    <t>R001262324</t>
  </si>
  <si>
    <t>池辺　俊明</t>
  </si>
  <si>
    <t>イケベ　トシアキ</t>
  </si>
  <si>
    <t>R009408904</t>
  </si>
  <si>
    <t>イシイ　ヨウヘイ</t>
  </si>
  <si>
    <t>R001262379</t>
  </si>
  <si>
    <t>石川　慎也</t>
  </si>
  <si>
    <t>イシカワ　シンヤ</t>
  </si>
  <si>
    <t>R010027832</t>
  </si>
  <si>
    <t>石川　裕明</t>
  </si>
  <si>
    <t>イシカワ　ヒロアキ</t>
  </si>
  <si>
    <t>R001321238</t>
  </si>
  <si>
    <t>石橋　眞和</t>
  </si>
  <si>
    <t>イシバシ　マサカズ</t>
  </si>
  <si>
    <t>R004060329</t>
  </si>
  <si>
    <t>石松　卓哉</t>
  </si>
  <si>
    <t>イシマツ　タクヤ</t>
  </si>
  <si>
    <t>R001262397</t>
  </si>
  <si>
    <t>石丸　泰幸</t>
  </si>
  <si>
    <t>イシマル　ヤスユキ</t>
  </si>
  <si>
    <t>R007753129</t>
  </si>
  <si>
    <t>石本　直也</t>
  </si>
  <si>
    <t>イシモト　ナオヤ</t>
  </si>
  <si>
    <t>R010189276</t>
  </si>
  <si>
    <t>石本　侑己</t>
  </si>
  <si>
    <t>イシモト　ユウキ</t>
  </si>
  <si>
    <t>R001262403</t>
  </si>
  <si>
    <t>石山　慎史</t>
  </si>
  <si>
    <t>イシヤマ　シンジ</t>
  </si>
  <si>
    <t>R003421338</t>
  </si>
  <si>
    <t>五十川　文明</t>
  </si>
  <si>
    <t>イソガワ　フミアキ</t>
  </si>
  <si>
    <t>R010448235</t>
  </si>
  <si>
    <t>礒辺　宏基</t>
  </si>
  <si>
    <t>イソベ　ヒロキ</t>
  </si>
  <si>
    <t>R005467918</t>
  </si>
  <si>
    <t>イソムラ　シンイチ</t>
  </si>
  <si>
    <t>R008536972</t>
  </si>
  <si>
    <t>板井　晋一</t>
  </si>
  <si>
    <t>イタイ　シンイチ</t>
  </si>
  <si>
    <t>R010281826</t>
  </si>
  <si>
    <t>板井　崇晃</t>
  </si>
  <si>
    <t>イタイ　タカアキ</t>
  </si>
  <si>
    <t>板井　龍法</t>
  </si>
  <si>
    <t>イタイ　タツノリ</t>
  </si>
  <si>
    <t>R007686234</t>
  </si>
  <si>
    <t>市田　翔太</t>
  </si>
  <si>
    <t>イチダ　ショウタ</t>
  </si>
  <si>
    <t>R010067178</t>
  </si>
  <si>
    <t>伊藤　慧斗</t>
  </si>
  <si>
    <t>イトウ　ケイト</t>
  </si>
  <si>
    <t>福岡県</t>
  </si>
  <si>
    <t>R002531522</t>
  </si>
  <si>
    <t>伊藤　宏充</t>
  </si>
  <si>
    <t>イトウ　ヒロミツ</t>
  </si>
  <si>
    <t>R001262458</t>
  </si>
  <si>
    <t>伊東　雅弘</t>
  </si>
  <si>
    <t>イトウ　マサヒロ</t>
  </si>
  <si>
    <t>R006173919</t>
  </si>
  <si>
    <t>井上　健次郎</t>
  </si>
  <si>
    <t>イノウエ　ケンジロウ</t>
  </si>
  <si>
    <t>R010281875</t>
  </si>
  <si>
    <t>井上　颯太</t>
  </si>
  <si>
    <t>イノウエ　ソウタ</t>
  </si>
  <si>
    <t>R001254051</t>
  </si>
  <si>
    <t>井上　直樹</t>
  </si>
  <si>
    <t>イノウエ　ナオキ</t>
  </si>
  <si>
    <t>R001869093</t>
  </si>
  <si>
    <t>井上　秀文</t>
  </si>
  <si>
    <t>イノウエ　ヒデフミ</t>
  </si>
  <si>
    <t>R006574172</t>
  </si>
  <si>
    <t>猪下　侑恭</t>
  </si>
  <si>
    <t>イノシタ　ユウスケ</t>
  </si>
  <si>
    <t>R010465598</t>
  </si>
  <si>
    <t>井福　晃紀</t>
  </si>
  <si>
    <t>イフク　コウキ</t>
  </si>
  <si>
    <t>R001262494</t>
  </si>
  <si>
    <t>井堀　貴康</t>
  </si>
  <si>
    <t>イボリ　タカヤス</t>
  </si>
  <si>
    <t>R001262500</t>
  </si>
  <si>
    <t>今井　克人</t>
  </si>
  <si>
    <t>イマイ　カツヒト</t>
  </si>
  <si>
    <t>R010542169</t>
  </si>
  <si>
    <t>今富　康平</t>
  </si>
  <si>
    <t>イマトミ　コウヘイ</t>
  </si>
  <si>
    <t>R003677104</t>
  </si>
  <si>
    <t>今宮　俊一</t>
  </si>
  <si>
    <t>イマミヤ　シュンイチ</t>
  </si>
  <si>
    <t>R010579071</t>
  </si>
  <si>
    <t>芋岡　克征</t>
  </si>
  <si>
    <t>イモオカ　カツユキ</t>
  </si>
  <si>
    <t>R005603820</t>
  </si>
  <si>
    <t>岩尾　潤一郎</t>
  </si>
  <si>
    <t>イワオ　ジュンイチロウ</t>
  </si>
  <si>
    <t>R010096810</t>
  </si>
  <si>
    <t>岩尾　瑞貴</t>
  </si>
  <si>
    <t>イワオ　ミズキ</t>
  </si>
  <si>
    <t>R001254176</t>
  </si>
  <si>
    <t>岩坂　康範</t>
  </si>
  <si>
    <t>イワサカ　ヤスノリ</t>
  </si>
  <si>
    <t>R004778507</t>
  </si>
  <si>
    <t>岩崎　彰範</t>
  </si>
  <si>
    <t>イワサキ　アキノリ</t>
  </si>
  <si>
    <t>R007335297</t>
  </si>
  <si>
    <t>岩丸　海斗</t>
  </si>
  <si>
    <t>イワマル　カイト</t>
  </si>
  <si>
    <t>R001262573</t>
  </si>
  <si>
    <t>上尾　泰裕</t>
  </si>
  <si>
    <t>ウエオ　ヤスヒロ</t>
  </si>
  <si>
    <t>R004055390</t>
  </si>
  <si>
    <t>植木　邦彦</t>
  </si>
  <si>
    <t>ウエキ　クニヒコ</t>
  </si>
  <si>
    <t>R001254282</t>
  </si>
  <si>
    <t>上田　大吾</t>
  </si>
  <si>
    <t>ウエダ　ダイゴ</t>
  </si>
  <si>
    <t>R001262582</t>
  </si>
  <si>
    <t>上田　輝彦</t>
  </si>
  <si>
    <t>ウエダ　テルヒコ</t>
  </si>
  <si>
    <t>R010415888</t>
  </si>
  <si>
    <t>上田　源典</t>
  </si>
  <si>
    <t>ウエダ　モトフミ</t>
  </si>
  <si>
    <t>R010613632</t>
  </si>
  <si>
    <t>上原　成貴</t>
  </si>
  <si>
    <t>ウエハラ　ヨシキ</t>
  </si>
  <si>
    <t>R010169040</t>
  </si>
  <si>
    <t>上本　慎一郎</t>
  </si>
  <si>
    <t>ウエモト　シンイチロウ</t>
  </si>
  <si>
    <t>R010189280</t>
  </si>
  <si>
    <t>魚住　健人</t>
  </si>
  <si>
    <t>ウオズミ　タケト</t>
  </si>
  <si>
    <t>ウタカ　アツシ</t>
  </si>
  <si>
    <t>R003421231</t>
  </si>
  <si>
    <t>内丸　貴裕</t>
  </si>
  <si>
    <t>ウチマル　タカヒロ</t>
  </si>
  <si>
    <t>R010396521</t>
  </si>
  <si>
    <t>内山　隆寛</t>
  </si>
  <si>
    <t>ウチヤマ　タカヒロ</t>
  </si>
  <si>
    <t>R010093443</t>
  </si>
  <si>
    <t>内山田　光史</t>
  </si>
  <si>
    <t>ウチヤマダ　コウシ</t>
  </si>
  <si>
    <t>R001262874</t>
  </si>
  <si>
    <t>宇都宮　潤也</t>
  </si>
  <si>
    <t>ウツノミヤ　ジュンヤ</t>
  </si>
  <si>
    <t>R005527609</t>
  </si>
  <si>
    <t>宇都宮　貴之</t>
  </si>
  <si>
    <t>ウツノミヤ　タカユキ</t>
  </si>
  <si>
    <t>R001265190</t>
  </si>
  <si>
    <t>宇野　耕二</t>
  </si>
  <si>
    <t>ウノ　コウジ</t>
  </si>
  <si>
    <t>R010193702</t>
  </si>
  <si>
    <t>梅田　高志</t>
  </si>
  <si>
    <t>ウメダ　タカシ</t>
  </si>
  <si>
    <t>R010189311</t>
  </si>
  <si>
    <t>梅徳　里一</t>
  </si>
  <si>
    <t>ウメトク　リイチ</t>
  </si>
  <si>
    <t>R010100691</t>
  </si>
  <si>
    <t>浦本　雅志</t>
  </si>
  <si>
    <t>ウラモト　マサシ</t>
  </si>
  <si>
    <t>R003421161</t>
  </si>
  <si>
    <t>永路　尚道</t>
  </si>
  <si>
    <t>エイロ　ナオミチ</t>
  </si>
  <si>
    <t>R010076621</t>
  </si>
  <si>
    <t>江上　和希</t>
  </si>
  <si>
    <t>エガミ　カズキ</t>
  </si>
  <si>
    <t>R005603361</t>
  </si>
  <si>
    <t>江口　晃平</t>
  </si>
  <si>
    <t>エグチ　コウヘイ</t>
  </si>
  <si>
    <t>R002530064</t>
  </si>
  <si>
    <t>江崎　康平</t>
  </si>
  <si>
    <t>エサキ　コウヘイ</t>
  </si>
  <si>
    <t>R001254538</t>
  </si>
  <si>
    <t>江藤　修</t>
  </si>
  <si>
    <t>エトウ　オサム</t>
  </si>
  <si>
    <t>R005603866</t>
  </si>
  <si>
    <t>衛藤　圭典</t>
  </si>
  <si>
    <t>エトウ　ケイスケ</t>
  </si>
  <si>
    <t>R001254510</t>
  </si>
  <si>
    <t>衛藤　兼一</t>
  </si>
  <si>
    <t>エトウ　ケンイチ</t>
  </si>
  <si>
    <t>R001262607</t>
  </si>
  <si>
    <t>衛藤　俊明</t>
  </si>
  <si>
    <t>エトウ　トシアキ</t>
  </si>
  <si>
    <t>江藤　雅章</t>
  </si>
  <si>
    <t>エトウ　マサアキ</t>
  </si>
  <si>
    <t>エミ　ケイスケ</t>
  </si>
  <si>
    <t>R002384580</t>
  </si>
  <si>
    <t>江良　信司</t>
  </si>
  <si>
    <t>エラ　シンジ</t>
  </si>
  <si>
    <t>R010465606</t>
  </si>
  <si>
    <t>大石　聖哉</t>
  </si>
  <si>
    <t>オオイシ　セイヤ</t>
  </si>
  <si>
    <t>R001262625</t>
  </si>
  <si>
    <t>大久保　邦彦</t>
  </si>
  <si>
    <t>オオクボ　クニヒコ</t>
  </si>
  <si>
    <t>R008377616</t>
  </si>
  <si>
    <t>大久保　稔生</t>
  </si>
  <si>
    <t>オオクボ　トシキ</t>
  </si>
  <si>
    <t>R003421912</t>
  </si>
  <si>
    <t>大久保　正明</t>
  </si>
  <si>
    <t>オオクボ　マサアキ</t>
  </si>
  <si>
    <t>R010189324</t>
  </si>
  <si>
    <t>大嶋　伊織</t>
  </si>
  <si>
    <t>オオシマ　イオリ</t>
  </si>
  <si>
    <t>R010465581</t>
  </si>
  <si>
    <t>大島　孝太</t>
  </si>
  <si>
    <t>オオシマ　コウタ</t>
  </si>
  <si>
    <t>R006093738</t>
  </si>
  <si>
    <t>大谷　伸二</t>
  </si>
  <si>
    <t>オオタニ　シンジ</t>
  </si>
  <si>
    <t>オオツカ　コウジ</t>
  </si>
  <si>
    <t>R005528121</t>
  </si>
  <si>
    <t>大塚　勇司</t>
  </si>
  <si>
    <t>オオツカ　ユウジ</t>
  </si>
  <si>
    <t>R008174019</t>
  </si>
  <si>
    <t>大塚　良輝</t>
  </si>
  <si>
    <t>オオツカ　ヨシキ</t>
  </si>
  <si>
    <t>R003351109</t>
  </si>
  <si>
    <t>大津留　健太</t>
  </si>
  <si>
    <t>オオツル　ケンタ</t>
  </si>
  <si>
    <t>R010498317</t>
  </si>
  <si>
    <t>オオツル　ショウタロウ</t>
  </si>
  <si>
    <t>R010281884</t>
  </si>
  <si>
    <t>大戸　聡平</t>
  </si>
  <si>
    <t>オオト　ソウヘイ</t>
  </si>
  <si>
    <t>R001262670</t>
  </si>
  <si>
    <t>大渡　年春</t>
  </si>
  <si>
    <t>オオト　トシハル</t>
  </si>
  <si>
    <t>R010465607</t>
  </si>
  <si>
    <t>大野　春佑</t>
  </si>
  <si>
    <t>オオノ　シュンスケ</t>
  </si>
  <si>
    <t>R003421222</t>
  </si>
  <si>
    <t>大野　盛通</t>
  </si>
  <si>
    <t>オオノ　モリミチ</t>
  </si>
  <si>
    <t>R010538289</t>
  </si>
  <si>
    <t>大場　将公</t>
  </si>
  <si>
    <t>オオバ　マサヒロ</t>
  </si>
  <si>
    <t>R010466988</t>
  </si>
  <si>
    <t>大星　陸渡</t>
  </si>
  <si>
    <t>オオボシ　リクト</t>
  </si>
  <si>
    <t>R010093494</t>
  </si>
  <si>
    <t>大本　敏行</t>
  </si>
  <si>
    <t>オオモト　トシユキ</t>
  </si>
  <si>
    <t>R010576529</t>
  </si>
  <si>
    <t>大山　純一郎</t>
  </si>
  <si>
    <t>オオヤマ　ジュンイチロウ</t>
  </si>
  <si>
    <t>R010214611</t>
  </si>
  <si>
    <t>岡　正一郎</t>
  </si>
  <si>
    <t>オカ　ショウイチロウ</t>
  </si>
  <si>
    <t>R010313747</t>
  </si>
  <si>
    <t>岡崎　俊介</t>
  </si>
  <si>
    <t>オカザキ　シュンスケ</t>
  </si>
  <si>
    <t>R010444522</t>
  </si>
  <si>
    <t>岡田　凌哉</t>
  </si>
  <si>
    <t>オカダ　リョウヤ</t>
  </si>
  <si>
    <t>R006901613</t>
  </si>
  <si>
    <t>岡部　明男</t>
  </si>
  <si>
    <t>オカベ　アキオ</t>
  </si>
  <si>
    <t>R001254875</t>
  </si>
  <si>
    <t>オカベ　ツカサ</t>
  </si>
  <si>
    <t>R006647584</t>
  </si>
  <si>
    <t>岡松　伸弥</t>
  </si>
  <si>
    <t>オカマツ　シンヤ</t>
  </si>
  <si>
    <t>R007959088</t>
  </si>
  <si>
    <t>岡本　遼</t>
  </si>
  <si>
    <t>オカモト　リョウ</t>
  </si>
  <si>
    <t>R010538391</t>
  </si>
  <si>
    <t>緒方　翔平</t>
  </si>
  <si>
    <t>オガタ　ショウヘイ</t>
  </si>
  <si>
    <t>R001262698</t>
  </si>
  <si>
    <t>緒方　崇</t>
  </si>
  <si>
    <t>オガタ　タカシ</t>
  </si>
  <si>
    <t>小川　翔太</t>
  </si>
  <si>
    <t>オガワ　ショウタ</t>
  </si>
  <si>
    <t>奥薗　将太</t>
  </si>
  <si>
    <t>オクゾノ　ショウタ</t>
  </si>
  <si>
    <t>オクダ　カズヒコ</t>
  </si>
  <si>
    <t>R010100676</t>
  </si>
  <si>
    <t>奥村　浩勝</t>
  </si>
  <si>
    <t>オクムラ　ヒロカツ</t>
  </si>
  <si>
    <t>小倉　正広</t>
  </si>
  <si>
    <t>オグラ　マサヒロ</t>
  </si>
  <si>
    <t>R001262731</t>
  </si>
  <si>
    <t>長田　敏明</t>
  </si>
  <si>
    <t>オサダ　トシアキ</t>
  </si>
  <si>
    <t>R010189320</t>
  </si>
  <si>
    <t>尾崎　勇</t>
  </si>
  <si>
    <t>オザキ　ユウ</t>
  </si>
  <si>
    <t>R010099453</t>
  </si>
  <si>
    <t>小関　啓太郎</t>
  </si>
  <si>
    <t>オゼキ　ケイタロウ</t>
  </si>
  <si>
    <t>R007960109</t>
  </si>
  <si>
    <t>小田　将大</t>
  </si>
  <si>
    <t>オダ　マサヒロ</t>
  </si>
  <si>
    <t>R006901589</t>
  </si>
  <si>
    <t>小田原　蓮</t>
  </si>
  <si>
    <t>オダワラ　レン</t>
  </si>
  <si>
    <t>R010311884</t>
  </si>
  <si>
    <t>越智　龍平</t>
  </si>
  <si>
    <t>オチ　リュウヘイ</t>
  </si>
  <si>
    <t>R002996695</t>
  </si>
  <si>
    <t>乙部　哲也</t>
  </si>
  <si>
    <t>オトベ　テツヤ</t>
  </si>
  <si>
    <t>R007959954</t>
  </si>
  <si>
    <t>オトメ　仁孝</t>
  </si>
  <si>
    <t>オトメ　ノリユキ</t>
  </si>
  <si>
    <t>R002917661</t>
  </si>
  <si>
    <t>小野　晃央</t>
  </si>
  <si>
    <t>オノ　アキオ</t>
  </si>
  <si>
    <t>R001255184</t>
  </si>
  <si>
    <t>小野　聡</t>
  </si>
  <si>
    <t>オノ　サトシ</t>
  </si>
  <si>
    <t>R005603608</t>
  </si>
  <si>
    <t>小野　智史</t>
  </si>
  <si>
    <t>R001255193</t>
  </si>
  <si>
    <t>小野　修太郎</t>
  </si>
  <si>
    <t>オノ　シュウタロウ</t>
  </si>
  <si>
    <t>R001255139</t>
  </si>
  <si>
    <t>小野　慎一</t>
  </si>
  <si>
    <t>オノ　シンイチ</t>
  </si>
  <si>
    <t>R010538295</t>
  </si>
  <si>
    <t>小野　輝</t>
  </si>
  <si>
    <t>オノ　ヒカル</t>
  </si>
  <si>
    <t>R001262786</t>
  </si>
  <si>
    <t>小野　幸登</t>
  </si>
  <si>
    <t>オノ　ユキト</t>
  </si>
  <si>
    <t>R010390125</t>
  </si>
  <si>
    <t>小野　友美子</t>
  </si>
  <si>
    <t>オノ　ユミコ</t>
  </si>
  <si>
    <t>R001262777</t>
  </si>
  <si>
    <t>小野　亮一</t>
  </si>
  <si>
    <t>オノ　リョウイチ</t>
  </si>
  <si>
    <t>R002996659</t>
  </si>
  <si>
    <t>小畑　郁夫</t>
  </si>
  <si>
    <t>オバタ　イクオ</t>
  </si>
  <si>
    <t>R000466941</t>
  </si>
  <si>
    <t>小畑　克則</t>
  </si>
  <si>
    <t>オバタ　カツノリ</t>
  </si>
  <si>
    <t>R008173700</t>
  </si>
  <si>
    <t>甲斐　剛樹</t>
  </si>
  <si>
    <t>カイ　ゴウキ</t>
  </si>
  <si>
    <t>R001265260</t>
  </si>
  <si>
    <t>甲斐　正三</t>
  </si>
  <si>
    <t>カイ　ショウゾウ</t>
  </si>
  <si>
    <t>R003258501</t>
  </si>
  <si>
    <t>甲斐　真号</t>
  </si>
  <si>
    <t>カイ　シンゴ</t>
  </si>
  <si>
    <t>R004794055</t>
  </si>
  <si>
    <t>笠置　貴路</t>
  </si>
  <si>
    <t>カサキ　タカミチ</t>
  </si>
  <si>
    <t>R001262829</t>
  </si>
  <si>
    <t>笠置　忠照</t>
  </si>
  <si>
    <t>カサギ　タダアキ</t>
  </si>
  <si>
    <t>R004793542</t>
  </si>
  <si>
    <t>梶川　和志</t>
  </si>
  <si>
    <t>カジカワ　カズシ</t>
  </si>
  <si>
    <t>R004055585</t>
  </si>
  <si>
    <t>梶原　賢士</t>
  </si>
  <si>
    <t>カジワラ　ケンジ</t>
  </si>
  <si>
    <t>R009198511</t>
  </si>
  <si>
    <t>梶原　幸平</t>
  </si>
  <si>
    <t>カジワラ　コウヘイ</t>
  </si>
  <si>
    <t>R001262838</t>
  </si>
  <si>
    <t>梶原　誠司</t>
  </si>
  <si>
    <t>カジワラ　セイジ</t>
  </si>
  <si>
    <t>R010099455</t>
  </si>
  <si>
    <t>糟谷　浩志</t>
  </si>
  <si>
    <t>カスタニ　ヒロシ</t>
  </si>
  <si>
    <t>R010261243</t>
  </si>
  <si>
    <t>片山　幹彦</t>
  </si>
  <si>
    <t>カタヤマ　ミキヒコ</t>
  </si>
  <si>
    <t>R004714642</t>
  </si>
  <si>
    <t>加藤　敦士</t>
  </si>
  <si>
    <t>カトウ　アツシ</t>
  </si>
  <si>
    <t>R007959608</t>
  </si>
  <si>
    <t>加藤　恭介</t>
  </si>
  <si>
    <t>カトウ　キョウスケ</t>
  </si>
  <si>
    <t>R010189342</t>
  </si>
  <si>
    <t>加藤　拓己</t>
  </si>
  <si>
    <t>カトウ　タクミ</t>
  </si>
  <si>
    <t>R010468357</t>
  </si>
  <si>
    <t>加藤　史章</t>
  </si>
  <si>
    <t>カトウ　フミアキ</t>
  </si>
  <si>
    <t>R009197929</t>
  </si>
  <si>
    <t>加藤　泰広</t>
  </si>
  <si>
    <t>カトウ　ヤスヒロ</t>
  </si>
  <si>
    <t>R010538326</t>
  </si>
  <si>
    <t>金丸　顕和</t>
  </si>
  <si>
    <t>カナマル　ケント</t>
  </si>
  <si>
    <t>R010448916</t>
  </si>
  <si>
    <t>金子　康二</t>
  </si>
  <si>
    <t>カネコ　コウジ</t>
  </si>
  <si>
    <t>R010261482</t>
  </si>
  <si>
    <t>金子　翔</t>
  </si>
  <si>
    <t>カネコ　ショウ</t>
  </si>
  <si>
    <t>カネダ　トモアキ</t>
  </si>
  <si>
    <t>R010376294</t>
  </si>
  <si>
    <t>株根　聖太</t>
  </si>
  <si>
    <t>カブネ　キヨタ</t>
  </si>
  <si>
    <t>R009624779</t>
  </si>
  <si>
    <t>株根　蒼太</t>
  </si>
  <si>
    <t>カブネ　ソウタ</t>
  </si>
  <si>
    <t>R010465586</t>
  </si>
  <si>
    <t>上江　啓太</t>
  </si>
  <si>
    <t>カミエ　ケイタ</t>
  </si>
  <si>
    <t>R001262883</t>
  </si>
  <si>
    <t>神川　基</t>
  </si>
  <si>
    <t>カミカワ　モトイ</t>
  </si>
  <si>
    <t>R002996668</t>
  </si>
  <si>
    <t>上西　亮次</t>
  </si>
  <si>
    <t>カミニシ　リョウジ</t>
  </si>
  <si>
    <t>R010256872</t>
  </si>
  <si>
    <t>鴨川　奨</t>
  </si>
  <si>
    <t>カモガワ　ショウ</t>
  </si>
  <si>
    <t>R010120143</t>
  </si>
  <si>
    <t>萱嶌　修平</t>
  </si>
  <si>
    <t>カヤシマ　シュウヘイ</t>
  </si>
  <si>
    <t>川井　勇介</t>
  </si>
  <si>
    <t>カワイ　ユウスケ</t>
  </si>
  <si>
    <t>R007959963</t>
  </si>
  <si>
    <t>川内　智弘</t>
  </si>
  <si>
    <t>カワウチ　トモヒロ</t>
  </si>
  <si>
    <t>R006220952</t>
  </si>
  <si>
    <t>川﨑　浩司</t>
  </si>
  <si>
    <t>カワサキ　コウジ</t>
  </si>
  <si>
    <t>R010450022</t>
  </si>
  <si>
    <t>川﨑　脩斗</t>
  </si>
  <si>
    <t>カワサキ　シュウト</t>
  </si>
  <si>
    <t>R002917430</t>
  </si>
  <si>
    <t>河津　裕徳</t>
  </si>
  <si>
    <t>カワヅ　ヒロノリ</t>
  </si>
  <si>
    <t>R005103418</t>
  </si>
  <si>
    <t>河野　貴裕</t>
  </si>
  <si>
    <t>カワノ　タカヒロ</t>
  </si>
  <si>
    <t>R001255740</t>
  </si>
  <si>
    <t>川野　剛</t>
  </si>
  <si>
    <t>カワノ　タケシ</t>
  </si>
  <si>
    <t>R010391915</t>
  </si>
  <si>
    <t>河野　晴輝</t>
  </si>
  <si>
    <t>カワノ　ハルキ</t>
  </si>
  <si>
    <t>R001255713</t>
  </si>
  <si>
    <t>河野　英樹</t>
  </si>
  <si>
    <t>カワノ　ヒデキ</t>
  </si>
  <si>
    <t>R001262935</t>
  </si>
  <si>
    <t>河野　裕明</t>
  </si>
  <si>
    <t>カワノ　ヒロアキ</t>
  </si>
  <si>
    <t>R006094001</t>
  </si>
  <si>
    <t>河野　祐司</t>
  </si>
  <si>
    <t>カワノ　ユウジ</t>
  </si>
  <si>
    <t>R010214623</t>
  </si>
  <si>
    <t>川畑　拓人</t>
  </si>
  <si>
    <t>カワバタ　タクト</t>
  </si>
  <si>
    <t>R010388050</t>
  </si>
  <si>
    <t>川端　大翔</t>
  </si>
  <si>
    <t>カワバタ　ヒロト</t>
  </si>
  <si>
    <t>R010352999</t>
  </si>
  <si>
    <t>川邉　裕也</t>
  </si>
  <si>
    <t>カワベ　ユウヤ</t>
  </si>
  <si>
    <t>R003351145</t>
  </si>
  <si>
    <t>川村　啓一郎</t>
  </si>
  <si>
    <t>カワムラ　ケイイチロウ</t>
  </si>
  <si>
    <t>R001255935</t>
  </si>
  <si>
    <t>川村　正樹</t>
  </si>
  <si>
    <t>カワムラ　マサキ</t>
  </si>
  <si>
    <t>キクチ　ケンイチ</t>
  </si>
  <si>
    <t>R007890271</t>
  </si>
  <si>
    <t>菊地　玄</t>
  </si>
  <si>
    <t>キクチ　ゲン</t>
  </si>
  <si>
    <t>R010613629</t>
  </si>
  <si>
    <t>木城　健太</t>
  </si>
  <si>
    <t>キシロ　ケンタ</t>
  </si>
  <si>
    <t>R010376296</t>
  </si>
  <si>
    <t>木島　悠</t>
  </si>
  <si>
    <t>キジマ　ユウ</t>
  </si>
  <si>
    <t>R010465605</t>
  </si>
  <si>
    <t>北村　真悟</t>
  </si>
  <si>
    <t>キタムラ　シンゴ</t>
  </si>
  <si>
    <t>R010074021</t>
  </si>
  <si>
    <t>木津　洋孝</t>
  </si>
  <si>
    <t>キヅ　ヒロタカ</t>
  </si>
  <si>
    <t>R010465604</t>
  </si>
  <si>
    <t>木本　大地</t>
  </si>
  <si>
    <t>キモト　ダイチ</t>
  </si>
  <si>
    <t>R001256129</t>
  </si>
  <si>
    <t>木本　信之</t>
  </si>
  <si>
    <t>キモト　ノブユキ</t>
  </si>
  <si>
    <t>R001256138</t>
  </si>
  <si>
    <t>木本　将斗</t>
  </si>
  <si>
    <t>キモト　マサト</t>
  </si>
  <si>
    <t>R001251504</t>
  </si>
  <si>
    <t>清原　雄太</t>
  </si>
  <si>
    <t>キヨハラ　ユウタ</t>
  </si>
  <si>
    <t>R007003486</t>
  </si>
  <si>
    <t>清松　隆浩</t>
  </si>
  <si>
    <t>キヨマツ　タカヒロ</t>
  </si>
  <si>
    <t>R001263031</t>
  </si>
  <si>
    <t>吉良　信輝</t>
  </si>
  <si>
    <t>キラ　ノブテル</t>
  </si>
  <si>
    <t>R001263040</t>
  </si>
  <si>
    <t>吉良　光峰</t>
  </si>
  <si>
    <t>キラ　ミツタカ</t>
  </si>
  <si>
    <t>R001263068</t>
  </si>
  <si>
    <t>切封　智和</t>
  </si>
  <si>
    <t>キリフ　トモカズ</t>
  </si>
  <si>
    <t>R001263077</t>
  </si>
  <si>
    <t>草野　学</t>
  </si>
  <si>
    <t>クサノ　マナブ</t>
  </si>
  <si>
    <t>R010247785</t>
  </si>
  <si>
    <t>楠本　未沙都</t>
  </si>
  <si>
    <t>クスモト　ミサト</t>
  </si>
  <si>
    <t>R001263129</t>
  </si>
  <si>
    <t>工藤　慎一</t>
  </si>
  <si>
    <t>クドウ　シンイチ</t>
  </si>
  <si>
    <t>R003258413</t>
  </si>
  <si>
    <t>工藤　隆貴</t>
  </si>
  <si>
    <t>クドウ　タカキ</t>
  </si>
  <si>
    <t>R003351251</t>
  </si>
  <si>
    <t>工藤　暢裕</t>
  </si>
  <si>
    <t>クドウ　ノブヒロ</t>
  </si>
  <si>
    <t>R007002982</t>
  </si>
  <si>
    <t>工藤　政野</t>
  </si>
  <si>
    <t>クドウ　マサノ</t>
  </si>
  <si>
    <t>R001263110</t>
  </si>
  <si>
    <t>工藤　康博</t>
  </si>
  <si>
    <t>クドウ　ヤスヒロ</t>
  </si>
  <si>
    <t>R008798262</t>
  </si>
  <si>
    <t>工藤　龍成</t>
  </si>
  <si>
    <t>クドウ　リュウセイ</t>
  </si>
  <si>
    <t>R010465591</t>
  </si>
  <si>
    <t>工藤　遼一</t>
  </si>
  <si>
    <t>クドウ　リョウイチ</t>
  </si>
  <si>
    <t>久保　雅敬</t>
  </si>
  <si>
    <t>クボ　マサノリ</t>
  </si>
  <si>
    <t>R001256305</t>
  </si>
  <si>
    <t>久保田　英樹</t>
  </si>
  <si>
    <t>クボタ　ヒデキ</t>
  </si>
  <si>
    <t>R001256314</t>
  </si>
  <si>
    <t>久保山　守</t>
  </si>
  <si>
    <t>クボヤマ　マモル</t>
  </si>
  <si>
    <t>R001263165</t>
  </si>
  <si>
    <t>熊谷　浩之</t>
  </si>
  <si>
    <t>クマガエ　ヒロユキ</t>
  </si>
  <si>
    <t>R007334890</t>
  </si>
  <si>
    <t>熊谷　勇哉</t>
  </si>
  <si>
    <t>クマガエ　ユウヤ</t>
  </si>
  <si>
    <t>R010538565</t>
  </si>
  <si>
    <t>倉原　一輝</t>
  </si>
  <si>
    <t>クラハラ　カズキ</t>
  </si>
  <si>
    <t>R010074028</t>
  </si>
  <si>
    <t>栗井　勝</t>
  </si>
  <si>
    <t>クリイ　マサル</t>
  </si>
  <si>
    <t>R001263183</t>
  </si>
  <si>
    <t>桑原　栄二郎</t>
  </si>
  <si>
    <t>クワバラ　エイジロウ</t>
  </si>
  <si>
    <t>R008634487</t>
  </si>
  <si>
    <t>桑原　将吾</t>
  </si>
  <si>
    <t>クワバラ　ショウゴ</t>
  </si>
  <si>
    <t>コイシカワ　サトル</t>
  </si>
  <si>
    <t>R007003228</t>
  </si>
  <si>
    <t>河野　晋也</t>
  </si>
  <si>
    <t>コウノ　シンヤ</t>
  </si>
  <si>
    <t>R010376271</t>
  </si>
  <si>
    <t>古賀　嵐士</t>
  </si>
  <si>
    <t>コガ　アラシ</t>
  </si>
  <si>
    <t>R010538323</t>
  </si>
  <si>
    <t>古瀬　大騎</t>
  </si>
  <si>
    <t>コセ　ダイキ</t>
  </si>
  <si>
    <t>R009198502</t>
  </si>
  <si>
    <t>児玉　祥吾</t>
  </si>
  <si>
    <t>コダマ　ショウゴ</t>
  </si>
  <si>
    <t>R010465584</t>
  </si>
  <si>
    <t>児玉　雅樹</t>
  </si>
  <si>
    <t>コダマ　マサキ</t>
  </si>
  <si>
    <t>R005405255</t>
  </si>
  <si>
    <t>小手川　朋輝</t>
  </si>
  <si>
    <t>コテガワ　トモキ</t>
  </si>
  <si>
    <t>R010576530</t>
  </si>
  <si>
    <t>琴尾　敬太</t>
  </si>
  <si>
    <t>コトオ　ケイタ</t>
  </si>
  <si>
    <t>R010080887</t>
  </si>
  <si>
    <t>古西　譲司</t>
  </si>
  <si>
    <t>コニシ　ジョウジ</t>
  </si>
  <si>
    <t>R004706704</t>
  </si>
  <si>
    <t>小林　年晴</t>
  </si>
  <si>
    <t>コバヤシ　トシハル</t>
  </si>
  <si>
    <t>R007728673</t>
  </si>
  <si>
    <t>小林　亮介</t>
  </si>
  <si>
    <t>コバヤシ　リョウスケ</t>
  </si>
  <si>
    <t>R010546292</t>
  </si>
  <si>
    <t>小山　純平</t>
  </si>
  <si>
    <t>コヤマ　ジュンペイ</t>
  </si>
  <si>
    <t>R001263314</t>
  </si>
  <si>
    <t>近藤　健二</t>
  </si>
  <si>
    <t>コンドウ　ケンジ</t>
  </si>
  <si>
    <t>R010376362</t>
  </si>
  <si>
    <t>近藤　將平</t>
  </si>
  <si>
    <t>コンドウ　ショウヘイ</t>
  </si>
  <si>
    <t>R006591364</t>
  </si>
  <si>
    <t>近藤　裕之</t>
  </si>
  <si>
    <t>コンドウ　ヒロユキ</t>
  </si>
  <si>
    <t>R010376355</t>
  </si>
  <si>
    <t>合嶋　雄大</t>
  </si>
  <si>
    <t>ゴウジマ　ユウダイ</t>
  </si>
  <si>
    <t>R009408852</t>
  </si>
  <si>
    <t>後藤　憲治</t>
  </si>
  <si>
    <t>ゴトウ　ケンジ</t>
  </si>
  <si>
    <t>後藤　滉稀</t>
  </si>
  <si>
    <t>ゴトウ　コウキ</t>
  </si>
  <si>
    <t>R001251540</t>
  </si>
  <si>
    <t>後藤　毅</t>
  </si>
  <si>
    <t>ゴトウ　タケシ</t>
  </si>
  <si>
    <t>R010306452</t>
  </si>
  <si>
    <t>後藤　知仁</t>
  </si>
  <si>
    <t>ゴトウ　トモヒト</t>
  </si>
  <si>
    <t>R010538293</t>
  </si>
  <si>
    <t>後藤　寛貴</t>
  </si>
  <si>
    <t>ゴトウ　ヒロキ</t>
  </si>
  <si>
    <t>R001256624</t>
  </si>
  <si>
    <t>後藤　文生</t>
  </si>
  <si>
    <t>ゴトウ　フミオ</t>
  </si>
  <si>
    <t>R001263271</t>
  </si>
  <si>
    <t>後藤　稔</t>
  </si>
  <si>
    <t>ゴトウ　ミノル</t>
  </si>
  <si>
    <t>R001263332</t>
  </si>
  <si>
    <t>斎藤　克己</t>
  </si>
  <si>
    <t>サイトウ　カツミ</t>
  </si>
  <si>
    <t>R010613637</t>
  </si>
  <si>
    <t>齋藤　優</t>
  </si>
  <si>
    <t>サイトウ　ユウ</t>
  </si>
  <si>
    <t>R001263369</t>
  </si>
  <si>
    <t>酒井　清行</t>
  </si>
  <si>
    <t>サカイ　キヨユキ</t>
  </si>
  <si>
    <t>サカイ　タカヒロ</t>
  </si>
  <si>
    <t>酒井　祐三</t>
  </si>
  <si>
    <t>サカイ　ユウゾウ</t>
  </si>
  <si>
    <t>R010356115</t>
  </si>
  <si>
    <t>サカキ　ケンジ</t>
  </si>
  <si>
    <t>R010576358</t>
  </si>
  <si>
    <t>坂本　和哉</t>
  </si>
  <si>
    <t>サカモト　カズヤ</t>
  </si>
  <si>
    <t>R004714688</t>
  </si>
  <si>
    <t>坂本　克也</t>
  </si>
  <si>
    <t>サカモト　カツヤ</t>
  </si>
  <si>
    <t>R003350863</t>
  </si>
  <si>
    <t>坂本　圭</t>
  </si>
  <si>
    <t>サカモト　ケイ</t>
  </si>
  <si>
    <t>R001263402</t>
  </si>
  <si>
    <t>坂本　淳吾</t>
  </si>
  <si>
    <t>サカモト　ジュンゴ</t>
  </si>
  <si>
    <t>R010542182</t>
  </si>
  <si>
    <t>坂元　達啓</t>
  </si>
  <si>
    <t>サカモト　タツヒロ</t>
  </si>
  <si>
    <t>R006849191</t>
  </si>
  <si>
    <t>坂本　大典</t>
  </si>
  <si>
    <t>サカモト　ダイスケ</t>
  </si>
  <si>
    <t>R010421577</t>
  </si>
  <si>
    <t>坂本　陸</t>
  </si>
  <si>
    <t>サカモト　リク</t>
  </si>
  <si>
    <t>R006574400</t>
  </si>
  <si>
    <t>酒盛　政晴</t>
  </si>
  <si>
    <t>サカモリ　マサハル</t>
  </si>
  <si>
    <t>相良　章成</t>
  </si>
  <si>
    <t>サガラ　アキナリ</t>
  </si>
  <si>
    <t>R002917500</t>
  </si>
  <si>
    <t>迫　裕作</t>
  </si>
  <si>
    <t>サコ　ユウサク</t>
  </si>
  <si>
    <t>R007335136</t>
  </si>
  <si>
    <t>ササキ　ヒデキ</t>
  </si>
  <si>
    <t>R001263411</t>
  </si>
  <si>
    <t>佐々木　正志</t>
  </si>
  <si>
    <t>ササキ　マサシ</t>
  </si>
  <si>
    <t>R003677052</t>
  </si>
  <si>
    <t>佐田　敬介</t>
  </si>
  <si>
    <t>サダ　ケイスケ</t>
  </si>
  <si>
    <t>R001263448</t>
  </si>
  <si>
    <t>佐藤　昭生</t>
  </si>
  <si>
    <t>サトウ　アキオ</t>
  </si>
  <si>
    <t>R001263484</t>
  </si>
  <si>
    <t>佐藤　一好</t>
  </si>
  <si>
    <t>サトウ　カズヨシ</t>
  </si>
  <si>
    <t>R010261478</t>
  </si>
  <si>
    <t>佐藤　賢太</t>
  </si>
  <si>
    <t>サトウ　ケンタ</t>
  </si>
  <si>
    <t>サトウ　シンジ</t>
  </si>
  <si>
    <t>R005164394</t>
  </si>
  <si>
    <t>佐藤　嵩隼</t>
  </si>
  <si>
    <t>サトウ　タカトシ</t>
  </si>
  <si>
    <t>R008634706</t>
  </si>
  <si>
    <t>佐藤　巨規</t>
  </si>
  <si>
    <t>サトウ　ナオキ</t>
  </si>
  <si>
    <t>R010281827</t>
  </si>
  <si>
    <t>佐藤　秀昭</t>
  </si>
  <si>
    <t>サトウ　ヒデアキ</t>
  </si>
  <si>
    <t>R010189269</t>
  </si>
  <si>
    <t>佐藤　寛季</t>
  </si>
  <si>
    <t>サトウ　ヒロキ</t>
  </si>
  <si>
    <t>R007728512</t>
  </si>
  <si>
    <t>佐藤　誠</t>
  </si>
  <si>
    <t>サトウ　マコト</t>
  </si>
  <si>
    <t>R010396593</t>
  </si>
  <si>
    <t>佐藤　諒</t>
  </si>
  <si>
    <t>R007003291</t>
  </si>
  <si>
    <t>佐藤　優介</t>
  </si>
  <si>
    <t>サトウ　ユウスケ</t>
  </si>
  <si>
    <t>R010382660</t>
  </si>
  <si>
    <t>佐藤　祐輔</t>
  </si>
  <si>
    <t>R010465594</t>
  </si>
  <si>
    <t>佐藤　湧大</t>
  </si>
  <si>
    <t>サトウ　ユウト</t>
  </si>
  <si>
    <t>R001263475</t>
  </si>
  <si>
    <t>佐藤　隆太</t>
  </si>
  <si>
    <t>サトウ　リュウタ</t>
  </si>
  <si>
    <t>R009552560</t>
  </si>
  <si>
    <t>佐藤　亮</t>
  </si>
  <si>
    <t>サトウ　リョウ</t>
  </si>
  <si>
    <t>R001257252</t>
  </si>
  <si>
    <t>三宮　仁</t>
  </si>
  <si>
    <t>サンノミヤ　ヒトシ</t>
  </si>
  <si>
    <t>R010540712</t>
  </si>
  <si>
    <t>汐先　悠介</t>
  </si>
  <si>
    <t>シオサキ　ユウスケ</t>
  </si>
  <si>
    <t>R007959936</t>
  </si>
  <si>
    <t>塩田　誠</t>
  </si>
  <si>
    <t>シオタ　マコト</t>
  </si>
  <si>
    <t>R010552555</t>
  </si>
  <si>
    <t>敷嶋　義郎</t>
  </si>
  <si>
    <t>シキシマ　ヨシオ</t>
  </si>
  <si>
    <t>R001257322</t>
  </si>
  <si>
    <t>師藤　一也</t>
  </si>
  <si>
    <t>シトウ　カズヤ</t>
  </si>
  <si>
    <t>R010444495</t>
  </si>
  <si>
    <t>志藤　圭史朗</t>
  </si>
  <si>
    <t>シトウ　ケイシロウ</t>
  </si>
  <si>
    <t>R001257340</t>
  </si>
  <si>
    <t>篠田　公成</t>
  </si>
  <si>
    <t>シノダ　キミナリ</t>
  </si>
  <si>
    <t>信田　卓也</t>
  </si>
  <si>
    <t>シノダ　タクヤ</t>
  </si>
  <si>
    <t>R010073990</t>
  </si>
  <si>
    <t>篠田　裕也</t>
  </si>
  <si>
    <t>シノダ　ユウヤ</t>
  </si>
  <si>
    <t>R010189333</t>
  </si>
  <si>
    <t>芝崎　駿</t>
  </si>
  <si>
    <t>シバサキ　カケル</t>
  </si>
  <si>
    <t>R008634715</t>
  </si>
  <si>
    <t>柴田　健一</t>
  </si>
  <si>
    <t>シバタ　ケンイチ</t>
  </si>
  <si>
    <t>R010214543</t>
  </si>
  <si>
    <t>柴田　峻佑</t>
  </si>
  <si>
    <t>シバタ　シュンスケ</t>
  </si>
  <si>
    <t>R002938017</t>
  </si>
  <si>
    <t>柴田　徹</t>
  </si>
  <si>
    <t>シバタ　トオル</t>
  </si>
  <si>
    <t>R001263536</t>
  </si>
  <si>
    <t>渋谷　崇</t>
  </si>
  <si>
    <t>シブヤ　タカシ</t>
  </si>
  <si>
    <t>R003317114</t>
  </si>
  <si>
    <t>島津　広光</t>
  </si>
  <si>
    <t>シマズ　ヒロミツ</t>
  </si>
  <si>
    <t>R007686216</t>
  </si>
  <si>
    <t>清水　圭二</t>
  </si>
  <si>
    <t>シミズ　ケイジ</t>
  </si>
  <si>
    <t>R010613616</t>
  </si>
  <si>
    <t>下田　拓哉</t>
  </si>
  <si>
    <t>シモダ　タクヤ</t>
  </si>
  <si>
    <t>R006910259</t>
  </si>
  <si>
    <t>下原　優一</t>
  </si>
  <si>
    <t>シモハラ　ユウイチ</t>
  </si>
  <si>
    <t>R006849182</t>
  </si>
  <si>
    <t>志谷　進</t>
  </si>
  <si>
    <t>シヤ　ススム</t>
  </si>
  <si>
    <t>首藤　圭介</t>
  </si>
  <si>
    <t>シュトウ　ケイスケ</t>
  </si>
  <si>
    <t>R001934616</t>
  </si>
  <si>
    <t>首藤　貴弘</t>
  </si>
  <si>
    <t>シュトウ　タカヒロ</t>
  </si>
  <si>
    <t>R010542204</t>
  </si>
  <si>
    <t>生野　憲太朗</t>
  </si>
  <si>
    <t>ショウノ　ケンタロウ</t>
  </si>
  <si>
    <t>R010538350</t>
  </si>
  <si>
    <t>白石　健</t>
  </si>
  <si>
    <t>シライシ　ケン</t>
  </si>
  <si>
    <t>シラエ　ナオキ</t>
  </si>
  <si>
    <t>R006849128</t>
  </si>
  <si>
    <t>城全　晃孝</t>
  </si>
  <si>
    <t>シロゼン　アキタカ</t>
  </si>
  <si>
    <t>R001263606</t>
  </si>
  <si>
    <t>城全　孝成</t>
  </si>
  <si>
    <t>シロゼン　タカナリ</t>
  </si>
  <si>
    <t>R001257641</t>
  </si>
  <si>
    <t>秦　達郎</t>
  </si>
  <si>
    <t>シン　タツロウ</t>
  </si>
  <si>
    <t>R001263633</t>
  </si>
  <si>
    <t>秦　雅暢</t>
  </si>
  <si>
    <t>シン　マサノブ</t>
  </si>
  <si>
    <t>R009198335</t>
  </si>
  <si>
    <t>城野　清</t>
  </si>
  <si>
    <t>ジョウノ　キヨシ</t>
  </si>
  <si>
    <t>R004793834</t>
  </si>
  <si>
    <t>末松　敬雅</t>
  </si>
  <si>
    <t>スエマツ　タカマサ</t>
  </si>
  <si>
    <t>菅川　智</t>
  </si>
  <si>
    <t>スガワ　サトシ</t>
  </si>
  <si>
    <t>R007003024</t>
  </si>
  <si>
    <t>杉崎　恭介</t>
  </si>
  <si>
    <t>スギサキ　キョウスケ</t>
  </si>
  <si>
    <t>R002530860</t>
  </si>
  <si>
    <t>鈴木　史朗</t>
  </si>
  <si>
    <t>スズキ　シロウ</t>
  </si>
  <si>
    <t>R008798369</t>
  </si>
  <si>
    <t>鈴木　優希</t>
  </si>
  <si>
    <t>スズキ　ユウキ</t>
  </si>
  <si>
    <t>R010444486</t>
  </si>
  <si>
    <t>須藤　哲也</t>
  </si>
  <si>
    <t>ストウ　テツヤ</t>
  </si>
  <si>
    <t>R010468354</t>
  </si>
  <si>
    <t>須藤　裕太</t>
  </si>
  <si>
    <t>スドウ　ユウタ</t>
  </si>
  <si>
    <t>R008798013</t>
  </si>
  <si>
    <t>スミタ　テッペイ</t>
  </si>
  <si>
    <t>セイケ　ダイスケ</t>
  </si>
  <si>
    <t>R001263679</t>
  </si>
  <si>
    <t>関　憲二</t>
  </si>
  <si>
    <t>セキ　ケンジ</t>
  </si>
  <si>
    <t>R000896665</t>
  </si>
  <si>
    <t>関　文雄</t>
  </si>
  <si>
    <t>セキ　フミオ</t>
  </si>
  <si>
    <t>R008798174</t>
  </si>
  <si>
    <t>関屋　俊侑</t>
  </si>
  <si>
    <t>セキヤ　トシユキ</t>
  </si>
  <si>
    <t>R001263688</t>
  </si>
  <si>
    <t>瀬口　篤</t>
  </si>
  <si>
    <t>セグチ　アツシ</t>
  </si>
  <si>
    <t>R010376284</t>
  </si>
  <si>
    <t>瀬戸口　雄</t>
  </si>
  <si>
    <t>セトグチ　ユウ</t>
  </si>
  <si>
    <t>R007606238</t>
  </si>
  <si>
    <t>相馬　大典</t>
  </si>
  <si>
    <t>ソウマ　ダイスケ</t>
  </si>
  <si>
    <t>R010247795</t>
  </si>
  <si>
    <t>曽我　彩夏</t>
  </si>
  <si>
    <t>ソガ　アヤカ</t>
  </si>
  <si>
    <t>R001263697</t>
  </si>
  <si>
    <t>曽我　大一郎</t>
  </si>
  <si>
    <t>ソガ　ダイイチロウ</t>
  </si>
  <si>
    <t>R005987430</t>
  </si>
  <si>
    <t>平　和隆</t>
  </si>
  <si>
    <t>タイラ　カズタカ</t>
  </si>
  <si>
    <t>R010552570</t>
  </si>
  <si>
    <t>高井　皓介</t>
  </si>
  <si>
    <t>タカイ　コウスケ</t>
  </si>
  <si>
    <t>R006664615</t>
  </si>
  <si>
    <t>高柿　康平</t>
  </si>
  <si>
    <t>タカガキ　コウヘイ</t>
  </si>
  <si>
    <t>R010465617</t>
  </si>
  <si>
    <t>高田　侑弥</t>
  </si>
  <si>
    <t>タカダ　ユウヤ</t>
  </si>
  <si>
    <t>R010376358</t>
  </si>
  <si>
    <t>高野　賢吾</t>
  </si>
  <si>
    <t>タカノ　ケンゴ</t>
  </si>
  <si>
    <t>R010613609</t>
  </si>
  <si>
    <t>髙橋　航介</t>
  </si>
  <si>
    <t>タカハシ　コウスケ</t>
  </si>
  <si>
    <t>R010465587</t>
  </si>
  <si>
    <t>高橋　大寿</t>
  </si>
  <si>
    <t>タカハシ　ダイジュ</t>
  </si>
  <si>
    <t>R001263819</t>
  </si>
  <si>
    <t>高橋　雅浩</t>
  </si>
  <si>
    <t>タカハシ　マサヒロ</t>
  </si>
  <si>
    <t>R010540717</t>
  </si>
  <si>
    <t>高橋　優斗</t>
  </si>
  <si>
    <t>タカハシ　ユウト</t>
  </si>
  <si>
    <t>R001263785</t>
  </si>
  <si>
    <t>高橋　芳洋</t>
  </si>
  <si>
    <t>タカハシ　ヨシヒロ</t>
  </si>
  <si>
    <t>R005987120</t>
  </si>
  <si>
    <t>高橋　涼太</t>
  </si>
  <si>
    <t>タカハシ　リョウタ</t>
  </si>
  <si>
    <t>R001263846</t>
  </si>
  <si>
    <t>高畑　徳治郎</t>
  </si>
  <si>
    <t>タカハタ　トクジロウ</t>
  </si>
  <si>
    <t>R001263837</t>
  </si>
  <si>
    <t>高畑　智秀</t>
  </si>
  <si>
    <t>タカハタ　トモヒデ</t>
  </si>
  <si>
    <t>R002996738</t>
  </si>
  <si>
    <t>高原　英司</t>
  </si>
  <si>
    <t>タカハラ　エイジ</t>
  </si>
  <si>
    <t>R003258477</t>
  </si>
  <si>
    <t>田上　和広</t>
  </si>
  <si>
    <t>タガミ　カズヒロ</t>
  </si>
  <si>
    <t>R001262272</t>
  </si>
  <si>
    <t>瀧山　理恵</t>
  </si>
  <si>
    <t>タキヤマ　リエ</t>
  </si>
  <si>
    <t>R010391939</t>
  </si>
  <si>
    <t>武石　新太</t>
  </si>
  <si>
    <t>タケイシ　アラタ</t>
  </si>
  <si>
    <t>R010391953</t>
  </si>
  <si>
    <t>武内　奨真</t>
  </si>
  <si>
    <t>タケウチ　ショウマ</t>
  </si>
  <si>
    <t>R001263882</t>
  </si>
  <si>
    <t>竹内　進</t>
  </si>
  <si>
    <t>タケウチ　ススム</t>
  </si>
  <si>
    <t>R003972489</t>
  </si>
  <si>
    <t>竹嶋　仁</t>
  </si>
  <si>
    <t>タケシマ　ヒトシ</t>
  </si>
  <si>
    <t>R006220484</t>
  </si>
  <si>
    <t>武智　正敏</t>
  </si>
  <si>
    <t>タケチ　マサトシ</t>
  </si>
  <si>
    <t>R007754243</t>
  </si>
  <si>
    <t>竹中　勇人</t>
  </si>
  <si>
    <t>タケナカ　ハヤト</t>
  </si>
  <si>
    <t>R006030599</t>
  </si>
  <si>
    <t>竹村　研一郎</t>
  </si>
  <si>
    <t>タケムラ　ケンイチロウ</t>
  </si>
  <si>
    <t>R007335075</t>
  </si>
  <si>
    <t>田坂　将和</t>
  </si>
  <si>
    <t>タサカ　マサカヅ</t>
  </si>
  <si>
    <t>タジリ　タカシ</t>
  </si>
  <si>
    <t>R004060170</t>
  </si>
  <si>
    <t>立花　陽一郎</t>
  </si>
  <si>
    <t>タチバナ　ヨウイチロウ</t>
  </si>
  <si>
    <t>R008626770</t>
  </si>
  <si>
    <t>立川　大記</t>
  </si>
  <si>
    <t>タツカワ　タイキ</t>
  </si>
  <si>
    <t>R009430578</t>
  </si>
  <si>
    <t>立川　千紗</t>
  </si>
  <si>
    <t>タツカワ　チサ</t>
  </si>
  <si>
    <t>R008627043</t>
  </si>
  <si>
    <t>立川　充</t>
  </si>
  <si>
    <t>タツカワ　ミツル</t>
  </si>
  <si>
    <t>R004683874</t>
  </si>
  <si>
    <t>田中　貴大</t>
  </si>
  <si>
    <t>タナカ　タカヒロ</t>
  </si>
  <si>
    <t>田中　靖之</t>
  </si>
  <si>
    <t>タナカ　ヤスユキ</t>
  </si>
  <si>
    <t>R001258394</t>
  </si>
  <si>
    <t>田邉　義晶</t>
  </si>
  <si>
    <t>タナベ　ヨシアキラ</t>
  </si>
  <si>
    <t>R010540711</t>
  </si>
  <si>
    <t>田之畑　絢也</t>
  </si>
  <si>
    <t>タノハタ　ジュンヤ</t>
  </si>
  <si>
    <t>R005164677</t>
  </si>
  <si>
    <t>田村　孝弘</t>
  </si>
  <si>
    <t>タムラ　タカヒロ</t>
  </si>
  <si>
    <t>R004793579</t>
  </si>
  <si>
    <t>團塚　晋之祐</t>
  </si>
  <si>
    <t>ダンヅカ　シンノスケ</t>
  </si>
  <si>
    <t>R010448232</t>
  </si>
  <si>
    <t>塚崎　高典</t>
  </si>
  <si>
    <t>ツカザキ　タカノリ</t>
  </si>
  <si>
    <t>R005430057</t>
  </si>
  <si>
    <t>辻　一陽</t>
  </si>
  <si>
    <t>ツジ　イチヨウ</t>
  </si>
  <si>
    <t>R010281819</t>
  </si>
  <si>
    <t>辻井　拓夢</t>
  </si>
  <si>
    <t>ツジイ　タクム</t>
  </si>
  <si>
    <t>R001265419</t>
  </si>
  <si>
    <t>津田　憲生</t>
  </si>
  <si>
    <t>ツダ　ノリオ</t>
  </si>
  <si>
    <t>R010214478</t>
  </si>
  <si>
    <t>堤　晴菜</t>
  </si>
  <si>
    <t>ツツミ　ハルナ</t>
  </si>
  <si>
    <t>R001263998</t>
  </si>
  <si>
    <t>堤　祐慈</t>
  </si>
  <si>
    <t>ツツミ　ユウジ</t>
  </si>
  <si>
    <t>R002996677</t>
  </si>
  <si>
    <t>坪根　晃</t>
  </si>
  <si>
    <t>ツボネ　アキラ</t>
  </si>
  <si>
    <t>R010465621</t>
  </si>
  <si>
    <t>坪根　弘希</t>
  </si>
  <si>
    <t>ツボネ　コウキ</t>
  </si>
  <si>
    <t>R001264003</t>
  </si>
  <si>
    <t>ツモリ　カズオ</t>
  </si>
  <si>
    <t>R001264012</t>
  </si>
  <si>
    <t>津守　正博</t>
  </si>
  <si>
    <t>ツモリ　マサヒロ</t>
  </si>
  <si>
    <t>R010376298</t>
  </si>
  <si>
    <t>鶴田　和也</t>
  </si>
  <si>
    <t>ツルタ　カズヤ</t>
  </si>
  <si>
    <t>R009408782</t>
  </si>
  <si>
    <t>手島　冠</t>
  </si>
  <si>
    <t>テシマ　カン</t>
  </si>
  <si>
    <t>R001264058</t>
  </si>
  <si>
    <t>寺岡　富夫</t>
  </si>
  <si>
    <t>テラオカ　トミオ</t>
  </si>
  <si>
    <t>R001264049</t>
  </si>
  <si>
    <t>寺岡　義彦</t>
  </si>
  <si>
    <t>テラオカ　ヨシヒコ</t>
  </si>
  <si>
    <t>テラジ　ヨシタカ</t>
  </si>
  <si>
    <t>R004226749</t>
  </si>
  <si>
    <t>寺本　義高</t>
  </si>
  <si>
    <t>テラモト　ヨシタカ</t>
  </si>
  <si>
    <t>R004111340</t>
  </si>
  <si>
    <t>トウゲ　ナオユキ</t>
  </si>
  <si>
    <t>R010167725</t>
  </si>
  <si>
    <t>東藤　正幸</t>
  </si>
  <si>
    <t>トウドウ　マサユキ</t>
  </si>
  <si>
    <t>R004385653</t>
  </si>
  <si>
    <t>徳永　尚也</t>
  </si>
  <si>
    <t>トクナガ　ナオヤ</t>
  </si>
  <si>
    <t>R002848671</t>
  </si>
  <si>
    <t>徳永　浩幸</t>
  </si>
  <si>
    <t>トクナガ　ヒロユキ</t>
  </si>
  <si>
    <t>R010189300</t>
  </si>
  <si>
    <t>徳光　将太</t>
  </si>
  <si>
    <t>トクミツ　ショウタ</t>
  </si>
  <si>
    <t>R001258701</t>
  </si>
  <si>
    <t>都甲　昌亨</t>
  </si>
  <si>
    <t>トコウ　マサユキ</t>
  </si>
  <si>
    <t>R006220961</t>
  </si>
  <si>
    <t>歳納　真人</t>
  </si>
  <si>
    <t>トシノ　マコト</t>
  </si>
  <si>
    <t>R010376357</t>
  </si>
  <si>
    <t>戸髙　航汰</t>
  </si>
  <si>
    <t>トダカ　コウタ</t>
  </si>
  <si>
    <t>R001258738</t>
  </si>
  <si>
    <t>戸髙　博秋</t>
  </si>
  <si>
    <t>トダカ　ヒロアキ</t>
  </si>
  <si>
    <t>R010581160</t>
  </si>
  <si>
    <t>富山　保</t>
  </si>
  <si>
    <t>トミヤマ　タモツ</t>
  </si>
  <si>
    <t>R002935472</t>
  </si>
  <si>
    <t>友成　義朗</t>
  </si>
  <si>
    <t>トモナリ　ヨシロウ</t>
  </si>
  <si>
    <t>ナイトウ　ショウゴ</t>
  </si>
  <si>
    <t>R010168000</t>
  </si>
  <si>
    <t>仲　恭平</t>
  </si>
  <si>
    <t>ナカ　キョウヘイ</t>
  </si>
  <si>
    <t>R010261477</t>
  </si>
  <si>
    <t>仲　慎太郎</t>
  </si>
  <si>
    <t>ナカ　シンタロウ</t>
  </si>
  <si>
    <t>R002917722</t>
  </si>
  <si>
    <t>中尾　倫彰</t>
  </si>
  <si>
    <t>ナカオ　ミチアキ</t>
  </si>
  <si>
    <t>R002530046</t>
  </si>
  <si>
    <t>中上　聡志</t>
  </si>
  <si>
    <t>ナカガミ　サトシ</t>
  </si>
  <si>
    <t>R003317071</t>
  </si>
  <si>
    <t>中島　圭太</t>
  </si>
  <si>
    <t>ナカシマ　ケイタ</t>
  </si>
  <si>
    <t>R008634681</t>
  </si>
  <si>
    <t>中島　康平</t>
  </si>
  <si>
    <t>ナカシマ　コウヘイ</t>
  </si>
  <si>
    <t>R010190757</t>
  </si>
  <si>
    <t>中島　佑介</t>
  </si>
  <si>
    <t>ナカシマ　ユウスケ</t>
  </si>
  <si>
    <t>R010007829</t>
  </si>
  <si>
    <t>中島　亮太</t>
  </si>
  <si>
    <t>ナカシマ　リョウタ</t>
  </si>
  <si>
    <t>R002996686</t>
  </si>
  <si>
    <t>中園　真栄</t>
  </si>
  <si>
    <t>ナカゾノ　マサハル</t>
  </si>
  <si>
    <t>R001258969</t>
  </si>
  <si>
    <t>中田　邦明</t>
  </si>
  <si>
    <t>ナカタ　クニアキ</t>
  </si>
  <si>
    <t>R001264164</t>
  </si>
  <si>
    <t>ナカノ　アキヒロ</t>
  </si>
  <si>
    <t>R005429893</t>
  </si>
  <si>
    <t>中野　佐和三</t>
  </si>
  <si>
    <t>ナカノ　サワミ</t>
  </si>
  <si>
    <t>R010248583</t>
  </si>
  <si>
    <t>中野　翔梧</t>
  </si>
  <si>
    <t>ナカノ　ショウゴ</t>
  </si>
  <si>
    <t>R003421310</t>
  </si>
  <si>
    <t>中野　雄斗</t>
  </si>
  <si>
    <t>ナカノ　ユウト</t>
  </si>
  <si>
    <t>R001264182</t>
  </si>
  <si>
    <t>ナカハラ　ケイスケ</t>
  </si>
  <si>
    <t>R010099448</t>
  </si>
  <si>
    <t>中原　丈聖</t>
  </si>
  <si>
    <t>ナカハラ　ヒロマサ</t>
  </si>
  <si>
    <t>R010467628</t>
  </si>
  <si>
    <t>中村　俊太</t>
  </si>
  <si>
    <t>ナカムラ　シュンタ</t>
  </si>
  <si>
    <t>R007959990</t>
  </si>
  <si>
    <t>中村　髙峰</t>
  </si>
  <si>
    <t>ナカムラ　タカネ</t>
  </si>
  <si>
    <t>R010382275</t>
  </si>
  <si>
    <t>中村　友海</t>
  </si>
  <si>
    <t>ナカムラ　ユウ</t>
  </si>
  <si>
    <t>R010073993</t>
  </si>
  <si>
    <t>仲村　陽一郎</t>
  </si>
  <si>
    <t>ナカムラ　ヨウイチロウ</t>
  </si>
  <si>
    <t>R010189259</t>
  </si>
  <si>
    <t>中山　修一</t>
  </si>
  <si>
    <t>ナカヤマ　シュウイチ</t>
  </si>
  <si>
    <t>R010162720</t>
  </si>
  <si>
    <t>中山　桃香</t>
  </si>
  <si>
    <t>ナカヤマ　モモカ</t>
  </si>
  <si>
    <t>R010376274</t>
  </si>
  <si>
    <t>永井　翔也</t>
  </si>
  <si>
    <t>ナガイ　ショウヤ</t>
  </si>
  <si>
    <t>R004111580</t>
  </si>
  <si>
    <t>永井　勇司</t>
  </si>
  <si>
    <t>ナガイ　ユージ</t>
  </si>
  <si>
    <t>R001258871</t>
  </si>
  <si>
    <t>長尾　信宏</t>
  </si>
  <si>
    <t>ナガオ　ノブヒロ</t>
  </si>
  <si>
    <t>R001264128</t>
  </si>
  <si>
    <t>長尾　寿郎</t>
  </si>
  <si>
    <t>ナガオ　ヒサオ</t>
  </si>
  <si>
    <t>R010448233</t>
  </si>
  <si>
    <t>長岡　傑</t>
  </si>
  <si>
    <t>ナガオカ　スグル</t>
  </si>
  <si>
    <t>R001258978</t>
  </si>
  <si>
    <t>長田　義弘</t>
  </si>
  <si>
    <t>ナガタ　ヨシヒロ</t>
  </si>
  <si>
    <t>ナガト　リョウタ</t>
  </si>
  <si>
    <t>R010538360</t>
  </si>
  <si>
    <t>長野　高志</t>
  </si>
  <si>
    <t>ナガノ　タカシ</t>
  </si>
  <si>
    <t>R005164941</t>
  </si>
  <si>
    <t>永松　真朗</t>
  </si>
  <si>
    <t>ナガマツ　マオ</t>
  </si>
  <si>
    <t>R006889108</t>
  </si>
  <si>
    <t>永松　真樹</t>
  </si>
  <si>
    <t>ナガマツ　マキ</t>
  </si>
  <si>
    <t>R010306440</t>
  </si>
  <si>
    <t>永芳　卓磨</t>
  </si>
  <si>
    <t>ナガヨシ　タクマ</t>
  </si>
  <si>
    <t>R002908335</t>
  </si>
  <si>
    <t>南里　秀樹</t>
  </si>
  <si>
    <t>ナンリ　ヒデキ</t>
  </si>
  <si>
    <t>R010613591</t>
  </si>
  <si>
    <t>西村　崇</t>
  </si>
  <si>
    <t>ニシムラ　タカシ</t>
  </si>
  <si>
    <t>R001264234</t>
  </si>
  <si>
    <t>西村　誠</t>
  </si>
  <si>
    <t>ニシムラ　マコト</t>
  </si>
  <si>
    <t>西村　竜司</t>
  </si>
  <si>
    <t>ニシムラ　リュウジ</t>
  </si>
  <si>
    <t>R006148515</t>
  </si>
  <si>
    <t>西山　文朗</t>
  </si>
  <si>
    <t>ニシヤマ　フミアキ</t>
  </si>
  <si>
    <t>R001259287</t>
  </si>
  <si>
    <t>新田　祐一郎</t>
  </si>
  <si>
    <t>ニッタ　ユウイチロウ</t>
  </si>
  <si>
    <t>R001264252</t>
  </si>
  <si>
    <t>二ノ谷　徹</t>
  </si>
  <si>
    <t>ニノタニ　トオル</t>
  </si>
  <si>
    <t>R010095349</t>
  </si>
  <si>
    <t>二宮　慎太郎</t>
  </si>
  <si>
    <t>ニノミヤ　シンタロウ</t>
  </si>
  <si>
    <t>如法寺　雅俊</t>
  </si>
  <si>
    <t>ニョホウジ　マサトシ</t>
  </si>
  <si>
    <t>R010552556</t>
  </si>
  <si>
    <t>野上　哲弘</t>
  </si>
  <si>
    <t>ノガミ　ヨシヒロ</t>
  </si>
  <si>
    <t>R010080607</t>
  </si>
  <si>
    <t>野田　晶生</t>
  </si>
  <si>
    <t>ノダ　マサオ</t>
  </si>
  <si>
    <t>R001264289</t>
  </si>
  <si>
    <t>野田　洋平</t>
  </si>
  <si>
    <t>ノダ　ヨウヘイ</t>
  </si>
  <si>
    <t>ノナカ　ユウスケ</t>
  </si>
  <si>
    <t>R010430157</t>
  </si>
  <si>
    <t>野元　雅矢</t>
  </si>
  <si>
    <t>ノモト　マサヤ</t>
  </si>
  <si>
    <t>ハキアイ　ナオキ</t>
  </si>
  <si>
    <t>狭間　照央</t>
  </si>
  <si>
    <t>ハザマ　テルヒサ</t>
  </si>
  <si>
    <t>R010540722</t>
  </si>
  <si>
    <t>橋口　大諒</t>
  </si>
  <si>
    <t>ハシグチ　ヒロアキ</t>
  </si>
  <si>
    <t>R001252017</t>
  </si>
  <si>
    <t>橋本　伸太郎</t>
  </si>
  <si>
    <t>ハシモト　シンタロウ</t>
  </si>
  <si>
    <t>R010376361</t>
  </si>
  <si>
    <t>橋本　淳平</t>
  </si>
  <si>
    <t>ハシモト　ジュンペイ</t>
  </si>
  <si>
    <t>R008797962</t>
  </si>
  <si>
    <t>橋本　葉音</t>
  </si>
  <si>
    <t>ハシモト　ハノン</t>
  </si>
  <si>
    <t>R010214541</t>
  </si>
  <si>
    <t>羽田野　順一</t>
  </si>
  <si>
    <t>ハタノ　ジュンイチ</t>
  </si>
  <si>
    <t>R001264304</t>
  </si>
  <si>
    <t>ハダノ　ワタル</t>
  </si>
  <si>
    <t>花崎　宏</t>
  </si>
  <si>
    <t>ハナサキ　ヒロシ</t>
  </si>
  <si>
    <t>R010376277</t>
  </si>
  <si>
    <t>花宮　大聖</t>
  </si>
  <si>
    <t>ハナミヤ　タイセイ</t>
  </si>
  <si>
    <t>R001259588</t>
  </si>
  <si>
    <t>浜崎　陽介</t>
  </si>
  <si>
    <t>ハマサキ　ヨウスケ</t>
  </si>
  <si>
    <t>R006221094</t>
  </si>
  <si>
    <t>浜町　拓也</t>
  </si>
  <si>
    <t>ハママチ　タクヤ</t>
  </si>
  <si>
    <t>R010613592</t>
  </si>
  <si>
    <t>速水　佑輔</t>
  </si>
  <si>
    <t>ハヤミズ　ユウスケ</t>
  </si>
  <si>
    <t>R001259667</t>
  </si>
  <si>
    <t>原　宏一</t>
  </si>
  <si>
    <t>ハラ　コウイチ</t>
  </si>
  <si>
    <t>R005603802</t>
  </si>
  <si>
    <t>原　俊輔</t>
  </si>
  <si>
    <t>ハラ　シュンスケ</t>
  </si>
  <si>
    <t>R008174365</t>
  </si>
  <si>
    <t>原　貴宏</t>
  </si>
  <si>
    <t>ハラ　タカヒロ</t>
  </si>
  <si>
    <t>R007003413</t>
  </si>
  <si>
    <t>原田　雅也</t>
  </si>
  <si>
    <t>ハラダ　マサヤ</t>
  </si>
  <si>
    <t>R007211182</t>
  </si>
  <si>
    <t>原田　龍太郎</t>
  </si>
  <si>
    <t>ハラダ　リュウタロウ</t>
  </si>
  <si>
    <t>R010067952</t>
  </si>
  <si>
    <t>半谷　風花</t>
  </si>
  <si>
    <t>ハンガイ　フウカ</t>
  </si>
  <si>
    <t>R001264359</t>
  </si>
  <si>
    <t>東　和弘</t>
  </si>
  <si>
    <t>ヒガシ　カズヒロ</t>
  </si>
  <si>
    <t>R010376324</t>
  </si>
  <si>
    <t>菱川　翔平</t>
  </si>
  <si>
    <t>ヒシカワ　ショウヘイ</t>
  </si>
  <si>
    <t>R010581181</t>
  </si>
  <si>
    <t>日野　由香里</t>
  </si>
  <si>
    <t>ヒノ　ユカリ</t>
  </si>
  <si>
    <t>R006147048</t>
  </si>
  <si>
    <t>姫野　一陽</t>
  </si>
  <si>
    <t>ヒメノ　イチヨウ</t>
  </si>
  <si>
    <t>R005528307</t>
  </si>
  <si>
    <t>姫野　恵一</t>
  </si>
  <si>
    <t>ヒメノ　ケイイチ</t>
  </si>
  <si>
    <t>R006220183</t>
  </si>
  <si>
    <t>姫野　航平</t>
  </si>
  <si>
    <t>ヒメノ　コウヘイ</t>
  </si>
  <si>
    <t>R010542172</t>
  </si>
  <si>
    <t>姫野　祥吾</t>
  </si>
  <si>
    <t>ヒメノ　ショウゴ</t>
  </si>
  <si>
    <t>R010189272</t>
  </si>
  <si>
    <t>姫野　佑太郎</t>
  </si>
  <si>
    <t>ヒメノ　ユウタロウ</t>
  </si>
  <si>
    <t>R010313780</t>
  </si>
  <si>
    <t>姫野　祐太朗</t>
  </si>
  <si>
    <t>R010352963</t>
  </si>
  <si>
    <t>平井　彩斗</t>
  </si>
  <si>
    <t>ヒライ　サイト</t>
  </si>
  <si>
    <t>R001259870</t>
  </si>
  <si>
    <t>平岡　正広</t>
  </si>
  <si>
    <t>ヒラオカ　マサヒロ</t>
  </si>
  <si>
    <t>R003972513</t>
  </si>
  <si>
    <t>平川　伸吾</t>
  </si>
  <si>
    <t>ヒラカワ　シンゴ</t>
  </si>
  <si>
    <t>R010538358</t>
  </si>
  <si>
    <t>平川　諒</t>
  </si>
  <si>
    <t>ヒラカワ　リョウ</t>
  </si>
  <si>
    <t>R007003501</t>
  </si>
  <si>
    <t>廣瀬　惣一朗</t>
  </si>
  <si>
    <t>ヒロセ　ソウイチロウ</t>
  </si>
  <si>
    <t>R001264401</t>
  </si>
  <si>
    <t>廣瀬　文明</t>
  </si>
  <si>
    <t>ヒロセ　フミアキ</t>
  </si>
  <si>
    <t>R004386120</t>
  </si>
  <si>
    <t>廣瀬　賢明</t>
  </si>
  <si>
    <t>ヒロセ　マサアキ</t>
  </si>
  <si>
    <t>R010449912</t>
  </si>
  <si>
    <t>廣瀬　龍治</t>
  </si>
  <si>
    <t>ヒロセ　リュウジ</t>
  </si>
  <si>
    <t>R001264410</t>
  </si>
  <si>
    <t>廣田　寧孝</t>
  </si>
  <si>
    <t>ヒロタ　ヤスタカ</t>
  </si>
  <si>
    <t>R001260070</t>
  </si>
  <si>
    <t>廣戸　誠一</t>
  </si>
  <si>
    <t>ヒロト　セイイチ</t>
  </si>
  <si>
    <t>R010376332</t>
  </si>
  <si>
    <t>深津　弘毅</t>
  </si>
  <si>
    <t>フカヅ　コウキ</t>
  </si>
  <si>
    <t>R010538359</t>
  </si>
  <si>
    <t>深野　達也</t>
  </si>
  <si>
    <t>フカノ　タツヤ</t>
  </si>
  <si>
    <t>R009197691</t>
  </si>
  <si>
    <t>深堀　祥司</t>
  </si>
  <si>
    <t>フカホリ　ショウジ</t>
  </si>
  <si>
    <t>フクダ　トモユキ</t>
  </si>
  <si>
    <t>R010099458</t>
  </si>
  <si>
    <t>福原　元希</t>
  </si>
  <si>
    <t>フクハラ　ゲンキ</t>
  </si>
  <si>
    <t>R001264447</t>
  </si>
  <si>
    <t>福元　研治</t>
  </si>
  <si>
    <t>フクモト　ケンジ</t>
  </si>
  <si>
    <t>R010396500</t>
  </si>
  <si>
    <t>藤井　健人</t>
  </si>
  <si>
    <t>フジイ　ケント</t>
  </si>
  <si>
    <t>R010576565</t>
  </si>
  <si>
    <t>藤井　大高</t>
  </si>
  <si>
    <t>フジイ　ヒロタカ</t>
  </si>
  <si>
    <t>R008798183</t>
  </si>
  <si>
    <t>藤田　和也</t>
  </si>
  <si>
    <t>フジタ　カズヤ</t>
  </si>
  <si>
    <t>R008798217</t>
  </si>
  <si>
    <t>藤本　勝爾</t>
  </si>
  <si>
    <t>フジモト　カツジ</t>
  </si>
  <si>
    <t>R007753819</t>
  </si>
  <si>
    <t>藤本　洋</t>
  </si>
  <si>
    <t>フジモト　ヒロシ</t>
  </si>
  <si>
    <t>R010027860</t>
  </si>
  <si>
    <t>藤原　佑史朗</t>
  </si>
  <si>
    <t>フジワラ　ユウシロウ</t>
  </si>
  <si>
    <t>R003421772</t>
  </si>
  <si>
    <t>藤原　龍司</t>
  </si>
  <si>
    <t>フジワラ　リュウジ</t>
  </si>
  <si>
    <t>R001264483</t>
  </si>
  <si>
    <t>渕　辰雄</t>
  </si>
  <si>
    <t>フチ　タツオ</t>
  </si>
  <si>
    <t>R004060189</t>
  </si>
  <si>
    <t>古川　高</t>
  </si>
  <si>
    <t>フルカワ　タカシ</t>
  </si>
  <si>
    <t>R001600205</t>
  </si>
  <si>
    <t>古戸　雅崇</t>
  </si>
  <si>
    <t>フルト　マサタカ</t>
  </si>
  <si>
    <t>R001264508</t>
  </si>
  <si>
    <t>古畑　葵</t>
  </si>
  <si>
    <t>フルハタ　アオイ</t>
  </si>
  <si>
    <t>R001264492</t>
  </si>
  <si>
    <t>古畑　翼</t>
  </si>
  <si>
    <t>フルハタ　ツバサ</t>
  </si>
  <si>
    <t>R005987050</t>
  </si>
  <si>
    <t>星野　敦</t>
  </si>
  <si>
    <t>ホシノ　アツシ</t>
  </si>
  <si>
    <t>R010056105</t>
  </si>
  <si>
    <t>星野　杏</t>
  </si>
  <si>
    <t>ホシノ　キョウ</t>
  </si>
  <si>
    <t>R003351288</t>
  </si>
  <si>
    <t>保月　寿智</t>
  </si>
  <si>
    <t>ホヅキ　トシアキ</t>
  </si>
  <si>
    <t>R006112343</t>
  </si>
  <si>
    <t>堀内　信敏</t>
  </si>
  <si>
    <t>ホリウチ　ノブトシ</t>
  </si>
  <si>
    <t>R006574066</t>
  </si>
  <si>
    <t>本田　和也</t>
  </si>
  <si>
    <t>ホンダ　カズヤ</t>
  </si>
  <si>
    <t>R010127606</t>
  </si>
  <si>
    <t>本戸　峰</t>
  </si>
  <si>
    <t>ホンド　ミネオ</t>
  </si>
  <si>
    <t>R007003422</t>
  </si>
  <si>
    <t>前田　篤史</t>
  </si>
  <si>
    <t>マエダ　トクフミ</t>
  </si>
  <si>
    <t>R010512435</t>
  </si>
  <si>
    <t>前田　裕哉</t>
  </si>
  <si>
    <t>マエダ　ユウヤ</t>
  </si>
  <si>
    <t>マガリェンス　リシャルドソン</t>
  </si>
  <si>
    <t>R001264544</t>
  </si>
  <si>
    <t>牧　和志</t>
  </si>
  <si>
    <t>マキ　カズシ</t>
  </si>
  <si>
    <t>R007002733</t>
  </si>
  <si>
    <t>柾木　洋平</t>
  </si>
  <si>
    <t>マサキ　ヨウヘイ</t>
  </si>
  <si>
    <t>R010093436</t>
  </si>
  <si>
    <t>松尾　達也</t>
  </si>
  <si>
    <t>マツオ　タツヤ</t>
  </si>
  <si>
    <t>R004793816</t>
  </si>
  <si>
    <t>松下　明史</t>
  </si>
  <si>
    <t>マツシタ　アキフミ</t>
  </si>
  <si>
    <t>R004055479</t>
  </si>
  <si>
    <t>松下　昌史</t>
  </si>
  <si>
    <t>マツシタ　マサフミ</t>
  </si>
  <si>
    <t>R009546806</t>
  </si>
  <si>
    <t>松下　稜河</t>
  </si>
  <si>
    <t>マツシタ　リヨウガ</t>
  </si>
  <si>
    <t>R010552545</t>
  </si>
  <si>
    <t>松島　大真</t>
  </si>
  <si>
    <t>マツシマ　ダイシン</t>
  </si>
  <si>
    <t>R007335303</t>
  </si>
  <si>
    <t>松田　稜</t>
  </si>
  <si>
    <t>マツダ　リョウ</t>
  </si>
  <si>
    <t>R009408737</t>
  </si>
  <si>
    <t>松原　亜衣</t>
  </si>
  <si>
    <t>マツバラ　アイ</t>
  </si>
  <si>
    <t>R010073975</t>
  </si>
  <si>
    <t>松本　和也</t>
  </si>
  <si>
    <t>マツモト　カズヤ</t>
  </si>
  <si>
    <t>R001264562</t>
  </si>
  <si>
    <t>松本　光将</t>
  </si>
  <si>
    <t>マツモト　ミツマサ</t>
  </si>
  <si>
    <t>R008481113</t>
  </si>
  <si>
    <t>松山　和寛</t>
  </si>
  <si>
    <t>マツヤマ　カズヒロ</t>
  </si>
  <si>
    <t>R006011372</t>
  </si>
  <si>
    <t>松山　大二郎</t>
  </si>
  <si>
    <t>マツヤマ　ダイジロウ</t>
  </si>
  <si>
    <t>R001264580</t>
  </si>
  <si>
    <t>真鍋　裕一</t>
  </si>
  <si>
    <t>マナベ　ユウイチ</t>
  </si>
  <si>
    <t>R005405699</t>
  </si>
  <si>
    <t>箕迫　雄介</t>
  </si>
  <si>
    <t>ミイサコ　ユウスケ</t>
  </si>
  <si>
    <t>R010209402</t>
  </si>
  <si>
    <t>三浦　龍一</t>
  </si>
  <si>
    <t>ミウラ　リュウイチ</t>
  </si>
  <si>
    <t>R007003307</t>
  </si>
  <si>
    <t>水口　裕太</t>
  </si>
  <si>
    <t>ミズグチ　ユウタ</t>
  </si>
  <si>
    <t>R008174046</t>
  </si>
  <si>
    <t>溝辺　宏輝</t>
  </si>
  <si>
    <t>ミゾベ　コウキ</t>
  </si>
  <si>
    <t>R002917263</t>
  </si>
  <si>
    <t>溝邊　祐幸</t>
  </si>
  <si>
    <t>ミゾベ　ヒロユキ</t>
  </si>
  <si>
    <t>R001264605</t>
  </si>
  <si>
    <t>御手洗　毅</t>
  </si>
  <si>
    <t>ミタライ　タケシ</t>
  </si>
  <si>
    <t>R004793658</t>
  </si>
  <si>
    <t>光根　明徳</t>
  </si>
  <si>
    <t>ミツネ　アキノリ</t>
  </si>
  <si>
    <t>R001264669</t>
  </si>
  <si>
    <t>美濃　誠</t>
  </si>
  <si>
    <t>ミノ　マコト</t>
  </si>
  <si>
    <t>R004793764</t>
  </si>
  <si>
    <t>三原　隼人</t>
  </si>
  <si>
    <t>ミハラ　ハヤト</t>
  </si>
  <si>
    <t>R010306451</t>
  </si>
  <si>
    <t>宮川　大志</t>
  </si>
  <si>
    <t>ミヤカワ　タイシ</t>
  </si>
  <si>
    <t>R004112057</t>
  </si>
  <si>
    <t>都　学志</t>
  </si>
  <si>
    <t>ミヤコ　サトシ</t>
  </si>
  <si>
    <t>R001264687</t>
  </si>
  <si>
    <t>宮迫　利範</t>
  </si>
  <si>
    <t>ミヤサコ　トシノリ</t>
  </si>
  <si>
    <t>R004385495</t>
  </si>
  <si>
    <t>宮﨑　隆史</t>
  </si>
  <si>
    <t>ミヤザキ　タカシ</t>
  </si>
  <si>
    <t>R010099454</t>
  </si>
  <si>
    <t>宮田　繁輝</t>
  </si>
  <si>
    <t>ミヤタ　シゲキ</t>
  </si>
  <si>
    <t>R010444497</t>
  </si>
  <si>
    <t>宮原　良介</t>
  </si>
  <si>
    <t>ミヤハラ　リョウスケ</t>
  </si>
  <si>
    <t>R001252196</t>
  </si>
  <si>
    <t>三好　美輝</t>
  </si>
  <si>
    <t>ミヨシ　ヨシテル</t>
  </si>
  <si>
    <t>R010247786</t>
  </si>
  <si>
    <t>宗岡　胡桃</t>
  </si>
  <si>
    <t>ムナオカ　クルミ</t>
  </si>
  <si>
    <t>R010001968</t>
  </si>
  <si>
    <t>宗岡　弦徳</t>
  </si>
  <si>
    <t>ムナオカ　ゲントク</t>
  </si>
  <si>
    <t>R001264711</t>
  </si>
  <si>
    <t>村上　一幸</t>
  </si>
  <si>
    <t>ムラカミ　カズユキ</t>
  </si>
  <si>
    <t>R001265118</t>
  </si>
  <si>
    <t>村上　貴志</t>
  </si>
  <si>
    <t>ムラカミ　タカシ</t>
  </si>
  <si>
    <t>R003350854</t>
  </si>
  <si>
    <t>モウトウ　ユウゾウ</t>
  </si>
  <si>
    <t>R001252220</t>
  </si>
  <si>
    <t>毛利　明博</t>
  </si>
  <si>
    <t>モウリ　アキヒロ</t>
  </si>
  <si>
    <t>R007705326</t>
  </si>
  <si>
    <t>用松　修平</t>
  </si>
  <si>
    <t>モチマツ　シュウヘイ</t>
  </si>
  <si>
    <t>R008173861</t>
  </si>
  <si>
    <t>本末　総治朗</t>
  </si>
  <si>
    <t>モトスエ　ソウジロウ</t>
  </si>
  <si>
    <t>R002530851</t>
  </si>
  <si>
    <t>本杉　拓也</t>
  </si>
  <si>
    <t>モトスギ　タクヤ</t>
  </si>
  <si>
    <t>R010540719</t>
  </si>
  <si>
    <t>本村　和也</t>
  </si>
  <si>
    <t>モトムラ　カズヤ</t>
  </si>
  <si>
    <t>R010189258</t>
  </si>
  <si>
    <t>森　健太</t>
  </si>
  <si>
    <t>モリ　ケンタ</t>
  </si>
  <si>
    <t>R010027876</t>
  </si>
  <si>
    <t>森　隆嗣</t>
  </si>
  <si>
    <t>モリ　リュウジ</t>
  </si>
  <si>
    <t>R007002779</t>
  </si>
  <si>
    <t>森下　洋一</t>
  </si>
  <si>
    <t>モリシタ　ヨウイチ</t>
  </si>
  <si>
    <t>R007798672</t>
  </si>
  <si>
    <t>森本　将司</t>
  </si>
  <si>
    <t>モリモト　マサシ</t>
  </si>
  <si>
    <t>R008634636</t>
  </si>
  <si>
    <t>森山　幸介</t>
  </si>
  <si>
    <t>モリヤマ　コウスケ</t>
  </si>
  <si>
    <t>R001261398</t>
  </si>
  <si>
    <t>森山　信浩</t>
  </si>
  <si>
    <t>モリヤマ　ノブヒロ</t>
  </si>
  <si>
    <t>R008798457</t>
  </si>
  <si>
    <t>薬師寺　翔</t>
  </si>
  <si>
    <t>ヤクシジ　ショウ</t>
  </si>
  <si>
    <t>R008798314</t>
  </si>
  <si>
    <t>薬師寺　亮太</t>
  </si>
  <si>
    <t>ヤクシジ　リョウタ</t>
  </si>
  <si>
    <t>R010190754</t>
  </si>
  <si>
    <t>八坂　柊</t>
  </si>
  <si>
    <t>ヤサカ　シュウ</t>
  </si>
  <si>
    <t>R010613607</t>
  </si>
  <si>
    <t>八坂　龍之介</t>
  </si>
  <si>
    <t>ヤサカ　リュウノスケ</t>
  </si>
  <si>
    <t>R001264766</t>
  </si>
  <si>
    <t>矢﨑　年勝</t>
  </si>
  <si>
    <t>ヤザキ　トシカツ</t>
  </si>
  <si>
    <t>R001264775</t>
  </si>
  <si>
    <t>屋敷　伴幸</t>
  </si>
  <si>
    <t>ヤシキ　トモユキ</t>
  </si>
  <si>
    <t>R006093987</t>
  </si>
  <si>
    <t>保田　薫</t>
  </si>
  <si>
    <t>ヤスダ　カオル</t>
  </si>
  <si>
    <t>R005527308</t>
  </si>
  <si>
    <t>柳井　孝則</t>
  </si>
  <si>
    <t>ヤナイ　タカノリ</t>
  </si>
  <si>
    <t>R004793825</t>
  </si>
  <si>
    <t>柳川　知也</t>
  </si>
  <si>
    <t>ヤナガワ　トモナリ</t>
  </si>
  <si>
    <t>R001261477</t>
  </si>
  <si>
    <t>柳本　剛</t>
  </si>
  <si>
    <t>ヤナギモト　タケシ</t>
  </si>
  <si>
    <t>ヤナギモト　テツヤ</t>
  </si>
  <si>
    <t>R003972443</t>
  </si>
  <si>
    <t>矢野　三千生</t>
  </si>
  <si>
    <t>ヤノ　ミチオ</t>
  </si>
  <si>
    <t>R004747206</t>
  </si>
  <si>
    <t>山　大祐</t>
  </si>
  <si>
    <t>ヤマ　ダイスケ</t>
  </si>
  <si>
    <t>R001965713</t>
  </si>
  <si>
    <t>山崎　和也</t>
  </si>
  <si>
    <t>ヤマサキ　カズヤ</t>
  </si>
  <si>
    <t>R010240533</t>
  </si>
  <si>
    <t>山﨑　典保</t>
  </si>
  <si>
    <t>ヤマサキ　ノリヤス</t>
  </si>
  <si>
    <t>R010363046</t>
  </si>
  <si>
    <t>山崎　雅人</t>
  </si>
  <si>
    <t>ヤマザキ　マサト</t>
  </si>
  <si>
    <t>R006147145</t>
  </si>
  <si>
    <t>山下　省二</t>
  </si>
  <si>
    <t>ヤマシタ　ショウジ</t>
  </si>
  <si>
    <t>R007753606</t>
  </si>
  <si>
    <t>山下　直一</t>
  </si>
  <si>
    <t>ヤマシタ　ナオカズ</t>
  </si>
  <si>
    <t>R010189260</t>
  </si>
  <si>
    <t>山下　泰明</t>
  </si>
  <si>
    <t>ヤマシタ　ヤスアキ</t>
  </si>
  <si>
    <t>ヤマダ　マサキ</t>
  </si>
  <si>
    <t>R001252293</t>
  </si>
  <si>
    <t>山中　早一郎</t>
  </si>
  <si>
    <t>ヤマナカ　ソウイチロウ</t>
  </si>
  <si>
    <t>R001264809</t>
  </si>
  <si>
    <t>山野内　哲朗</t>
  </si>
  <si>
    <t>ヤマノウチ　テツロウ</t>
  </si>
  <si>
    <t>R005164358</t>
  </si>
  <si>
    <t>山宮　俊寛</t>
  </si>
  <si>
    <t>ヤマミヤ　トシヒロ</t>
  </si>
  <si>
    <t>R005603486</t>
  </si>
  <si>
    <t>山本　篤</t>
  </si>
  <si>
    <t>ヤマモト　アツシ</t>
  </si>
  <si>
    <t>R010189296</t>
  </si>
  <si>
    <t>山本　和真</t>
  </si>
  <si>
    <t>ヤマモト　カズマ</t>
  </si>
  <si>
    <t>R008626886</t>
  </si>
  <si>
    <t>山本　真乃介</t>
  </si>
  <si>
    <t>ヤマモト　シンノスケ</t>
  </si>
  <si>
    <t>R010281871</t>
  </si>
  <si>
    <t>山本　青</t>
  </si>
  <si>
    <t>ヤマモト　ジョウ</t>
  </si>
  <si>
    <t>山本　貴志</t>
  </si>
  <si>
    <t>ヤマモト　タカシ</t>
  </si>
  <si>
    <t>R010313746</t>
  </si>
  <si>
    <t>山本　崇史</t>
  </si>
  <si>
    <t>ヤマモト　タカフミ</t>
  </si>
  <si>
    <t>R003351093</t>
  </si>
  <si>
    <t>山本　哲司</t>
  </si>
  <si>
    <t>ヤマモト　テツジ</t>
  </si>
  <si>
    <t>R004111562</t>
  </si>
  <si>
    <t>山本　悠司</t>
  </si>
  <si>
    <t>ヤマモト　ユージ</t>
  </si>
  <si>
    <t>R001264836</t>
  </si>
  <si>
    <t>幸　靖博</t>
  </si>
  <si>
    <t>ユキ　ヤスヒロ</t>
  </si>
  <si>
    <t>R001261778</t>
  </si>
  <si>
    <t>湯田　浩士</t>
  </si>
  <si>
    <t>ユダ　コウジ</t>
  </si>
  <si>
    <t>R008515553</t>
  </si>
  <si>
    <t>柚木　徹也</t>
  </si>
  <si>
    <t>ユルギ　テツヤ</t>
  </si>
  <si>
    <t>横山　大悟</t>
  </si>
  <si>
    <t>ヨコヤマ　ダイゴ</t>
  </si>
  <si>
    <t>R003421374</t>
  </si>
  <si>
    <t>横山　解史</t>
  </si>
  <si>
    <t>ヨコヤマ　トキフミ</t>
  </si>
  <si>
    <t>R001264854</t>
  </si>
  <si>
    <t>吉田　栄治</t>
  </si>
  <si>
    <t>ヨシダ　エイジ</t>
  </si>
  <si>
    <t>R003972665</t>
  </si>
  <si>
    <t>吉田　大助</t>
  </si>
  <si>
    <t>ヨシダ　ダイスケ</t>
  </si>
  <si>
    <t>R007090686</t>
  </si>
  <si>
    <t>吉元　健太朗</t>
  </si>
  <si>
    <t>ヨシモト　ケンタロウ</t>
  </si>
  <si>
    <t>R003421541</t>
  </si>
  <si>
    <t>四元　厚次</t>
  </si>
  <si>
    <t>ヨツモト　コウジ</t>
  </si>
  <si>
    <t>R001264872</t>
  </si>
  <si>
    <t>脇　雄洋</t>
  </si>
  <si>
    <t>ワキ　カツヒロ</t>
  </si>
  <si>
    <t>R006220378</t>
  </si>
  <si>
    <t>和喜田　拓</t>
  </si>
  <si>
    <t>ワキタ　タク</t>
  </si>
  <si>
    <t>R004386218</t>
  </si>
  <si>
    <t>和才　幸司</t>
  </si>
  <si>
    <t>ワサイ　コウジ</t>
  </si>
  <si>
    <t>R007757657</t>
  </si>
  <si>
    <t>渡辺　敬亮</t>
  </si>
  <si>
    <t>ワタナベ　ケイスケ</t>
  </si>
  <si>
    <t>R010113537</t>
  </si>
  <si>
    <t>渡邉　鷹也</t>
  </si>
  <si>
    <t>ワタナベ　タカヤ</t>
  </si>
  <si>
    <t>R010007794</t>
  </si>
  <si>
    <t>渡邉　卓人</t>
  </si>
  <si>
    <t>ワタナベ　タクト</t>
  </si>
  <si>
    <t>R009659544</t>
  </si>
  <si>
    <t>渡邉　友輔</t>
  </si>
  <si>
    <t>ワタナベ　ユウスケ</t>
  </si>
  <si>
    <t>渡辺　陽一郎</t>
  </si>
  <si>
    <t>ワタナベ　ヨウイチロウ</t>
  </si>
  <si>
    <t>R001252390</t>
  </si>
  <si>
    <t>渡里　賢人</t>
  </si>
  <si>
    <t>ワタリ　ケント</t>
  </si>
  <si>
    <t>R007729070</t>
  </si>
  <si>
    <t>和田　健一郎</t>
  </si>
  <si>
    <t>ワダ　ケンイチロウ</t>
  </si>
  <si>
    <t>R001264890</t>
  </si>
  <si>
    <t>和田　健二</t>
  </si>
  <si>
    <t>ワダ　ケンジ</t>
  </si>
  <si>
    <t>R001869127</t>
  </si>
  <si>
    <t>和田　浩</t>
  </si>
  <si>
    <t>ワダ　ヒロシ</t>
  </si>
  <si>
    <t>R010656697</t>
  </si>
  <si>
    <t>合澤　晴凪</t>
  </si>
  <si>
    <t>４級</t>
  </si>
  <si>
    <t>アイザワ　セナ</t>
  </si>
  <si>
    <t>R010583777</t>
  </si>
  <si>
    <t>藍澤　祐人</t>
  </si>
  <si>
    <t>アイザワ　ユウト</t>
  </si>
  <si>
    <t>R010538349</t>
  </si>
  <si>
    <t>藍島　司</t>
  </si>
  <si>
    <t>アイシマ　ツカサ</t>
  </si>
  <si>
    <t>R010083876</t>
  </si>
  <si>
    <t>相部　直輝</t>
  </si>
  <si>
    <t>アイベ　ナオキ</t>
  </si>
  <si>
    <t>R010576521</t>
  </si>
  <si>
    <t>青木　翔大</t>
  </si>
  <si>
    <t>アオキ　ショウタ</t>
  </si>
  <si>
    <t>R010602914</t>
  </si>
  <si>
    <t>青木　楓汰</t>
  </si>
  <si>
    <t>アオキ　フウタ</t>
  </si>
  <si>
    <t>R010262588</t>
  </si>
  <si>
    <t>青松　来樹</t>
  </si>
  <si>
    <t>アオマツ　ライキ</t>
  </si>
  <si>
    <t>R010432641</t>
  </si>
  <si>
    <t>青松　琉</t>
  </si>
  <si>
    <t>アオマツ　ルイ</t>
  </si>
  <si>
    <t>R010602916</t>
  </si>
  <si>
    <t>青柳　翼</t>
  </si>
  <si>
    <t>アオヤギ　ツバサ</t>
  </si>
  <si>
    <t>R010638080</t>
  </si>
  <si>
    <t>赤石　拓翔</t>
  </si>
  <si>
    <t>アカイシ　タクト</t>
  </si>
  <si>
    <t>R010189294</t>
  </si>
  <si>
    <t>赤木　修二</t>
  </si>
  <si>
    <t>アカギ　シュウジ</t>
  </si>
  <si>
    <t>R010281803</t>
  </si>
  <si>
    <t>赤坂　佳菜</t>
  </si>
  <si>
    <t>アカサカ　カナ</t>
  </si>
  <si>
    <t>R010542183</t>
  </si>
  <si>
    <t>赤坂　謙弥</t>
  </si>
  <si>
    <t>アカサカ　ケンヤ</t>
  </si>
  <si>
    <t>R010631822</t>
  </si>
  <si>
    <t>赤坂　愛歩</t>
  </si>
  <si>
    <t>アカサカ　マナホ</t>
  </si>
  <si>
    <t>R010396550</t>
  </si>
  <si>
    <t>赤田　椋</t>
  </si>
  <si>
    <t>アカダ　リョウ</t>
  </si>
  <si>
    <t>R010586321</t>
  </si>
  <si>
    <t>赤野　陽亮</t>
  </si>
  <si>
    <t>アカノ　ヨウスケ</t>
  </si>
  <si>
    <t>R001252947</t>
  </si>
  <si>
    <t>赤星　勝</t>
  </si>
  <si>
    <t>アカホシ　マサル</t>
  </si>
  <si>
    <t>R010538396</t>
  </si>
  <si>
    <t>赤峰　功己</t>
  </si>
  <si>
    <t>アカミネ　イサミ</t>
  </si>
  <si>
    <t>R008174028</t>
  </si>
  <si>
    <t>赤嶺　一宇</t>
  </si>
  <si>
    <t>アカミネ　カズタカ</t>
  </si>
  <si>
    <t>R010542186</t>
  </si>
  <si>
    <t>赤峰　一弥</t>
  </si>
  <si>
    <t>アカミネ　カズヤ</t>
  </si>
  <si>
    <t>R010093427</t>
  </si>
  <si>
    <t>赤峯　慎太郎</t>
  </si>
  <si>
    <t>アカミネ　シンタロウ</t>
  </si>
  <si>
    <t>R010599603</t>
  </si>
  <si>
    <t>赤嶺　智輝</t>
  </si>
  <si>
    <t>アカミネ　トモキ</t>
  </si>
  <si>
    <t>R010396556</t>
  </si>
  <si>
    <t>阿賀　匠</t>
  </si>
  <si>
    <t>アガ　タクミ</t>
  </si>
  <si>
    <t>R010386813</t>
  </si>
  <si>
    <t>秋月　来望</t>
  </si>
  <si>
    <t>アキヅキ　クルミ</t>
  </si>
  <si>
    <t>R005603884</t>
  </si>
  <si>
    <t>秋月　将吾</t>
  </si>
  <si>
    <t>アキヅキ　ショウゴ</t>
  </si>
  <si>
    <t>R010588866</t>
  </si>
  <si>
    <t>秋廣　涼介</t>
  </si>
  <si>
    <t>アキヒロ　リョウスケ</t>
  </si>
  <si>
    <t>R010475632</t>
  </si>
  <si>
    <t>秋本　廉斗</t>
  </si>
  <si>
    <t>アキモト　レント</t>
  </si>
  <si>
    <t>R010579103</t>
  </si>
  <si>
    <t>秋吉　真怜</t>
  </si>
  <si>
    <t>アキヨシ　マサト</t>
  </si>
  <si>
    <t>R010583774</t>
  </si>
  <si>
    <t>麻川　琉真</t>
  </si>
  <si>
    <t>アサカワ　リュウシン</t>
  </si>
  <si>
    <t>R001254990</t>
  </si>
  <si>
    <t>朝山　睦夫</t>
  </si>
  <si>
    <t>アサヤマ　ムツオ</t>
  </si>
  <si>
    <t>R010581182</t>
  </si>
  <si>
    <t>畔津　大治郎</t>
  </si>
  <si>
    <t>アゼツ　ダイジロウ</t>
  </si>
  <si>
    <t>R010593967</t>
  </si>
  <si>
    <t>麻生　庵</t>
  </si>
  <si>
    <t>アソウ　イオリ</t>
  </si>
  <si>
    <t>R010538302</t>
  </si>
  <si>
    <t>麻生　元太</t>
  </si>
  <si>
    <t>アソウ　ゲンタ</t>
  </si>
  <si>
    <t>R010653156</t>
  </si>
  <si>
    <t>麻生　なるみ</t>
  </si>
  <si>
    <t>アソウ　ナルミ</t>
  </si>
  <si>
    <t>R010653587</t>
  </si>
  <si>
    <t>麻生　拓夢</t>
  </si>
  <si>
    <t>アソウ　ヒロム</t>
  </si>
  <si>
    <t>R010538351</t>
  </si>
  <si>
    <t>麻生　政裕</t>
  </si>
  <si>
    <t>アソウ　マサヒロ</t>
  </si>
  <si>
    <t>R010604781</t>
  </si>
  <si>
    <t>麻生　侑希</t>
  </si>
  <si>
    <t>アソウ　ユウキ</t>
  </si>
  <si>
    <t>R010001949</t>
  </si>
  <si>
    <t>麻生　凜太郎</t>
  </si>
  <si>
    <t>アソウ　リンタロウ</t>
  </si>
  <si>
    <t>R010449911</t>
  </si>
  <si>
    <t>安達　健太</t>
  </si>
  <si>
    <t>アダチ　ケンタ</t>
  </si>
  <si>
    <t>R010376316</t>
  </si>
  <si>
    <t>安達　勉</t>
  </si>
  <si>
    <t>アダチ　ツトム</t>
  </si>
  <si>
    <t>R010588865</t>
  </si>
  <si>
    <t>足立　暖和</t>
  </si>
  <si>
    <t>アダチ　ハルト</t>
  </si>
  <si>
    <t>R010635513</t>
  </si>
  <si>
    <t>足立　緋由</t>
  </si>
  <si>
    <t>アダチ　ヒヨリ</t>
  </si>
  <si>
    <t>R010538384</t>
  </si>
  <si>
    <t>足立　悠真</t>
  </si>
  <si>
    <t>アダチ　ユウマ</t>
  </si>
  <si>
    <t>R010467631</t>
  </si>
  <si>
    <t>足立　陸矩</t>
  </si>
  <si>
    <t>R010579110</t>
  </si>
  <si>
    <t>阿地　優斗</t>
  </si>
  <si>
    <t>アチ　ユウト</t>
  </si>
  <si>
    <t>R010281862</t>
  </si>
  <si>
    <t>阿南　理奈</t>
  </si>
  <si>
    <t>アナミ　リナ</t>
  </si>
  <si>
    <t>R010539283</t>
  </si>
  <si>
    <t>穴見　倫太郎</t>
  </si>
  <si>
    <t>アナミ　リンタロウ</t>
  </si>
  <si>
    <t>R010540699</t>
  </si>
  <si>
    <t>阿南　幸輝</t>
  </si>
  <si>
    <t>アナン　コウキ</t>
  </si>
  <si>
    <t>R010376330</t>
  </si>
  <si>
    <t>阿南　広太朗</t>
  </si>
  <si>
    <t>アナン　コウタロウ</t>
  </si>
  <si>
    <t>R010601884</t>
  </si>
  <si>
    <t>阿南　統胡</t>
  </si>
  <si>
    <t>アナン　トウゴ</t>
  </si>
  <si>
    <t>R010388048</t>
  </si>
  <si>
    <t>阿部　佑京</t>
  </si>
  <si>
    <t>アベ　ウキョウ</t>
  </si>
  <si>
    <t>R010539271</t>
  </si>
  <si>
    <t>阿部　開世</t>
  </si>
  <si>
    <t>アベ　カイセイ</t>
  </si>
  <si>
    <t>R010093439</t>
  </si>
  <si>
    <t>阿部　和明</t>
  </si>
  <si>
    <t>アベ　カズアキ</t>
  </si>
  <si>
    <t>R010376299</t>
  </si>
  <si>
    <t>阿部　斡汰</t>
  </si>
  <si>
    <t>アベ　カンタ</t>
  </si>
  <si>
    <t>R010396564</t>
  </si>
  <si>
    <t>阿部　凱斗</t>
  </si>
  <si>
    <t>アベ　ガイト</t>
  </si>
  <si>
    <t>R010613603</t>
  </si>
  <si>
    <t>阿部　啓</t>
  </si>
  <si>
    <t>アベ　ケイ</t>
  </si>
  <si>
    <t>R010396552</t>
  </si>
  <si>
    <t>阿部　賢次</t>
  </si>
  <si>
    <t>アベ　ケンジ</t>
  </si>
  <si>
    <t>R010613612</t>
  </si>
  <si>
    <t>阿部　健介</t>
  </si>
  <si>
    <t>アベ　ケンスケ</t>
  </si>
  <si>
    <t>R010656676</t>
  </si>
  <si>
    <t>阿部　源太</t>
  </si>
  <si>
    <t>アベ　ゲンタ</t>
  </si>
  <si>
    <t>R010581169</t>
  </si>
  <si>
    <t>安部　幸一</t>
  </si>
  <si>
    <t>アベ　コウイチ</t>
  </si>
  <si>
    <t>R010538373</t>
  </si>
  <si>
    <t>阿部　航大</t>
  </si>
  <si>
    <t>R001253344</t>
  </si>
  <si>
    <t>阿部　哲士</t>
  </si>
  <si>
    <t>アベ　サトシ</t>
  </si>
  <si>
    <t>R010656678</t>
  </si>
  <si>
    <t>阿部　志温</t>
  </si>
  <si>
    <t>アベ　シオン</t>
  </si>
  <si>
    <t>R010638089</t>
  </si>
  <si>
    <t>安部　修平</t>
  </si>
  <si>
    <t>アベ　シュウヘイ</t>
  </si>
  <si>
    <t>R010540696</t>
  </si>
  <si>
    <t>安部　仁太</t>
  </si>
  <si>
    <t>アベ　ジンタ</t>
  </si>
  <si>
    <t>R010552579</t>
  </si>
  <si>
    <t>安部　漸</t>
  </si>
  <si>
    <t>アベ　ゼン</t>
  </si>
  <si>
    <t>R010576373</t>
  </si>
  <si>
    <t>安部　奏輝</t>
  </si>
  <si>
    <t>アベ　ソウキ</t>
  </si>
  <si>
    <t>R010027824</t>
  </si>
  <si>
    <t>安部　太貴</t>
  </si>
  <si>
    <t>アベ　タイキ</t>
  </si>
  <si>
    <t>R001253326</t>
  </si>
  <si>
    <t>阿部　孝之</t>
  </si>
  <si>
    <t>R010167738</t>
  </si>
  <si>
    <t>安倍　俊之</t>
  </si>
  <si>
    <t>アベ　トシユキ</t>
  </si>
  <si>
    <t>R010593126</t>
  </si>
  <si>
    <t>阿部　直斗</t>
  </si>
  <si>
    <t>アベ　ナオト</t>
  </si>
  <si>
    <t>R010538320</t>
  </si>
  <si>
    <t>阿部　渚</t>
  </si>
  <si>
    <t>アベ　ナギサ</t>
  </si>
  <si>
    <t>R010581180</t>
  </si>
  <si>
    <t>阿部　夏樹</t>
  </si>
  <si>
    <t>アベ　ナツキ</t>
  </si>
  <si>
    <t>R010579147</t>
  </si>
  <si>
    <t>安部　隼</t>
  </si>
  <si>
    <t>アベ　ハヤト</t>
  </si>
  <si>
    <t>R010593966</t>
  </si>
  <si>
    <t>安部　颯将</t>
  </si>
  <si>
    <t>R010604089</t>
  </si>
  <si>
    <t>安部　遥陽</t>
  </si>
  <si>
    <t>アベ　ハルヒ</t>
  </si>
  <si>
    <t>R010599188</t>
  </si>
  <si>
    <t>安部　広樹</t>
  </si>
  <si>
    <t>アベ　ヒロキ</t>
  </si>
  <si>
    <t>R010613594</t>
  </si>
  <si>
    <t>安部　裕樹</t>
  </si>
  <si>
    <t>R010549370</t>
  </si>
  <si>
    <t>安部　美優</t>
  </si>
  <si>
    <t>アベ　ミユウ</t>
  </si>
  <si>
    <t>R010314829</t>
  </si>
  <si>
    <t>安部　湧紀</t>
  </si>
  <si>
    <t>R010604783</t>
  </si>
  <si>
    <t>阿部　祐斗</t>
  </si>
  <si>
    <t>R010638076</t>
  </si>
  <si>
    <t>阿部　優磨</t>
  </si>
  <si>
    <t>R010259438</t>
  </si>
  <si>
    <t>安部　陸翔</t>
  </si>
  <si>
    <t>アベ　リクト</t>
  </si>
  <si>
    <t>R010579109</t>
  </si>
  <si>
    <t>阿部　竜樹</t>
  </si>
  <si>
    <t>アベ　リュウキ</t>
  </si>
  <si>
    <t>R010415886</t>
  </si>
  <si>
    <t>阿部　涼</t>
  </si>
  <si>
    <t>アベ　リョウ</t>
  </si>
  <si>
    <t>R010653578</t>
  </si>
  <si>
    <t>安部　凌真</t>
  </si>
  <si>
    <t>アベ　リョウマ</t>
  </si>
  <si>
    <t>R010604091</t>
  </si>
  <si>
    <t>天辰　歩睦</t>
  </si>
  <si>
    <t>アマタツ　アユム</t>
  </si>
  <si>
    <t>R010588881</t>
  </si>
  <si>
    <t>天野　俊</t>
  </si>
  <si>
    <t>アマノ　シュン</t>
  </si>
  <si>
    <t>R010604093</t>
  </si>
  <si>
    <t>網中　碧</t>
  </si>
  <si>
    <t>アミナカ　アオイ</t>
  </si>
  <si>
    <t>R010350226</t>
  </si>
  <si>
    <t>荒川　幸大</t>
  </si>
  <si>
    <t>アラカワ　コウタ</t>
  </si>
  <si>
    <t>R010638047</t>
  </si>
  <si>
    <t>荒金　拓臣</t>
  </si>
  <si>
    <t>アラガネ　タクミ</t>
  </si>
  <si>
    <t>R010542167</t>
  </si>
  <si>
    <t>荒金　洋一</t>
  </si>
  <si>
    <t>アラガネ　ヒロカズ</t>
  </si>
  <si>
    <t>R010638053</t>
  </si>
  <si>
    <t>荒牧　聡</t>
  </si>
  <si>
    <t>アラマキ　サトシ</t>
  </si>
  <si>
    <t>R001253423</t>
  </si>
  <si>
    <t>荒巻　成志</t>
  </si>
  <si>
    <t>アラマキ　シゲユキ</t>
  </si>
  <si>
    <t>R008798165</t>
  </si>
  <si>
    <t>荒巻　恭貴</t>
  </si>
  <si>
    <t>アラマキ　ヤスタカ</t>
  </si>
  <si>
    <t>R010552543</t>
  </si>
  <si>
    <t>新本　崇翔</t>
  </si>
  <si>
    <t>アラモト　タカト</t>
  </si>
  <si>
    <t>R007002715</t>
  </si>
  <si>
    <t>有門　寿</t>
  </si>
  <si>
    <t>アリカド　ヒサシ</t>
  </si>
  <si>
    <t>R010538332</t>
  </si>
  <si>
    <t>有田　祥太朗</t>
  </si>
  <si>
    <t>アリタ　ショウタロウ</t>
  </si>
  <si>
    <t>R010396506</t>
  </si>
  <si>
    <t>有田　伸司</t>
  </si>
  <si>
    <t>アリタ　シンジ</t>
  </si>
  <si>
    <t>R010123024</t>
  </si>
  <si>
    <t>有田　利広</t>
  </si>
  <si>
    <t>アリタ　トシヒロ</t>
  </si>
  <si>
    <t>R010376343</t>
  </si>
  <si>
    <t>有次　奏太朗</t>
  </si>
  <si>
    <t>アリツグ　ソウタロウ</t>
  </si>
  <si>
    <t>R010604096</t>
  </si>
  <si>
    <t>有永　咲</t>
  </si>
  <si>
    <t>アリナガ　サキ</t>
  </si>
  <si>
    <t>R006125763</t>
  </si>
  <si>
    <t>有村　光史</t>
  </si>
  <si>
    <t>アリムラ　コウジ</t>
  </si>
  <si>
    <t>R010552552</t>
  </si>
  <si>
    <t>有村　連空瑠</t>
  </si>
  <si>
    <t>アリムラ　レアル</t>
  </si>
  <si>
    <t>R010448639</t>
  </si>
  <si>
    <t>有吉　敦弘</t>
  </si>
  <si>
    <t>アリヨシ　アツヒロ</t>
  </si>
  <si>
    <t>R010189282</t>
  </si>
  <si>
    <t>安達　羽海</t>
  </si>
  <si>
    <t>アンダチ　ウミ</t>
  </si>
  <si>
    <t>R010214574</t>
  </si>
  <si>
    <t>安達　巧馬</t>
  </si>
  <si>
    <t>アンダチ　タクマ</t>
  </si>
  <si>
    <t>R010356117</t>
  </si>
  <si>
    <t>安達　帆海</t>
  </si>
  <si>
    <t>アンダチ　ホノミ</t>
  </si>
  <si>
    <t>R010546267</t>
  </si>
  <si>
    <t>安藤　歩樹</t>
  </si>
  <si>
    <t>アンドウ　イブキ</t>
  </si>
  <si>
    <t>R010579124</t>
  </si>
  <si>
    <t>安東　聖輝</t>
  </si>
  <si>
    <t>R010638058</t>
  </si>
  <si>
    <t>安藤　和明</t>
  </si>
  <si>
    <t>アンドウ　カズアキ</t>
  </si>
  <si>
    <t>R010243643</t>
  </si>
  <si>
    <t>安道　健斗</t>
  </si>
  <si>
    <t>アンドウ　ケント</t>
  </si>
  <si>
    <t>R007959158</t>
  </si>
  <si>
    <t>安東　弘貴</t>
  </si>
  <si>
    <t>アンドウ　コウキ</t>
  </si>
  <si>
    <t>R010357150</t>
  </si>
  <si>
    <t>安藤　幸志郎</t>
  </si>
  <si>
    <t>アンドウ　コウシロウ</t>
  </si>
  <si>
    <t>R010047303</t>
  </si>
  <si>
    <t>安東　湖楠</t>
  </si>
  <si>
    <t>アンドウ　コナン</t>
  </si>
  <si>
    <t>R010376281</t>
  </si>
  <si>
    <t>安藤　繁</t>
  </si>
  <si>
    <t>アンドウ　シゲル</t>
  </si>
  <si>
    <t>R010432650</t>
  </si>
  <si>
    <t>安東　慎平</t>
  </si>
  <si>
    <t>アンドウ　シンペイ</t>
  </si>
  <si>
    <t>R010453596</t>
  </si>
  <si>
    <t>安藤　尊司</t>
  </si>
  <si>
    <t>アンドウ　タカジ</t>
  </si>
  <si>
    <t>R010538292</t>
  </si>
  <si>
    <t>安藤　卓也</t>
  </si>
  <si>
    <t>アンドウ　タクヤ</t>
  </si>
  <si>
    <t>R010539276</t>
  </si>
  <si>
    <t>安東　龍秀</t>
  </si>
  <si>
    <t>アンドウ　タツヒデ</t>
  </si>
  <si>
    <t>R010444509</t>
  </si>
  <si>
    <t>安東　翼輝</t>
  </si>
  <si>
    <t>アンドウ　ツバキ</t>
  </si>
  <si>
    <t>R010352995</t>
  </si>
  <si>
    <t>安東　恭範</t>
  </si>
  <si>
    <t>アンドウ　ヤスノリ</t>
  </si>
  <si>
    <t>R010642049</t>
  </si>
  <si>
    <t>安東　佑剛</t>
  </si>
  <si>
    <t>アンドウ　ユウゴ</t>
  </si>
  <si>
    <t>R010161902</t>
  </si>
  <si>
    <t>安藤　幸歩</t>
  </si>
  <si>
    <t>アンドウ　ユキホ</t>
  </si>
  <si>
    <t>R010416216</t>
  </si>
  <si>
    <t>安藤　梨愛</t>
  </si>
  <si>
    <t>アンドウ　リア</t>
  </si>
  <si>
    <t>R010601886</t>
  </si>
  <si>
    <t>安藤　律來</t>
  </si>
  <si>
    <t>アンドウ　リク</t>
  </si>
  <si>
    <t>R010538315</t>
  </si>
  <si>
    <t>安藤　綾太</t>
  </si>
  <si>
    <t>アンドウ　リョウタ</t>
  </si>
  <si>
    <t>R010588873</t>
  </si>
  <si>
    <t>安藤　亮太</t>
  </si>
  <si>
    <t>R002530383</t>
  </si>
  <si>
    <t>阿武　志郎</t>
  </si>
  <si>
    <t>アンノ　シロウ</t>
  </si>
  <si>
    <t>R010613596</t>
  </si>
  <si>
    <t>安部　達郎</t>
  </si>
  <si>
    <t>アンベ　タツロウ</t>
  </si>
  <si>
    <t>R010586301</t>
  </si>
  <si>
    <t>安部　颯</t>
  </si>
  <si>
    <t>アンベ　ハヤテ</t>
  </si>
  <si>
    <t>R010540070</t>
  </si>
  <si>
    <t>安養寺　伸也</t>
  </si>
  <si>
    <t>アンヨウジ　シンヤ</t>
  </si>
  <si>
    <t>R010604773</t>
  </si>
  <si>
    <t>井伊　利大</t>
  </si>
  <si>
    <t>イイ　トシマス</t>
  </si>
  <si>
    <t>R001253584</t>
  </si>
  <si>
    <t>飯倉　洋介</t>
  </si>
  <si>
    <t>イイクラ　ヨウスケ</t>
  </si>
  <si>
    <t>R010538371</t>
  </si>
  <si>
    <t>伊井野　大翔</t>
  </si>
  <si>
    <t>イイノ　ヒロト</t>
  </si>
  <si>
    <t>R010281883</t>
  </si>
  <si>
    <t>飯干　遼飛</t>
  </si>
  <si>
    <t>イイホシ　リョウト</t>
  </si>
  <si>
    <t>R010352961</t>
  </si>
  <si>
    <t>五十川　大雅</t>
  </si>
  <si>
    <t>イカガワ　タイガ</t>
  </si>
  <si>
    <t>R010656696</t>
  </si>
  <si>
    <t>伊賀　朱惟</t>
  </si>
  <si>
    <t>イガ　シュイ</t>
  </si>
  <si>
    <t>R010189286</t>
  </si>
  <si>
    <t>伊賀　隆博</t>
  </si>
  <si>
    <t>イガ　タカヒロ</t>
  </si>
  <si>
    <t>R010391943</t>
  </si>
  <si>
    <t>池田　洋明</t>
  </si>
  <si>
    <t>イケダ　ヒロアキ</t>
  </si>
  <si>
    <t>R005603662</t>
  </si>
  <si>
    <t>池田　雅俊</t>
  </si>
  <si>
    <t>イケダ　マサトシ</t>
  </si>
  <si>
    <t>R010642067</t>
  </si>
  <si>
    <t>池田　優斗</t>
  </si>
  <si>
    <t>イケダ　ユウト</t>
  </si>
  <si>
    <t>R010586288</t>
  </si>
  <si>
    <t>池田　来輝</t>
  </si>
  <si>
    <t>イケダ　ライキ</t>
  </si>
  <si>
    <t>R006937229</t>
  </si>
  <si>
    <t>池田　航</t>
  </si>
  <si>
    <t>イケダ　ワタル</t>
  </si>
  <si>
    <t>R010638094</t>
  </si>
  <si>
    <t>池永　蒼生</t>
  </si>
  <si>
    <t>イケナガ　アオイ</t>
  </si>
  <si>
    <t>R010396532</t>
  </si>
  <si>
    <t>池永　壮佑</t>
  </si>
  <si>
    <t>イケナガ　ソウスケ</t>
  </si>
  <si>
    <t>R010390444</t>
  </si>
  <si>
    <t>池邉　楓</t>
  </si>
  <si>
    <t>イケベ　カエデ</t>
  </si>
  <si>
    <t>R010189318</t>
  </si>
  <si>
    <t>池邉　晋</t>
  </si>
  <si>
    <t>イケベ　シン</t>
  </si>
  <si>
    <t>R010281879</t>
  </si>
  <si>
    <t>池辺　雅也</t>
  </si>
  <si>
    <t>イケベ　マサヤ</t>
  </si>
  <si>
    <t>R010653566</t>
  </si>
  <si>
    <t>池邉　結斗</t>
  </si>
  <si>
    <t>イケベ　ユイト</t>
  </si>
  <si>
    <t>R010347367</t>
  </si>
  <si>
    <t>諫山　鮎斗</t>
  </si>
  <si>
    <t>イサヤマ　アユト</t>
  </si>
  <si>
    <t>R010653565</t>
  </si>
  <si>
    <t>諌山　蒼空</t>
  </si>
  <si>
    <t>イサヤマ　ソラ</t>
  </si>
  <si>
    <t>R010538324</t>
  </si>
  <si>
    <t>諌山　巧</t>
  </si>
  <si>
    <t>イサヤマ　タク</t>
  </si>
  <si>
    <t>R010579087</t>
  </si>
  <si>
    <t>諌山　琉生</t>
  </si>
  <si>
    <t>イサヤマ　ルイ</t>
  </si>
  <si>
    <t>R010642046</t>
  </si>
  <si>
    <t>石井　幸心</t>
  </si>
  <si>
    <t>イシイ　コウシン</t>
  </si>
  <si>
    <t>R001253681</t>
  </si>
  <si>
    <t>石井　重人</t>
  </si>
  <si>
    <t>イシイ　シゲト</t>
  </si>
  <si>
    <t>R010631823</t>
  </si>
  <si>
    <t>石井　哉也子</t>
  </si>
  <si>
    <t>イシイ　ヤヤコ</t>
  </si>
  <si>
    <t>R010467695</t>
  </si>
  <si>
    <t>石井　綾汰</t>
  </si>
  <si>
    <t>イシイ　リョウタ</t>
  </si>
  <si>
    <t>R010391913</t>
  </si>
  <si>
    <t>石井　伶弥</t>
  </si>
  <si>
    <t>イシイ　レイヤ</t>
  </si>
  <si>
    <t>R010631821</t>
  </si>
  <si>
    <t>石井　麗美</t>
  </si>
  <si>
    <t>イシイ　レミ</t>
  </si>
  <si>
    <t>R010546324</t>
  </si>
  <si>
    <t>石川　凰太</t>
  </si>
  <si>
    <t>イシカワ　オウタ</t>
  </si>
  <si>
    <t>R009198399</t>
  </si>
  <si>
    <t>石川　誠司</t>
  </si>
  <si>
    <t>イシカワ　セイジ</t>
  </si>
  <si>
    <t>R010352993</t>
  </si>
  <si>
    <t>石川　高光</t>
  </si>
  <si>
    <t>イシカワ　タカミツ</t>
  </si>
  <si>
    <t>R010586289</t>
  </si>
  <si>
    <t>石川　遥大</t>
  </si>
  <si>
    <t>イシカワ　ヨウタ</t>
  </si>
  <si>
    <t>R010248588</t>
  </si>
  <si>
    <t>石川　嶺瑠</t>
  </si>
  <si>
    <t>イシカワ　レアル</t>
  </si>
  <si>
    <t>R010538393</t>
  </si>
  <si>
    <t>石﨑　蒼大</t>
  </si>
  <si>
    <t>イシザキ　ソウタ</t>
  </si>
  <si>
    <t>R010579090</t>
  </si>
  <si>
    <t>石田　昭宏</t>
  </si>
  <si>
    <t>イシダ　アキヒロ</t>
  </si>
  <si>
    <t>R010539281</t>
  </si>
  <si>
    <t>石田　亮太</t>
  </si>
  <si>
    <t>イシダ　リョウタ</t>
  </si>
  <si>
    <t>R010576564</t>
  </si>
  <si>
    <t>石橋　弓斗</t>
  </si>
  <si>
    <t>イシバシ　ユミト</t>
  </si>
  <si>
    <t>R001253751</t>
  </si>
  <si>
    <t>石松　大輔</t>
  </si>
  <si>
    <t>イシマツ　ダイスケ</t>
  </si>
  <si>
    <t>R010638091</t>
  </si>
  <si>
    <t>石丸　恵登</t>
  </si>
  <si>
    <t>イシマル　ケイト</t>
  </si>
  <si>
    <t>R010281873</t>
  </si>
  <si>
    <t>石本　和廣</t>
  </si>
  <si>
    <t>イシモト　カズヒロ</t>
  </si>
  <si>
    <t>R010546289</t>
  </si>
  <si>
    <t>石本　知之介</t>
  </si>
  <si>
    <t>イシモト　シノスケ</t>
  </si>
  <si>
    <t>R010583784</t>
  </si>
  <si>
    <t>石本　星七</t>
  </si>
  <si>
    <t>イシモト　セナ</t>
  </si>
  <si>
    <t>R010576547</t>
  </si>
  <si>
    <t>石山　友樹</t>
  </si>
  <si>
    <t>イシヤマ　ユウキ</t>
  </si>
  <si>
    <t>R010613621</t>
  </si>
  <si>
    <t>泉　丈一郎</t>
  </si>
  <si>
    <t>イズミ　ジョウイチロウ</t>
  </si>
  <si>
    <t>R004714712</t>
  </si>
  <si>
    <t>和泉　宜幸</t>
  </si>
  <si>
    <t>イズミ　ノブユキ</t>
  </si>
  <si>
    <t>R010552538</t>
  </si>
  <si>
    <t>和泉　宏幸</t>
  </si>
  <si>
    <t>イズミ　ヒロユキ</t>
  </si>
  <si>
    <t>R010540697</t>
  </si>
  <si>
    <t>板井　愛之助</t>
  </si>
  <si>
    <t>イタイ　アイノスケ</t>
  </si>
  <si>
    <t>R010576362</t>
  </si>
  <si>
    <t>板井　航一</t>
  </si>
  <si>
    <t>イタイ　コウイチ</t>
  </si>
  <si>
    <t>R010007837</t>
  </si>
  <si>
    <t>板井　裕樹</t>
  </si>
  <si>
    <t>イタイ　ヒロキ</t>
  </si>
  <si>
    <t>R010583215</t>
  </si>
  <si>
    <t>板井　勇樹</t>
  </si>
  <si>
    <t>イタイ　ユウキ</t>
  </si>
  <si>
    <t>R010583775</t>
  </si>
  <si>
    <t>市川　友翔</t>
  </si>
  <si>
    <t>イチカワ　ユウト</t>
  </si>
  <si>
    <t>R010552568</t>
  </si>
  <si>
    <t>市川　嘉樹</t>
  </si>
  <si>
    <t>イチカワ　ヨシキ</t>
  </si>
  <si>
    <t>R010599593</t>
  </si>
  <si>
    <t>一木　凱斗</t>
  </si>
  <si>
    <t>イチキ　カイト</t>
  </si>
  <si>
    <t>R010656692</t>
  </si>
  <si>
    <t>一原　幸来</t>
  </si>
  <si>
    <t>イチハラ　サク</t>
  </si>
  <si>
    <t>R010613611</t>
  </si>
  <si>
    <t>市原　宗磨</t>
  </si>
  <si>
    <t>イチハラ　ソウマ</t>
  </si>
  <si>
    <t>R010546269</t>
  </si>
  <si>
    <t>市原　龍生</t>
  </si>
  <si>
    <t>イチハラ　ルイ</t>
  </si>
  <si>
    <t>R010189278</t>
  </si>
  <si>
    <t>一丸　顕範</t>
  </si>
  <si>
    <t>イチマル　アキノリ</t>
  </si>
  <si>
    <t>R010638051</t>
  </si>
  <si>
    <t>一色　隆紀</t>
  </si>
  <si>
    <t>イッシキ　タカノリ</t>
  </si>
  <si>
    <t>R007090808</t>
  </si>
  <si>
    <t>一法師　直喜</t>
  </si>
  <si>
    <t>イッポウシ　ナオキ</t>
  </si>
  <si>
    <t>R010453585</t>
  </si>
  <si>
    <t>出田　竣</t>
  </si>
  <si>
    <t>イデタ　シュン</t>
  </si>
  <si>
    <t>R008797926</t>
  </si>
  <si>
    <t>出田　武</t>
  </si>
  <si>
    <t>イデタ　タケシ</t>
  </si>
  <si>
    <t>R010604082</t>
  </si>
  <si>
    <t>出利葉　俊太朗</t>
  </si>
  <si>
    <t>イデリハ　シュンタロウ</t>
  </si>
  <si>
    <t>R010281846</t>
  </si>
  <si>
    <t>伊藤　魁</t>
  </si>
  <si>
    <t>イトウ　カイ</t>
  </si>
  <si>
    <t>R010588856</t>
  </si>
  <si>
    <t>伊東　海星</t>
  </si>
  <si>
    <t>イトウ　カイセイ</t>
  </si>
  <si>
    <t>R010642047</t>
  </si>
  <si>
    <t>伊東　海斗</t>
  </si>
  <si>
    <t>イトウ　カイト</t>
  </si>
  <si>
    <t>R010259419</t>
  </si>
  <si>
    <t>伊東　健一</t>
  </si>
  <si>
    <t>イトウ　ケンイチ</t>
  </si>
  <si>
    <t>R010376272</t>
  </si>
  <si>
    <t>伊藤　賢治</t>
  </si>
  <si>
    <t>イトウ　ケンジ</t>
  </si>
  <si>
    <t>R010214557</t>
  </si>
  <si>
    <t>伊東　健太郎</t>
  </si>
  <si>
    <t>イトウ　ケンタロウ</t>
  </si>
  <si>
    <t>R010656683</t>
  </si>
  <si>
    <t>伊藤　虹輝</t>
  </si>
  <si>
    <t>イトウ　コウキ</t>
  </si>
  <si>
    <t>R010281832</t>
  </si>
  <si>
    <t>伊藤　浩介</t>
  </si>
  <si>
    <t>イトウ　コウスケ</t>
  </si>
  <si>
    <t>R010546276</t>
  </si>
  <si>
    <t>伊東　将星</t>
  </si>
  <si>
    <t>イトウ　ショウセイ</t>
  </si>
  <si>
    <t>R007959699</t>
  </si>
  <si>
    <t>伊東　昇太郎</t>
  </si>
  <si>
    <t>イトウ　ショウタロウ</t>
  </si>
  <si>
    <t>R010386818</t>
  </si>
  <si>
    <t>伊藤　聖菜</t>
  </si>
  <si>
    <t>イトウ　セナ</t>
  </si>
  <si>
    <t>R010448920</t>
  </si>
  <si>
    <t>伊藤　竜希</t>
  </si>
  <si>
    <t>イトウ　タツキ</t>
  </si>
  <si>
    <t>R010600675</t>
  </si>
  <si>
    <t>伊東　直人</t>
  </si>
  <si>
    <t>イトウ　ナオト</t>
  </si>
  <si>
    <t>R010656672</t>
  </si>
  <si>
    <t>伊藤　勇人</t>
  </si>
  <si>
    <t>イトウ　ハヤト</t>
  </si>
  <si>
    <t>R010448642</t>
  </si>
  <si>
    <t>伊藤　光琉</t>
  </si>
  <si>
    <t>イトウ　ヒカル</t>
  </si>
  <si>
    <t>R009408898</t>
  </si>
  <si>
    <t>伊藤　秀征</t>
  </si>
  <si>
    <t>イトウ　ヒデマサ</t>
  </si>
  <si>
    <t>R010642022</t>
  </si>
  <si>
    <t>伊藤　雅範</t>
  </si>
  <si>
    <t>イトウ　マサノリ</t>
  </si>
  <si>
    <t>R010642062</t>
  </si>
  <si>
    <t>伊東　湊</t>
  </si>
  <si>
    <t>イトウ　ミナト</t>
  </si>
  <si>
    <t>R010579081</t>
  </si>
  <si>
    <t>伊藤　瑠</t>
  </si>
  <si>
    <t>イトウ　ルイ</t>
  </si>
  <si>
    <t>R010281816</t>
  </si>
  <si>
    <t>糸永　泰樹</t>
  </si>
  <si>
    <t>イトナガ　タイキ</t>
  </si>
  <si>
    <t>R010539934</t>
  </si>
  <si>
    <t>稲熊　勇成</t>
  </si>
  <si>
    <t>イナグマ　ユウセイ</t>
  </si>
  <si>
    <t>R010583769</t>
  </si>
  <si>
    <t>稲葉　巧真</t>
  </si>
  <si>
    <t>イナバ　タクマ</t>
  </si>
  <si>
    <t>R010546317</t>
  </si>
  <si>
    <t>犬塚　惺哉</t>
  </si>
  <si>
    <t>イヌツカ　セイヤ</t>
  </si>
  <si>
    <t>R008523312</t>
  </si>
  <si>
    <t>井上　海</t>
  </si>
  <si>
    <t>イノウエ　カイ</t>
  </si>
  <si>
    <t>R010067951</t>
  </si>
  <si>
    <t>井上　彩</t>
  </si>
  <si>
    <t>イノウエ　サヤカ</t>
  </si>
  <si>
    <t>R010586717</t>
  </si>
  <si>
    <t>井上　陽翔</t>
  </si>
  <si>
    <t>イノウエ　タカト</t>
  </si>
  <si>
    <t>R010243651</t>
  </si>
  <si>
    <t>井上　拓哉</t>
  </si>
  <si>
    <t>イノウエ　タクヤ</t>
  </si>
  <si>
    <t>R010396596</t>
  </si>
  <si>
    <t>井上　凌汰</t>
  </si>
  <si>
    <t>イノウエ　リョウタ</t>
  </si>
  <si>
    <t>R010376263</t>
  </si>
  <si>
    <t>井上　航</t>
  </si>
  <si>
    <t>イノウエ　ワタル</t>
  </si>
  <si>
    <t>R010396526</t>
  </si>
  <si>
    <t>猪原　虹輝</t>
  </si>
  <si>
    <t>イハラ　コウキ</t>
  </si>
  <si>
    <t>R010604766</t>
  </si>
  <si>
    <t>猪原　蒼空</t>
  </si>
  <si>
    <t>イハラ　ソラ</t>
  </si>
  <si>
    <t>R010581163</t>
  </si>
  <si>
    <t>猪原　康弘</t>
  </si>
  <si>
    <t>イハラ　ヤスヒロ</t>
  </si>
  <si>
    <t>R010576558</t>
  </si>
  <si>
    <t>井堀　弘晶</t>
  </si>
  <si>
    <t>イホリ　ヒロアキ</t>
  </si>
  <si>
    <t>R010451963</t>
  </si>
  <si>
    <t>今井　優人</t>
  </si>
  <si>
    <t>イマイ　ユウト</t>
  </si>
  <si>
    <t>R010538348</t>
  </si>
  <si>
    <t>今田　優太</t>
  </si>
  <si>
    <t>イマダ　ユウタ</t>
  </si>
  <si>
    <t>R010141834</t>
  </si>
  <si>
    <t>今村　蓮</t>
  </si>
  <si>
    <t>イマムラ　レン</t>
  </si>
  <si>
    <t>R010444518</t>
  </si>
  <si>
    <t>今山　碧雪</t>
  </si>
  <si>
    <t>イマヤマ　アユキ</t>
  </si>
  <si>
    <t>R010579070</t>
  </si>
  <si>
    <t>芋岡　翼</t>
  </si>
  <si>
    <t>イモオカ　ツバサ</t>
  </si>
  <si>
    <t>R010354819</t>
  </si>
  <si>
    <t>井元　禅</t>
  </si>
  <si>
    <t>イモト　ゼン</t>
  </si>
  <si>
    <t>R010448932</t>
  </si>
  <si>
    <t>岩男　柊人</t>
  </si>
  <si>
    <t>イワオ　シュウト</t>
  </si>
  <si>
    <t>R010445832</t>
  </si>
  <si>
    <t>岩尾　槙之助</t>
  </si>
  <si>
    <t>イワオ　シンノスケ</t>
  </si>
  <si>
    <t>R010638063</t>
  </si>
  <si>
    <t>岩尾　侑之助</t>
  </si>
  <si>
    <t>イワオ　ユウノスケ</t>
  </si>
  <si>
    <t>R010638066</t>
  </si>
  <si>
    <t>岩城　圭悟</t>
  </si>
  <si>
    <t>イワキ　ケイゴ</t>
  </si>
  <si>
    <t>R010538374</t>
  </si>
  <si>
    <t>岩坂　遥斗</t>
  </si>
  <si>
    <t>イワサカ　ハルト</t>
  </si>
  <si>
    <t>R010465578</t>
  </si>
  <si>
    <t>岩坂　浩行</t>
  </si>
  <si>
    <t>イワサカ　ヒロユキ</t>
  </si>
  <si>
    <t>R010604080</t>
  </si>
  <si>
    <t>岩崎　煌弥</t>
  </si>
  <si>
    <t>イワサキ　コウヤ</t>
  </si>
  <si>
    <t>R010100663</t>
  </si>
  <si>
    <t>岩崎　晋也</t>
  </si>
  <si>
    <t>イワサキ　シンヤ</t>
  </si>
  <si>
    <t>R001254185</t>
  </si>
  <si>
    <t>岩崎　利勝</t>
  </si>
  <si>
    <t>イワサキ　トシカツ</t>
  </si>
  <si>
    <t>R010599609</t>
  </si>
  <si>
    <t>岩﨑　嘉人</t>
  </si>
  <si>
    <t>イワサキ　ヨシト</t>
  </si>
  <si>
    <t>R010586310</t>
  </si>
  <si>
    <t>岩﨑　蓮武</t>
  </si>
  <si>
    <t>イワサキ　レン</t>
  </si>
  <si>
    <t>R010601889</t>
  </si>
  <si>
    <t>岩下　琉希</t>
  </si>
  <si>
    <t>イワシタ　リュウキ</t>
  </si>
  <si>
    <t>R007959176</t>
  </si>
  <si>
    <t>岩田　進</t>
  </si>
  <si>
    <t>イワタ　ススム</t>
  </si>
  <si>
    <t>R010376292</t>
  </si>
  <si>
    <t>岩田　拓也</t>
  </si>
  <si>
    <t>イワタ　タクヤ</t>
  </si>
  <si>
    <t>R010396598</t>
  </si>
  <si>
    <t>岩田　和海</t>
  </si>
  <si>
    <t>イワタ　ノドカ</t>
  </si>
  <si>
    <t>R010642050</t>
  </si>
  <si>
    <t>岩中　海璃</t>
  </si>
  <si>
    <t>イワナカ　カイリ</t>
  </si>
  <si>
    <t>R010189261</t>
  </si>
  <si>
    <t>岩永　和馬</t>
  </si>
  <si>
    <t>イワナガ　カズマ</t>
  </si>
  <si>
    <t>R010546284</t>
  </si>
  <si>
    <t>岩丸　陽斗</t>
  </si>
  <si>
    <t>イワマル　ハルト</t>
  </si>
  <si>
    <t>R010579130</t>
  </si>
  <si>
    <t>岩丸　虎雅</t>
  </si>
  <si>
    <t>イワマル　ヒュウガ</t>
  </si>
  <si>
    <t>R006314464</t>
  </si>
  <si>
    <t>岩丸　博季</t>
  </si>
  <si>
    <t>イワマル　ヒロキ</t>
  </si>
  <si>
    <t>R010432625</t>
  </si>
  <si>
    <t>石見　祐人</t>
  </si>
  <si>
    <t>イワミ　ユウト</t>
  </si>
  <si>
    <t>R010576577</t>
  </si>
  <si>
    <t>岩村　昂政</t>
  </si>
  <si>
    <t>イワムラ　コウセイ</t>
  </si>
  <si>
    <t>R010448635</t>
  </si>
  <si>
    <t>岩本　好誠</t>
  </si>
  <si>
    <t>イワモト　コウセイ</t>
  </si>
  <si>
    <t>R010579092</t>
  </si>
  <si>
    <t>岩本　武史</t>
  </si>
  <si>
    <t>イワモト　タケシ</t>
  </si>
  <si>
    <t>R010653568</t>
  </si>
  <si>
    <t>岩本　大空</t>
  </si>
  <si>
    <t>イワモト　ツバサ</t>
  </si>
  <si>
    <t>R010583770</t>
  </si>
  <si>
    <t>岩本　凌真</t>
  </si>
  <si>
    <t>イワモト　リョウマ</t>
  </si>
  <si>
    <t>R004111410</t>
  </si>
  <si>
    <t>上尾　雅彰</t>
  </si>
  <si>
    <t>ウエオ　マサアキ</t>
  </si>
  <si>
    <t>R008480956</t>
  </si>
  <si>
    <t>植垣　秀人</t>
  </si>
  <si>
    <t>ウエガキ　ヒデト</t>
  </si>
  <si>
    <t>R010159752</t>
  </si>
  <si>
    <t>植木　莉香</t>
  </si>
  <si>
    <t>ウエキ　リカ</t>
  </si>
  <si>
    <t>R010391923</t>
  </si>
  <si>
    <t>上栗　一将</t>
  </si>
  <si>
    <t>ウエクリ　カズマサ</t>
  </si>
  <si>
    <t>R010453593</t>
  </si>
  <si>
    <t>上園　大和</t>
  </si>
  <si>
    <t>ウエゾノ　ヤマト</t>
  </si>
  <si>
    <t>R008797944</t>
  </si>
  <si>
    <t>上田　晃</t>
  </si>
  <si>
    <t>ウエダ　アキラ</t>
  </si>
  <si>
    <t>R010638084</t>
  </si>
  <si>
    <t>上田　佳汰</t>
  </si>
  <si>
    <t>ウエダ　ケイタ</t>
  </si>
  <si>
    <t>R010248034</t>
  </si>
  <si>
    <t>上田　翔聖</t>
  </si>
  <si>
    <t>ウエダ　ショウセイ</t>
  </si>
  <si>
    <t>R010552531</t>
  </si>
  <si>
    <t>上田　龍汰</t>
  </si>
  <si>
    <t>ウエダ　リュウタ</t>
  </si>
  <si>
    <t>R010631829</t>
  </si>
  <si>
    <t>上地　亜利佐</t>
  </si>
  <si>
    <t>ウエチ　アリサ</t>
  </si>
  <si>
    <t>R010601890</t>
  </si>
  <si>
    <t>上野　暉仁</t>
  </si>
  <si>
    <t>ウエノ　アキヒト</t>
  </si>
  <si>
    <t>R010552551</t>
  </si>
  <si>
    <t>上野　海翔</t>
  </si>
  <si>
    <t>ウエノ　カイト</t>
  </si>
  <si>
    <t>R010576555</t>
  </si>
  <si>
    <t>上野　玄貴</t>
  </si>
  <si>
    <t>ウエノ　ゲンキ</t>
  </si>
  <si>
    <t>R001251133</t>
  </si>
  <si>
    <t>ウエノ　タカシ</t>
  </si>
  <si>
    <t>R010386808</t>
  </si>
  <si>
    <t>上野　仁胡</t>
  </si>
  <si>
    <t>ウエノ　ニコ</t>
  </si>
  <si>
    <t>R010579101</t>
  </si>
  <si>
    <t>上野　悠陽</t>
  </si>
  <si>
    <t>ウエノ　ユウヒ</t>
  </si>
  <si>
    <t>R010313761</t>
  </si>
  <si>
    <t>上野　亮司</t>
  </si>
  <si>
    <t>ウエノ　リョウジ</t>
  </si>
  <si>
    <t>R010552534</t>
  </si>
  <si>
    <t>上野　蓮</t>
  </si>
  <si>
    <t>ウエノ　レン</t>
  </si>
  <si>
    <t>R010354664</t>
  </si>
  <si>
    <t>上村　俊介</t>
  </si>
  <si>
    <t>ウエムラ　シュンスケ</t>
  </si>
  <si>
    <t>R010613644</t>
  </si>
  <si>
    <t>上森　海司</t>
  </si>
  <si>
    <t>ウエモリ　カイジ</t>
  </si>
  <si>
    <t>R007959617</t>
  </si>
  <si>
    <t>上屋　守</t>
  </si>
  <si>
    <t>ウエヤ　マモル</t>
  </si>
  <si>
    <t>R010599180</t>
  </si>
  <si>
    <t>宇木　聖ニ</t>
  </si>
  <si>
    <t>ウキ　セイジ</t>
  </si>
  <si>
    <t>R010579053</t>
  </si>
  <si>
    <t>宇佐川　蓮太郎</t>
  </si>
  <si>
    <t>ウサガワ　レンタロウ</t>
  </si>
  <si>
    <t>R010432630</t>
  </si>
  <si>
    <t>臼井　宏亮</t>
  </si>
  <si>
    <t>ウスイ　コウスケ</t>
  </si>
  <si>
    <t>R010448923</t>
  </si>
  <si>
    <t>歌　好陸</t>
  </si>
  <si>
    <t>ウタ　コノム</t>
  </si>
  <si>
    <t>R010599587</t>
  </si>
  <si>
    <t>内田　聖人</t>
  </si>
  <si>
    <t>ウチダ　キヨヒト</t>
  </si>
  <si>
    <t>R010599189</t>
  </si>
  <si>
    <t>内田　孝介</t>
  </si>
  <si>
    <t>ウチダ　コウスケ</t>
  </si>
  <si>
    <t>R010542199</t>
  </si>
  <si>
    <t>内田　真悟</t>
  </si>
  <si>
    <t>ウチダ　シンゴ</t>
  </si>
  <si>
    <t>R010552535</t>
  </si>
  <si>
    <t>内田　徹</t>
  </si>
  <si>
    <t>ウチダ　トオル</t>
  </si>
  <si>
    <t>R010549367</t>
  </si>
  <si>
    <t>内田　真緒</t>
  </si>
  <si>
    <t>ウチダ　マオ</t>
  </si>
  <si>
    <t>R010642029</t>
  </si>
  <si>
    <t>内田　光信</t>
  </si>
  <si>
    <t>ウチダ　ミツノブ</t>
  </si>
  <si>
    <t>R010656693</t>
  </si>
  <si>
    <t>宇都宮　稟平</t>
  </si>
  <si>
    <t>ウツノミヤ　リンペイ</t>
  </si>
  <si>
    <t>R010542180</t>
  </si>
  <si>
    <t>宇野　駿佑</t>
  </si>
  <si>
    <t>ウノ　シュンスケ</t>
  </si>
  <si>
    <t>R010214530</t>
  </si>
  <si>
    <t>梅木　悠也</t>
  </si>
  <si>
    <t>ウメキ　ユウヤ</t>
  </si>
  <si>
    <t>R010586729</t>
  </si>
  <si>
    <t>梅田　尚弥</t>
  </si>
  <si>
    <t>ウメダ　ショウヤ</t>
  </si>
  <si>
    <t>R010586726</t>
  </si>
  <si>
    <t>梅田　侑虎</t>
  </si>
  <si>
    <t>ウメダ　ユウト</t>
  </si>
  <si>
    <t>R010120178</t>
  </si>
  <si>
    <t>梅田　竜一</t>
  </si>
  <si>
    <t>ウメダ　リュウイチ</t>
  </si>
  <si>
    <t>R010357998</t>
  </si>
  <si>
    <t>浦邊　剛史</t>
  </si>
  <si>
    <t>ウラベ　ツヨシ</t>
  </si>
  <si>
    <t>R010352945</t>
  </si>
  <si>
    <t>瓜生　一裕</t>
  </si>
  <si>
    <t>ウリウ　カズヒロ</t>
  </si>
  <si>
    <t>R010600681</t>
  </si>
  <si>
    <t>漆間　泰我</t>
  </si>
  <si>
    <t>ウルマ　タイガ</t>
  </si>
  <si>
    <t>R001254431</t>
  </si>
  <si>
    <t>漆間　大士</t>
  </si>
  <si>
    <t>ウルマ　ダイシ</t>
  </si>
  <si>
    <t>R010542179</t>
  </si>
  <si>
    <t>永路　拓実</t>
  </si>
  <si>
    <t>エイロ　タクミ</t>
  </si>
  <si>
    <t>R010538307</t>
  </si>
  <si>
    <t>江上　颯太</t>
  </si>
  <si>
    <t>エガミ　ソウタ</t>
  </si>
  <si>
    <t>R010120137</t>
  </si>
  <si>
    <t>江上　智啓</t>
  </si>
  <si>
    <t>エガミ　トモヒロ</t>
  </si>
  <si>
    <t>R010576560</t>
  </si>
  <si>
    <t>江川　脩斗</t>
  </si>
  <si>
    <t>エガワ　シュウト</t>
  </si>
  <si>
    <t>R010538296</t>
  </si>
  <si>
    <t>江川　題磯</t>
  </si>
  <si>
    <t>エガワ　ダイキ</t>
  </si>
  <si>
    <t>R010391938</t>
  </si>
  <si>
    <t>江口　大貴</t>
  </si>
  <si>
    <t>エグチ　ダイキ</t>
  </si>
  <si>
    <t>R010594948</t>
  </si>
  <si>
    <t>江口　成</t>
  </si>
  <si>
    <t>エグチ　ナル</t>
  </si>
  <si>
    <t>R010546298</t>
  </si>
  <si>
    <t>江口　光翔</t>
  </si>
  <si>
    <t>エグチ　ヒロト</t>
  </si>
  <si>
    <t>R010468356</t>
  </si>
  <si>
    <t>江口　烈史</t>
  </si>
  <si>
    <t>エグチ　ヤスフミ</t>
  </si>
  <si>
    <t>R010002119</t>
  </si>
  <si>
    <t>江隈　健斗</t>
  </si>
  <si>
    <t>エグマ　ケント</t>
  </si>
  <si>
    <t>R010445849</t>
  </si>
  <si>
    <t>江島　迅人</t>
  </si>
  <si>
    <t>エシマ　ハヤト</t>
  </si>
  <si>
    <t>R010538368</t>
  </si>
  <si>
    <t>衛藤　朱翔</t>
  </si>
  <si>
    <t>エトウ　アヤト</t>
  </si>
  <si>
    <t>R010552544</t>
  </si>
  <si>
    <t>衛藤　庵</t>
  </si>
  <si>
    <t>エトウ　イオリ</t>
  </si>
  <si>
    <t>R004653305</t>
  </si>
  <si>
    <t>衛藤　和憲</t>
  </si>
  <si>
    <t>エトウ　カズノリ</t>
  </si>
  <si>
    <t>R008634274</t>
  </si>
  <si>
    <t>江藤　恭平</t>
  </si>
  <si>
    <t>エトウ　キョウヘイ</t>
  </si>
  <si>
    <t>R010444502</t>
  </si>
  <si>
    <t>衞藤　公助</t>
  </si>
  <si>
    <t>エトウ　コウスケ</t>
  </si>
  <si>
    <t>R010638048</t>
  </si>
  <si>
    <t>衛藤　さすけ</t>
  </si>
  <si>
    <t>エトウ　サスケ</t>
  </si>
  <si>
    <t>R010396518</t>
  </si>
  <si>
    <t>江藤　真一</t>
  </si>
  <si>
    <t>エトウ　シンイチ</t>
  </si>
  <si>
    <t>R010552564</t>
  </si>
  <si>
    <t>恵藤　蒼太</t>
  </si>
  <si>
    <t>R010465589</t>
  </si>
  <si>
    <t>江藤　貴司</t>
  </si>
  <si>
    <t>エトウ　タカシ</t>
  </si>
  <si>
    <t>R010613634</t>
  </si>
  <si>
    <t>衞藤　勇</t>
  </si>
  <si>
    <t>エトウ　タケル</t>
  </si>
  <si>
    <t>R010588854</t>
  </si>
  <si>
    <t>江藤　司</t>
  </si>
  <si>
    <t>エトウ　ツカサ</t>
  </si>
  <si>
    <t>R007959796</t>
  </si>
  <si>
    <t>衛藤　智成</t>
  </si>
  <si>
    <t>エトウ　トモナリ</t>
  </si>
  <si>
    <t>R010393994</t>
  </si>
  <si>
    <t>衛藤　七海</t>
  </si>
  <si>
    <t>エトウ　ナナミ</t>
  </si>
  <si>
    <t>R010601873</t>
  </si>
  <si>
    <t>衞藤　遥也</t>
  </si>
  <si>
    <t>エトウ　ハルヤ</t>
  </si>
  <si>
    <t>R007728983</t>
  </si>
  <si>
    <t>衛藤　秀高</t>
  </si>
  <si>
    <t>エトウ　ヒデタカ</t>
  </si>
  <si>
    <t>R010600680</t>
  </si>
  <si>
    <t>江藤　優希</t>
  </si>
  <si>
    <t>エトウ　ユウキ</t>
  </si>
  <si>
    <t>R010444516</t>
  </si>
  <si>
    <t>江藤　璃大</t>
  </si>
  <si>
    <t>エトウ　リオ</t>
  </si>
  <si>
    <t>R010391940</t>
  </si>
  <si>
    <t>江藤　蓮</t>
  </si>
  <si>
    <t>エトウ　レン</t>
  </si>
  <si>
    <t>R010538319</t>
  </si>
  <si>
    <t>江戸　利樹</t>
  </si>
  <si>
    <t>エド　リキ</t>
  </si>
  <si>
    <t>R010631827</t>
  </si>
  <si>
    <t>榎本　美海</t>
  </si>
  <si>
    <t>エノモト　ミウ</t>
  </si>
  <si>
    <t>R003350881</t>
  </si>
  <si>
    <t>遠藤　朝春</t>
  </si>
  <si>
    <t>エンドウ　トモハル</t>
  </si>
  <si>
    <t>R010352962</t>
  </si>
  <si>
    <t>遠藤　優翔</t>
  </si>
  <si>
    <t>エンドウ　ユウト</t>
  </si>
  <si>
    <t>R010432619</t>
  </si>
  <si>
    <t>遠藤　之仁</t>
  </si>
  <si>
    <t>エンドウ　ユキヒト</t>
  </si>
  <si>
    <t>R010599591</t>
  </si>
  <si>
    <t>遠藤　了彩</t>
  </si>
  <si>
    <t>エンドウ　リョウサイ</t>
  </si>
  <si>
    <t>R001254583</t>
  </si>
  <si>
    <t>大芦　佳宏</t>
  </si>
  <si>
    <t>オオアシ　ヨシヒロ</t>
  </si>
  <si>
    <t>R010189313</t>
  </si>
  <si>
    <t>大石　周弥</t>
  </si>
  <si>
    <t>オオイシ　シュウヤ</t>
  </si>
  <si>
    <t>R010313760</t>
  </si>
  <si>
    <t>大石　琢斗</t>
  </si>
  <si>
    <t>オオイシ　タクト</t>
  </si>
  <si>
    <t>R010027883</t>
  </si>
  <si>
    <t>大石　拓也</t>
  </si>
  <si>
    <t>オオイシ　タクヤ</t>
  </si>
  <si>
    <t>R010027821</t>
  </si>
  <si>
    <t>大石　正雄</t>
  </si>
  <si>
    <t>オオイシ　マサオ</t>
  </si>
  <si>
    <t>R010586290</t>
  </si>
  <si>
    <t>大内　隆之介</t>
  </si>
  <si>
    <t>オオウチ　リュノスケ</t>
  </si>
  <si>
    <t>R010604761</t>
  </si>
  <si>
    <t>大河　聡</t>
  </si>
  <si>
    <t>オオカワ　ソウ</t>
  </si>
  <si>
    <t>R010653563</t>
  </si>
  <si>
    <t>大城　悠史</t>
  </si>
  <si>
    <t>オオキ　ユウシ</t>
  </si>
  <si>
    <t>R010576570</t>
  </si>
  <si>
    <t>大久保　彩斗</t>
  </si>
  <si>
    <t>オオクボ　アヤト</t>
  </si>
  <si>
    <t>R010576382</t>
  </si>
  <si>
    <t>大久保　宙</t>
  </si>
  <si>
    <t>オオクボ　ソラ</t>
  </si>
  <si>
    <t>R005430163</t>
  </si>
  <si>
    <t>大久保　広紀</t>
  </si>
  <si>
    <t>オオクボ　ヒロノリ</t>
  </si>
  <si>
    <t>R010351382</t>
  </si>
  <si>
    <t>大久保　優心</t>
  </si>
  <si>
    <t>オオクボ　ユウシン</t>
  </si>
  <si>
    <t>R010546336</t>
  </si>
  <si>
    <t>大久保　律輝</t>
  </si>
  <si>
    <t>オオクボ　リツキ</t>
  </si>
  <si>
    <t>R010538299</t>
  </si>
  <si>
    <t>大倉　舜佑</t>
  </si>
  <si>
    <t>オオクラ　シュンスケ</t>
  </si>
  <si>
    <t>R010542173</t>
  </si>
  <si>
    <t>大島　和暖</t>
  </si>
  <si>
    <t>オオシマ　カノン</t>
  </si>
  <si>
    <t>R010642081</t>
  </si>
  <si>
    <t>大住　皐貴</t>
  </si>
  <si>
    <t>オオスミ　コウキ</t>
  </si>
  <si>
    <t>R010540701</t>
  </si>
  <si>
    <t>太田　陽己</t>
  </si>
  <si>
    <t>オオタ　ハルキ</t>
  </si>
  <si>
    <t>R010248567</t>
  </si>
  <si>
    <t>太田　祐希</t>
  </si>
  <si>
    <t>オオタ　ユウキ</t>
  </si>
  <si>
    <t>R010593121</t>
  </si>
  <si>
    <t>太田　悠斗</t>
  </si>
  <si>
    <t>オオタ　ユウト</t>
  </si>
  <si>
    <t>R010642027</t>
  </si>
  <si>
    <t>R010159132</t>
  </si>
  <si>
    <t>大谷　幸希</t>
  </si>
  <si>
    <t>オオタニ　コウキ</t>
  </si>
  <si>
    <t>R010583773</t>
  </si>
  <si>
    <t>大谷　悟史</t>
  </si>
  <si>
    <t>オオタニ　サトシ</t>
  </si>
  <si>
    <t>R010388043</t>
  </si>
  <si>
    <t>大谷　宗太郎</t>
  </si>
  <si>
    <t>オオタニ　ソウタロウ</t>
  </si>
  <si>
    <t>R010576359</t>
  </si>
  <si>
    <t>大谷　琉惺</t>
  </si>
  <si>
    <t>オオタニ　リュウセイ</t>
  </si>
  <si>
    <t>R010465580</t>
  </si>
  <si>
    <t>大津　俊一</t>
  </si>
  <si>
    <t>オオツ　シュンイチ</t>
  </si>
  <si>
    <t>R010376317</t>
  </si>
  <si>
    <t>大津　匠司</t>
  </si>
  <si>
    <t>オオツ　ショウジ</t>
  </si>
  <si>
    <t>R010396538</t>
  </si>
  <si>
    <t>大塚　紀彰</t>
  </si>
  <si>
    <t>オオツカ　キショウ</t>
  </si>
  <si>
    <t>R010167737</t>
  </si>
  <si>
    <t>大塚　誠也</t>
  </si>
  <si>
    <t>オオツカ　セイヤ</t>
  </si>
  <si>
    <t>R010602910</t>
  </si>
  <si>
    <t>大塚　宗一郎</t>
  </si>
  <si>
    <t>オオツカ　ソウイチロウ</t>
  </si>
  <si>
    <t>R005528130</t>
  </si>
  <si>
    <t>大塚　丈司</t>
  </si>
  <si>
    <t>オオツカ　タケシ</t>
  </si>
  <si>
    <t>R010281805</t>
  </si>
  <si>
    <t>大塚　雅基</t>
  </si>
  <si>
    <t>オオツカ　マサキ</t>
  </si>
  <si>
    <t>R010602920</t>
  </si>
  <si>
    <t>大塚　龍斗</t>
  </si>
  <si>
    <t>オオツカ　リュウト</t>
  </si>
  <si>
    <t>R010415890</t>
  </si>
  <si>
    <t>大塚　涼平</t>
  </si>
  <si>
    <t>オオツカ　リョウヘイ</t>
  </si>
  <si>
    <t>R010579043</t>
  </si>
  <si>
    <t>大坪　俊介</t>
  </si>
  <si>
    <t>オオツボ　シュンスケ</t>
  </si>
  <si>
    <t>R010546288</t>
  </si>
  <si>
    <t>大戸　朝陽</t>
  </si>
  <si>
    <t>オオト　アサヒ</t>
  </si>
  <si>
    <t>R010576517</t>
  </si>
  <si>
    <t>大友　海翔</t>
  </si>
  <si>
    <t>オオトモ　カイセイ</t>
  </si>
  <si>
    <t>R010314820</t>
  </si>
  <si>
    <t>大友　尋平</t>
  </si>
  <si>
    <t>オオトモ　ジンペイ</t>
  </si>
  <si>
    <t>R010390431</t>
  </si>
  <si>
    <t>大友　響姫</t>
  </si>
  <si>
    <t>オオトモ　ヒビキ</t>
  </si>
  <si>
    <t>R010599580</t>
  </si>
  <si>
    <t>大西　ルイス</t>
  </si>
  <si>
    <t>オオニシ　ルイス</t>
  </si>
  <si>
    <t>R010604081</t>
  </si>
  <si>
    <t>大野　翔太</t>
  </si>
  <si>
    <t>オオノ　ショウタ</t>
  </si>
  <si>
    <t>R010604090</t>
  </si>
  <si>
    <t>大野　弥生</t>
  </si>
  <si>
    <t>オオノ　ヒロキ</t>
  </si>
  <si>
    <t>R010586295</t>
  </si>
  <si>
    <t>大橋　凪</t>
  </si>
  <si>
    <t>オオハシ　ナギ</t>
  </si>
  <si>
    <t>R010583799</t>
  </si>
  <si>
    <t>大橋　颯</t>
  </si>
  <si>
    <t>オオハシ　ハヤテ</t>
  </si>
  <si>
    <t>R010538317</t>
  </si>
  <si>
    <t>大原　光人</t>
  </si>
  <si>
    <t>オオハラ　ヒロト</t>
  </si>
  <si>
    <t>R010444521</t>
  </si>
  <si>
    <t>大庭　弘暉</t>
  </si>
  <si>
    <t>オオバ　コウキ</t>
  </si>
  <si>
    <t>R010586303</t>
  </si>
  <si>
    <t>大平　瑛翔</t>
  </si>
  <si>
    <t>オオヒラ　エイト</t>
  </si>
  <si>
    <t>R010579089</t>
  </si>
  <si>
    <t>大平　聖也</t>
  </si>
  <si>
    <t>オオヒラ　マサヤ</t>
  </si>
  <si>
    <t>R010546281</t>
  </si>
  <si>
    <t>大室　響</t>
  </si>
  <si>
    <t>オオムロ　ヒビキ</t>
  </si>
  <si>
    <t>R010546319</t>
  </si>
  <si>
    <t>大森　宗樹</t>
  </si>
  <si>
    <t>オオモリ　ソウジュ</t>
  </si>
  <si>
    <t>R010214576</t>
  </si>
  <si>
    <t>大屋　楓真</t>
  </si>
  <si>
    <t>オオヤ　フウマ</t>
  </si>
  <si>
    <t>R010599592</t>
  </si>
  <si>
    <t>大山　弘貴</t>
  </si>
  <si>
    <t>オオヤマ　ヒロキ</t>
  </si>
  <si>
    <t>R010638067</t>
  </si>
  <si>
    <t>岡　航太郎</t>
  </si>
  <si>
    <t>オカ　コウタロウ</t>
  </si>
  <si>
    <t>R010549366</t>
  </si>
  <si>
    <t>岡　誉</t>
  </si>
  <si>
    <t>オカ　ホマレ</t>
  </si>
  <si>
    <t>R010642025</t>
  </si>
  <si>
    <t>岡　正樹</t>
  </si>
  <si>
    <t>オカ　マサキ</t>
  </si>
  <si>
    <t>R010638049</t>
  </si>
  <si>
    <t>岡崎　翔弥</t>
  </si>
  <si>
    <t>オカザキ　ショウヤ</t>
  </si>
  <si>
    <t>R010538342</t>
  </si>
  <si>
    <t>岡崎　広夢</t>
  </si>
  <si>
    <t>オカザキ　ヒロム</t>
  </si>
  <si>
    <t>R010255182</t>
  </si>
  <si>
    <t>岡田　一輝</t>
  </si>
  <si>
    <t>オカダ　カズキ</t>
  </si>
  <si>
    <t>R010083849</t>
  </si>
  <si>
    <t>岡田　幸太郎</t>
  </si>
  <si>
    <t>オカダ　コウタロウ</t>
  </si>
  <si>
    <t>R005987412</t>
  </si>
  <si>
    <t>岡田　隆行</t>
  </si>
  <si>
    <t>オカダ　タカユキ</t>
  </si>
  <si>
    <t>R005603200</t>
  </si>
  <si>
    <t>岡田　涼平</t>
  </si>
  <si>
    <t>オカダ　リョウヘイ</t>
  </si>
  <si>
    <t>R010593131</t>
  </si>
  <si>
    <t>岡野　太一</t>
  </si>
  <si>
    <t>オカノ　タイチ</t>
  </si>
  <si>
    <t>R010552577</t>
  </si>
  <si>
    <t>岡野　直人</t>
  </si>
  <si>
    <t>オカノ　ナオト</t>
  </si>
  <si>
    <t>R010391965</t>
  </si>
  <si>
    <t>岡野　凜平</t>
  </si>
  <si>
    <t>オカノ　リンペイ</t>
  </si>
  <si>
    <t>R010248029</t>
  </si>
  <si>
    <t>岡部　純大</t>
  </si>
  <si>
    <t>オカベ　ジュンダイ</t>
  </si>
  <si>
    <t>R010642035</t>
  </si>
  <si>
    <t>岡部　正典</t>
  </si>
  <si>
    <t>オカベ　マサノリ</t>
  </si>
  <si>
    <t>R010604772</t>
  </si>
  <si>
    <t>岡松　愁人</t>
  </si>
  <si>
    <t>オカマツ　シュウト</t>
  </si>
  <si>
    <t>R010513151</t>
  </si>
  <si>
    <t>岡村　勇輝</t>
  </si>
  <si>
    <t>オカムラ　ユウキ</t>
  </si>
  <si>
    <t>R010599183</t>
  </si>
  <si>
    <t>岡村　綾斗</t>
  </si>
  <si>
    <t>オカムラ　リョウト</t>
  </si>
  <si>
    <t>R010538298</t>
  </si>
  <si>
    <t>岡本　和也</t>
  </si>
  <si>
    <t>オカモト　カズヤ</t>
  </si>
  <si>
    <t>R010538377</t>
  </si>
  <si>
    <t>岡本　健司</t>
  </si>
  <si>
    <t>オカモト　ケンジ</t>
  </si>
  <si>
    <t>R010376290</t>
  </si>
  <si>
    <t>岡本　英明</t>
  </si>
  <si>
    <t>オカモト　ヒデアキ</t>
  </si>
  <si>
    <t>R010642060</t>
  </si>
  <si>
    <t>岡本　心逢</t>
  </si>
  <si>
    <t>オカモト　ミアイ</t>
  </si>
  <si>
    <t>R010538294</t>
  </si>
  <si>
    <t>岡本　優</t>
  </si>
  <si>
    <t>オカモト　ユウ</t>
  </si>
  <si>
    <t>R010579059</t>
  </si>
  <si>
    <t>岡本　有人</t>
  </si>
  <si>
    <t>オカモト　ユウト</t>
  </si>
  <si>
    <t>R006901570</t>
  </si>
  <si>
    <t>小川　健二</t>
  </si>
  <si>
    <t>オガワ　ケンジ</t>
  </si>
  <si>
    <t>R010255177</t>
  </si>
  <si>
    <t>小川　航平</t>
  </si>
  <si>
    <t>オガワ　コウヘイ</t>
  </si>
  <si>
    <t>R010653607</t>
  </si>
  <si>
    <t>小川　蒼心</t>
  </si>
  <si>
    <t>オガワ　ソウシン</t>
  </si>
  <si>
    <t>R010579067</t>
  </si>
  <si>
    <t>小川　祐二</t>
  </si>
  <si>
    <t>オガワ　ユウジ</t>
  </si>
  <si>
    <t>R010583771</t>
  </si>
  <si>
    <t>荻本　玲也</t>
  </si>
  <si>
    <t>オギモト　レイヤ</t>
  </si>
  <si>
    <t>R010653153</t>
  </si>
  <si>
    <t>荻山　明依</t>
  </si>
  <si>
    <t>オギヤマ　メイ</t>
  </si>
  <si>
    <t>R010314808</t>
  </si>
  <si>
    <t>於久　流絆晟</t>
  </si>
  <si>
    <t>オク　ルキア</t>
  </si>
  <si>
    <t>R010351378</t>
  </si>
  <si>
    <t>奥田　翔太</t>
  </si>
  <si>
    <t>オクダ　ショウタ</t>
  </si>
  <si>
    <t>R010546302</t>
  </si>
  <si>
    <t>奥田　哲平</t>
  </si>
  <si>
    <t>オクダ　テッペイ</t>
  </si>
  <si>
    <t>R010579126</t>
  </si>
  <si>
    <t>奥田　智己</t>
  </si>
  <si>
    <t>オクダ　トモキ</t>
  </si>
  <si>
    <t>R001254972</t>
  </si>
  <si>
    <t>奥野　真一郎</t>
  </si>
  <si>
    <t>オクノ　シンイチロウ</t>
  </si>
  <si>
    <t>R010599179</t>
  </si>
  <si>
    <t>奥村　祐利</t>
  </si>
  <si>
    <t>オクムラ　ユウト</t>
  </si>
  <si>
    <t>R010613628</t>
  </si>
  <si>
    <t>小倉　優弥</t>
  </si>
  <si>
    <t>オグラ　ユウヤ</t>
  </si>
  <si>
    <t>R010189264</t>
  </si>
  <si>
    <t>小栗　貴成</t>
  </si>
  <si>
    <t>オグリ　タカナリ</t>
  </si>
  <si>
    <t>R010415897</t>
  </si>
  <si>
    <t>長田　知樹</t>
  </si>
  <si>
    <t>オサダ　トモキ</t>
  </si>
  <si>
    <t>R010099447</t>
  </si>
  <si>
    <t>小澤　剛史</t>
  </si>
  <si>
    <t>オザワ　タケフミ</t>
  </si>
  <si>
    <t>R010501273</t>
  </si>
  <si>
    <t>押田　卓</t>
  </si>
  <si>
    <t>オシダ　スグル</t>
  </si>
  <si>
    <t>R010653606</t>
  </si>
  <si>
    <t>尾造　刻土</t>
  </si>
  <si>
    <t>オゾウ　コクト</t>
  </si>
  <si>
    <t>R009546064</t>
  </si>
  <si>
    <t>小田　邦昭</t>
  </si>
  <si>
    <t>オダ　クニアキ</t>
  </si>
  <si>
    <t>R010167750</t>
  </si>
  <si>
    <t>小田　晴日</t>
  </si>
  <si>
    <t>オダ　ハルヒ</t>
  </si>
  <si>
    <t>R010653589</t>
  </si>
  <si>
    <t>小田　聖翔</t>
  </si>
  <si>
    <t>オダ　マサト</t>
  </si>
  <si>
    <t>R010604122</t>
  </si>
  <si>
    <t>小田　唯夏</t>
  </si>
  <si>
    <t>オダ　ユイナ</t>
  </si>
  <si>
    <t>R010656677</t>
  </si>
  <si>
    <t>小田巻　獅童</t>
  </si>
  <si>
    <t>オダマキ　シドウ</t>
  </si>
  <si>
    <t>R010465611</t>
  </si>
  <si>
    <t>小田巻　裕二</t>
  </si>
  <si>
    <t>オダマキ　ユウジ</t>
  </si>
  <si>
    <t>R010586294</t>
  </si>
  <si>
    <t>小野　陽士</t>
  </si>
  <si>
    <t>オノ　アキト</t>
  </si>
  <si>
    <t>R010358202</t>
  </si>
  <si>
    <t>小野　敦司</t>
  </si>
  <si>
    <t>オノ　アツジ</t>
  </si>
  <si>
    <t>R010546323</t>
  </si>
  <si>
    <t>小野　奏音</t>
  </si>
  <si>
    <t>オノ　カナト</t>
  </si>
  <si>
    <t>R010549371</t>
  </si>
  <si>
    <t>小野　華凜</t>
  </si>
  <si>
    <t>オノ　カリン</t>
  </si>
  <si>
    <t>R010538304</t>
  </si>
  <si>
    <t>小野　柑太</t>
  </si>
  <si>
    <t>オノ　カンタ</t>
  </si>
  <si>
    <t>R004385936</t>
  </si>
  <si>
    <t>小野　耕一</t>
  </si>
  <si>
    <t>オノ　コウイチ</t>
  </si>
  <si>
    <t>R010281854</t>
  </si>
  <si>
    <t>小野　翔希</t>
  </si>
  <si>
    <t>オノ　ショウキ</t>
  </si>
  <si>
    <t>R010281828</t>
  </si>
  <si>
    <t>小野　将司</t>
  </si>
  <si>
    <t>オノ　ショウジ</t>
  </si>
  <si>
    <t>R010465619</t>
  </si>
  <si>
    <t>小野　翔馬</t>
  </si>
  <si>
    <t>オノ　ショウマ</t>
  </si>
  <si>
    <t>R010579120</t>
  </si>
  <si>
    <t>小野　大斗</t>
  </si>
  <si>
    <t>オノ　タイト</t>
  </si>
  <si>
    <t>R010583800</t>
  </si>
  <si>
    <t>小野　拓馬</t>
  </si>
  <si>
    <t>R010579065</t>
  </si>
  <si>
    <t>小野　拓海</t>
  </si>
  <si>
    <t>オノ　タクミ</t>
  </si>
  <si>
    <t>R010388059</t>
  </si>
  <si>
    <t>小野　翔希斗</t>
  </si>
  <si>
    <t>オノ　トキト</t>
  </si>
  <si>
    <t>R010656680</t>
  </si>
  <si>
    <t>小野　渚</t>
  </si>
  <si>
    <t>オノ　ナギサ</t>
  </si>
  <si>
    <t>R010539289</t>
  </si>
  <si>
    <t>小野　陽大</t>
  </si>
  <si>
    <t>オノ　ハルキ</t>
  </si>
  <si>
    <t>R010638042</t>
  </si>
  <si>
    <t>小野　正和</t>
  </si>
  <si>
    <t>オノ　マサカズ</t>
  </si>
  <si>
    <t>R010093504</t>
  </si>
  <si>
    <t>小野　裕希</t>
  </si>
  <si>
    <t>R010100673</t>
  </si>
  <si>
    <t>小野　裕司</t>
  </si>
  <si>
    <t>オノ　ユウジ</t>
  </si>
  <si>
    <t>R010656671</t>
  </si>
  <si>
    <t>小野　友真</t>
  </si>
  <si>
    <t>オノ　ユウマ</t>
  </si>
  <si>
    <t>R010445830</t>
  </si>
  <si>
    <t>小野　陽祐</t>
  </si>
  <si>
    <t>オノ　ヨウスケ</t>
  </si>
  <si>
    <t>R010376315</t>
  </si>
  <si>
    <t>小野　祥弘</t>
  </si>
  <si>
    <t>オノ　ヨシヒロ</t>
  </si>
  <si>
    <t>R010539275</t>
  </si>
  <si>
    <t>小野　羚稀</t>
  </si>
  <si>
    <t>オノ　レイキ</t>
  </si>
  <si>
    <t>R010432633</t>
  </si>
  <si>
    <t>小野　蓮央</t>
  </si>
  <si>
    <t>オノ　レオ</t>
  </si>
  <si>
    <t>R010642034</t>
  </si>
  <si>
    <t>小原　陸</t>
  </si>
  <si>
    <t>オハラ　リク</t>
  </si>
  <si>
    <t>R010586720</t>
  </si>
  <si>
    <t>小畑　歩来</t>
  </si>
  <si>
    <t>オバタ　アルク</t>
  </si>
  <si>
    <t>R006574048</t>
  </si>
  <si>
    <t>尾林　秀章</t>
  </si>
  <si>
    <t>オバヤシ　ヒデアキ</t>
  </si>
  <si>
    <t>R010586330</t>
  </si>
  <si>
    <t>小俣　慶一郎</t>
  </si>
  <si>
    <t>オマタ　ケイイチロウ</t>
  </si>
  <si>
    <t>R010352968</t>
  </si>
  <si>
    <t>尾本　想太</t>
  </si>
  <si>
    <t>オモト　ソウタ</t>
  </si>
  <si>
    <t>R010638044</t>
  </si>
  <si>
    <t>オン　ビョンフン</t>
  </si>
  <si>
    <t>R010388040</t>
  </si>
  <si>
    <t>甲斐　照</t>
  </si>
  <si>
    <t>R005164446</t>
  </si>
  <si>
    <t>甲斐　一翠</t>
  </si>
  <si>
    <t>カイ　イッスイ</t>
  </si>
  <si>
    <t>R005164613</t>
  </si>
  <si>
    <t>甲斐　英治</t>
  </si>
  <si>
    <t>カイ　エイジ</t>
  </si>
  <si>
    <t>R010600673</t>
  </si>
  <si>
    <t>甲斐　順平</t>
  </si>
  <si>
    <t>カイ　ジュンペイ</t>
  </si>
  <si>
    <t>R005987388</t>
  </si>
  <si>
    <t>カイ　ナオキ</t>
  </si>
  <si>
    <t>R010579094</t>
  </si>
  <si>
    <t>甲斐　勇聖</t>
  </si>
  <si>
    <t>カイ　ユウセイ</t>
  </si>
  <si>
    <t>R006314455</t>
  </si>
  <si>
    <t>甲斐　竜二</t>
  </si>
  <si>
    <t>カイ　リュウジ</t>
  </si>
  <si>
    <t>R001255281</t>
  </si>
  <si>
    <t>甲斐　亮介</t>
  </si>
  <si>
    <t>カイ　リョウスケ</t>
  </si>
  <si>
    <t>R010583783</t>
  </si>
  <si>
    <t>甲斐　亮佑</t>
  </si>
  <si>
    <t>R010214529</t>
  </si>
  <si>
    <t>加賀　寿一</t>
  </si>
  <si>
    <t>カガ　トシカズ</t>
  </si>
  <si>
    <t>R010262594</t>
  </si>
  <si>
    <t>香川　航汰</t>
  </si>
  <si>
    <t>カガワ　コウタ</t>
  </si>
  <si>
    <t>R010189343</t>
  </si>
  <si>
    <t>香川　真弓</t>
  </si>
  <si>
    <t>カガワ　マユミ</t>
  </si>
  <si>
    <t>R005987397</t>
  </si>
  <si>
    <t>香川　豊</t>
  </si>
  <si>
    <t>カガワ　ユタカ</t>
  </si>
  <si>
    <t>R010390414</t>
  </si>
  <si>
    <t>垣内　太陽</t>
  </si>
  <si>
    <t>カキウチ　タイヨウ</t>
  </si>
  <si>
    <t>R010631818</t>
  </si>
  <si>
    <t>柿崎　あい</t>
  </si>
  <si>
    <t>カキザキ　アイ</t>
  </si>
  <si>
    <t>R010552565</t>
  </si>
  <si>
    <t>加隈　歩夢</t>
  </si>
  <si>
    <t>カクマ　アユム</t>
  </si>
  <si>
    <t>R010465596</t>
  </si>
  <si>
    <t>角谷　直樹</t>
  </si>
  <si>
    <t>カクヤ　ナオキ</t>
  </si>
  <si>
    <t>R010347377</t>
  </si>
  <si>
    <t>鹿毛　雅人</t>
  </si>
  <si>
    <t>カゲ　マサト</t>
  </si>
  <si>
    <t>R010642028</t>
  </si>
  <si>
    <t>影山　慎一郎</t>
  </si>
  <si>
    <t>カゲヤマ　シンイチロウ</t>
  </si>
  <si>
    <t>R010597283</t>
  </si>
  <si>
    <t>笠　琳登</t>
  </si>
  <si>
    <t>カサ　リント</t>
  </si>
  <si>
    <t>R009545913</t>
  </si>
  <si>
    <t>笠村　大</t>
  </si>
  <si>
    <t>カサムラ　ヒロシ</t>
  </si>
  <si>
    <t>R010214467</t>
  </si>
  <si>
    <t>笠村　凜</t>
  </si>
  <si>
    <t>カサムラ　リン</t>
  </si>
  <si>
    <t>R001255342</t>
  </si>
  <si>
    <t>梶川　正和</t>
  </si>
  <si>
    <t>カジカワ　マサカズ</t>
  </si>
  <si>
    <t>R010579149</t>
  </si>
  <si>
    <t>梶原　琥汰</t>
  </si>
  <si>
    <t>カジワラ　コウタ</t>
  </si>
  <si>
    <t>R010007838</t>
  </si>
  <si>
    <t>梶原　孝平</t>
  </si>
  <si>
    <t>R010120174</t>
  </si>
  <si>
    <t>梶原　規史</t>
  </si>
  <si>
    <t>カジワラ　ノリフミ</t>
  </si>
  <si>
    <t>R010579075</t>
  </si>
  <si>
    <t>梶原　凌</t>
  </si>
  <si>
    <t>カジワラ　リョウ</t>
  </si>
  <si>
    <t>R010576370</t>
  </si>
  <si>
    <t>片島　啓太</t>
  </si>
  <si>
    <t>カタシマ　ケイタ</t>
  </si>
  <si>
    <t>R010313766</t>
  </si>
  <si>
    <t>片山　達郎</t>
  </si>
  <si>
    <t>カタヤマ　タツロウ</t>
  </si>
  <si>
    <t>R008634593</t>
  </si>
  <si>
    <t>片山　雄一</t>
  </si>
  <si>
    <t>カタヤマ　ユウイチ</t>
  </si>
  <si>
    <t>R010156504</t>
  </si>
  <si>
    <t>勝木　翔也</t>
  </si>
  <si>
    <t>カツキ　ショウヤ</t>
  </si>
  <si>
    <t>R010656690</t>
  </si>
  <si>
    <t>葛城　征吾</t>
  </si>
  <si>
    <t>カツラギ　セイゴ</t>
  </si>
  <si>
    <t>R010576372</t>
  </si>
  <si>
    <t>葛城　暖</t>
  </si>
  <si>
    <t>カツラギ　ダン</t>
  </si>
  <si>
    <t>R010653567</t>
  </si>
  <si>
    <t>葛城　蓮</t>
  </si>
  <si>
    <t>カツラギ　レン</t>
  </si>
  <si>
    <t>R010604069</t>
  </si>
  <si>
    <t>加藤　恭悟</t>
  </si>
  <si>
    <t>カトウ　キョウゴ</t>
  </si>
  <si>
    <t>R010642082</t>
  </si>
  <si>
    <t>加藤　陽翔</t>
  </si>
  <si>
    <t>R010396549</t>
  </si>
  <si>
    <t>加藤　晴久</t>
  </si>
  <si>
    <t>カトウ　ハルヒサ</t>
  </si>
  <si>
    <t>R010448241</t>
  </si>
  <si>
    <t>加藤　大</t>
  </si>
  <si>
    <t>カトウ　フトシ</t>
  </si>
  <si>
    <t>R010599172</t>
  </si>
  <si>
    <t>加藤　正雄</t>
  </si>
  <si>
    <t>カトウ　マサオ</t>
  </si>
  <si>
    <t>R010576363</t>
  </si>
  <si>
    <t>加藤　悠汰</t>
  </si>
  <si>
    <t>カトウ　ユウタ</t>
  </si>
  <si>
    <t>R010656694</t>
  </si>
  <si>
    <t>加藤　竜蔵</t>
  </si>
  <si>
    <t>カトウ　リュウゾウ</t>
  </si>
  <si>
    <t>R010583786</t>
  </si>
  <si>
    <t>加藤　航</t>
  </si>
  <si>
    <t>カトウ　ワタル</t>
  </si>
  <si>
    <t>R010583757</t>
  </si>
  <si>
    <t>角　晋太郎</t>
  </si>
  <si>
    <t>カド　シンタロウ</t>
  </si>
  <si>
    <t>R010653592</t>
  </si>
  <si>
    <t>門田　楽汰</t>
  </si>
  <si>
    <t>カドタ　ランタ</t>
  </si>
  <si>
    <t>R010448925</t>
  </si>
  <si>
    <t>金丸　大海</t>
  </si>
  <si>
    <t>カナマル　タイカイ</t>
  </si>
  <si>
    <t>R010583803</t>
  </si>
  <si>
    <t>金森　空良</t>
  </si>
  <si>
    <t>カナモリ　ソラ</t>
  </si>
  <si>
    <t>R010642057</t>
  </si>
  <si>
    <t>金山　将希</t>
  </si>
  <si>
    <t>カナヤマ　マサキ</t>
  </si>
  <si>
    <t>R010546300</t>
  </si>
  <si>
    <t>金子　周太</t>
  </si>
  <si>
    <t>カネコ　シュウタ</t>
  </si>
  <si>
    <t>R010440458</t>
  </si>
  <si>
    <t>金田　美楓</t>
  </si>
  <si>
    <t>カネタ　ミフ</t>
  </si>
  <si>
    <t>R010604782</t>
  </si>
  <si>
    <t>金田　煌矢</t>
  </si>
  <si>
    <t>カネダ　コウシ</t>
  </si>
  <si>
    <t>R010581176</t>
  </si>
  <si>
    <t>兼田　秀虎</t>
  </si>
  <si>
    <t>カネダ　ヒデトラ</t>
  </si>
  <si>
    <t>R010638077</t>
  </si>
  <si>
    <t>金當　悠也</t>
  </si>
  <si>
    <t>カネトウ　ユウヤ</t>
  </si>
  <si>
    <t>R010653603</t>
  </si>
  <si>
    <t>鎌田　航史郎</t>
  </si>
  <si>
    <t>カマダ　コウシロウ</t>
  </si>
  <si>
    <t>R010586326</t>
  </si>
  <si>
    <t>鎌田　虎之介</t>
  </si>
  <si>
    <t>カマダ　トラノスケ</t>
  </si>
  <si>
    <t>R010540038</t>
  </si>
  <si>
    <t>上城　司</t>
  </si>
  <si>
    <t>カミジョウ　ツカサ</t>
  </si>
  <si>
    <t>R010027818</t>
  </si>
  <si>
    <t>紙谷　昌弥</t>
  </si>
  <si>
    <t>カミタニ　マサヤ</t>
  </si>
  <si>
    <t>R010542198</t>
  </si>
  <si>
    <t>神原　和希</t>
  </si>
  <si>
    <t>カミハラ　カズキ</t>
  </si>
  <si>
    <t>R010546275</t>
  </si>
  <si>
    <t>上村　叶多</t>
  </si>
  <si>
    <t>カミムラ　カナタ</t>
  </si>
  <si>
    <t>R010653159</t>
  </si>
  <si>
    <t>神山　葵</t>
  </si>
  <si>
    <t>カミヤマ　アオイ</t>
  </si>
  <si>
    <t>R010656684</t>
  </si>
  <si>
    <t>亀井　慶太</t>
  </si>
  <si>
    <t>カメイ　ケイタ</t>
  </si>
  <si>
    <t>R010549369</t>
  </si>
  <si>
    <t>亀井　友花</t>
  </si>
  <si>
    <t>カメイ　トモカ</t>
  </si>
  <si>
    <t>R010467574</t>
  </si>
  <si>
    <t>亀谷　柊斗</t>
  </si>
  <si>
    <t>カメヤ　シュウト</t>
  </si>
  <si>
    <t>R005603282</t>
  </si>
  <si>
    <t>亀山　万生</t>
  </si>
  <si>
    <t>カメヤマ　タカオ</t>
  </si>
  <si>
    <t>R010656688</t>
  </si>
  <si>
    <t>萱島　一平</t>
  </si>
  <si>
    <t>カヤシマ　イッペイ</t>
  </si>
  <si>
    <t>R010352950</t>
  </si>
  <si>
    <t>萱島　良太</t>
  </si>
  <si>
    <t>カヤシマ　リョウタ</t>
  </si>
  <si>
    <t>R002917476</t>
  </si>
  <si>
    <t>河井　寛次郎</t>
  </si>
  <si>
    <t>カワイ　カンジロウ</t>
  </si>
  <si>
    <t>R010586298</t>
  </si>
  <si>
    <t>河合　来城</t>
  </si>
  <si>
    <t>カワイ　ライキ</t>
  </si>
  <si>
    <t>R010248572</t>
  </si>
  <si>
    <t>川口　航平</t>
  </si>
  <si>
    <t>カワグチ　コウヘイ</t>
  </si>
  <si>
    <t>R010314824</t>
  </si>
  <si>
    <t>川口　俊輔</t>
  </si>
  <si>
    <t>カワグチ　シュンスケ</t>
  </si>
  <si>
    <t>R010579054</t>
  </si>
  <si>
    <t>川口　翔太</t>
  </si>
  <si>
    <t>カワグチ　ショウタ</t>
  </si>
  <si>
    <t>R010638050</t>
  </si>
  <si>
    <t>川越　竜馬</t>
  </si>
  <si>
    <t>カワゴエ　リョウマ</t>
  </si>
  <si>
    <t>R010653569</t>
  </si>
  <si>
    <t>河崎　海斗</t>
  </si>
  <si>
    <t>カワサキ　カイト</t>
  </si>
  <si>
    <t>R010579133</t>
  </si>
  <si>
    <t>川崎　太洋</t>
  </si>
  <si>
    <t>カワサキ　タイヨウ</t>
  </si>
  <si>
    <t>R010604071</t>
  </si>
  <si>
    <t>川﨑　璃央</t>
  </si>
  <si>
    <t>カワサキ　リオ</t>
  </si>
  <si>
    <t>R010583785</t>
  </si>
  <si>
    <t>川嶋　映多</t>
  </si>
  <si>
    <t>カワシマ　エイタ</t>
  </si>
  <si>
    <t>R010448924</t>
  </si>
  <si>
    <t>川尻　暁斗</t>
  </si>
  <si>
    <t>カワジリ　アキト</t>
  </si>
  <si>
    <t>R010638041</t>
  </si>
  <si>
    <t>川副　優斗</t>
  </si>
  <si>
    <t>カワソエ　ユウト</t>
  </si>
  <si>
    <t>R010638078</t>
  </si>
  <si>
    <t>川田　裕之</t>
  </si>
  <si>
    <t>カワタ　ヒロユキ</t>
  </si>
  <si>
    <t>R010586721</t>
  </si>
  <si>
    <t>河津　瑛斗</t>
  </si>
  <si>
    <t>カワヅ　アキト</t>
  </si>
  <si>
    <t>R010579079</t>
  </si>
  <si>
    <t>河津　悠星</t>
  </si>
  <si>
    <t>カワヅ　ユウヤ</t>
  </si>
  <si>
    <t>R010421578</t>
  </si>
  <si>
    <t>川浪　尚人</t>
  </si>
  <si>
    <t>カワナミ　ナオト</t>
  </si>
  <si>
    <t>R010159751</t>
  </si>
  <si>
    <t>川浪　実歩</t>
  </si>
  <si>
    <t>カワナミ　マホ</t>
  </si>
  <si>
    <t>R010546290</t>
  </si>
  <si>
    <t>河野　優生</t>
  </si>
  <si>
    <t>カワノ　ウキ</t>
  </si>
  <si>
    <t>R010538397</t>
  </si>
  <si>
    <t>河野　栄磨</t>
  </si>
  <si>
    <t>カワノ　エイマ</t>
  </si>
  <si>
    <t>R010583789</t>
  </si>
  <si>
    <t>川野　公聖</t>
  </si>
  <si>
    <t>カワノ　コウセイ</t>
  </si>
  <si>
    <t>R006220606</t>
  </si>
  <si>
    <t>河野　成利</t>
  </si>
  <si>
    <t>カワノ　シゲトシ</t>
  </si>
  <si>
    <t>R010604078</t>
  </si>
  <si>
    <t>河野　崇翔</t>
  </si>
  <si>
    <t>カワノ　シュウト</t>
  </si>
  <si>
    <t>R010539287</t>
  </si>
  <si>
    <t>河野　松介</t>
  </si>
  <si>
    <t>カワノ　ショウスケ</t>
  </si>
  <si>
    <t>R010613602</t>
  </si>
  <si>
    <t>河野　将太郎</t>
  </si>
  <si>
    <t>カワノ　ショウタロウ</t>
  </si>
  <si>
    <t>R010586201</t>
  </si>
  <si>
    <t>川野　真司</t>
  </si>
  <si>
    <t>カワノ　シンジ</t>
  </si>
  <si>
    <t>R010396561</t>
  </si>
  <si>
    <t>川野　陣</t>
  </si>
  <si>
    <t>カワノ　ジン</t>
  </si>
  <si>
    <t>R010189263</t>
  </si>
  <si>
    <t>河野　徹郎</t>
  </si>
  <si>
    <t>カワノ　テツロウ</t>
  </si>
  <si>
    <t>R010027894</t>
  </si>
  <si>
    <t>河野　斗馬</t>
  </si>
  <si>
    <t>カワノ　トウマ</t>
  </si>
  <si>
    <t>R010390422</t>
  </si>
  <si>
    <t>河野　桐也</t>
  </si>
  <si>
    <t>カワノ　トウヤ</t>
  </si>
  <si>
    <t>R010538375</t>
  </si>
  <si>
    <t>河野　虎之介</t>
  </si>
  <si>
    <t>カワノ　トラノスケ</t>
  </si>
  <si>
    <t>R010599589</t>
  </si>
  <si>
    <t>川野　菜緒</t>
  </si>
  <si>
    <t>カワノ　ナオ</t>
  </si>
  <si>
    <t>R010538388</t>
  </si>
  <si>
    <t>河野　夏</t>
  </si>
  <si>
    <t>カワノ　ナツ</t>
  </si>
  <si>
    <t>R010396562</t>
  </si>
  <si>
    <t>川野　迅翔</t>
  </si>
  <si>
    <t>カワノ　ハヤト</t>
  </si>
  <si>
    <t>R010546297</t>
  </si>
  <si>
    <t>河野　聖</t>
  </si>
  <si>
    <t>カワノ　ヒジリ</t>
  </si>
  <si>
    <t>R010376293</t>
  </si>
  <si>
    <t>河野　仁志</t>
  </si>
  <si>
    <t>カワノ　ヒトシ</t>
  </si>
  <si>
    <t>R010579055</t>
  </si>
  <si>
    <t>河野　暖大</t>
  </si>
  <si>
    <t>カワノ　ヒナタ</t>
  </si>
  <si>
    <t>R010642045</t>
  </si>
  <si>
    <t>河野　心優菜</t>
  </si>
  <si>
    <t>カワノ　ミユナ</t>
  </si>
  <si>
    <t>R010214628</t>
  </si>
  <si>
    <t>川野　裕貴</t>
  </si>
  <si>
    <t>カワノ　ユウキ</t>
  </si>
  <si>
    <t>R010542203</t>
  </si>
  <si>
    <t>河野　祐輔</t>
  </si>
  <si>
    <t>カワノ　ユウスケ</t>
  </si>
  <si>
    <t>R010586329</t>
  </si>
  <si>
    <t>河野　悠翔</t>
  </si>
  <si>
    <t>カワノ　ユウト</t>
  </si>
  <si>
    <t>R010653155</t>
  </si>
  <si>
    <t>河野　梨亜菜</t>
  </si>
  <si>
    <t>カワノ　リアナ</t>
  </si>
  <si>
    <t>R010549365</t>
  </si>
  <si>
    <t>川端　沙雪</t>
  </si>
  <si>
    <t>カワバタ　サユキ</t>
  </si>
  <si>
    <t>R010601871</t>
  </si>
  <si>
    <t>川邊　恒輝</t>
  </si>
  <si>
    <t>カワベ　コウキ</t>
  </si>
  <si>
    <t>R009198487</t>
  </si>
  <si>
    <t>川邉　太一朗</t>
  </si>
  <si>
    <t>カワベ　タイチロウ</t>
  </si>
  <si>
    <t>R005405264</t>
  </si>
  <si>
    <t>河村　航大</t>
  </si>
  <si>
    <t>カワムラ　コウダイ</t>
  </si>
  <si>
    <t>R010396560</t>
  </si>
  <si>
    <t>河村　長雲</t>
  </si>
  <si>
    <t>カワムラ　チョウウン</t>
  </si>
  <si>
    <t>R001255908</t>
  </si>
  <si>
    <t>河村　信善</t>
  </si>
  <si>
    <t>カワムラ　ノブヨシ</t>
  </si>
  <si>
    <t>R010653586</t>
  </si>
  <si>
    <t>河村　日那汰</t>
  </si>
  <si>
    <t>カワムラ　ヒナタ</t>
  </si>
  <si>
    <t>R010613604</t>
  </si>
  <si>
    <t>川村　悠介</t>
  </si>
  <si>
    <t>カワムラ　ユウスケ</t>
  </si>
  <si>
    <t>R010396525</t>
  </si>
  <si>
    <t>河村　陽平</t>
  </si>
  <si>
    <t>カワムラ　ヨウヘイ</t>
  </si>
  <si>
    <t>R010539272</t>
  </si>
  <si>
    <t>河室　大地</t>
  </si>
  <si>
    <t>カワムロ　ダイチ</t>
  </si>
  <si>
    <t>R010604085</t>
  </si>
  <si>
    <t>河面　将大</t>
  </si>
  <si>
    <t>カワモ　ショウダイ</t>
  </si>
  <si>
    <t>R010601880</t>
  </si>
  <si>
    <t>河面　青空</t>
  </si>
  <si>
    <t>カワモ　ハルト</t>
  </si>
  <si>
    <t>R010604123</t>
  </si>
  <si>
    <t>川本　心埜</t>
  </si>
  <si>
    <t>カワモト　コノ</t>
  </si>
  <si>
    <t>R010638083</t>
  </si>
  <si>
    <t>菅　晃太朗</t>
  </si>
  <si>
    <t>カン　コウタロウ</t>
  </si>
  <si>
    <t>R010604075</t>
  </si>
  <si>
    <t>漢　翔太</t>
  </si>
  <si>
    <t>カン　ショウタ</t>
  </si>
  <si>
    <t>R010546340</t>
  </si>
  <si>
    <t>神崎　来実</t>
  </si>
  <si>
    <t>カンザキ　クルミ</t>
  </si>
  <si>
    <t>R010642083</t>
  </si>
  <si>
    <t>神崎　柊斗</t>
  </si>
  <si>
    <t>カンザキ　シュウト</t>
  </si>
  <si>
    <t>R010396520</t>
  </si>
  <si>
    <t>神崎　大輔</t>
  </si>
  <si>
    <t>カンザキ　ダイスケ</t>
  </si>
  <si>
    <t>R010396529</t>
  </si>
  <si>
    <t>神田　武志</t>
  </si>
  <si>
    <t>カンダ　タケシ</t>
  </si>
  <si>
    <t>R010449910</t>
  </si>
  <si>
    <t>神田　裕</t>
  </si>
  <si>
    <t>カンダ　ユタカ</t>
  </si>
  <si>
    <t>R010542195</t>
  </si>
  <si>
    <t>木内　諭貴久</t>
  </si>
  <si>
    <t>キウチ　ユキヒサ</t>
  </si>
  <si>
    <t>R010576535</t>
  </si>
  <si>
    <t>菊口　和希</t>
  </si>
  <si>
    <t>キクグチ　カズキ</t>
  </si>
  <si>
    <t>R001255953</t>
  </si>
  <si>
    <t>菊田　興太郎</t>
  </si>
  <si>
    <t>キクタ　コウタロウ</t>
  </si>
  <si>
    <t>R010432646</t>
  </si>
  <si>
    <t>菊池　敏志</t>
  </si>
  <si>
    <t>キクチ　サトシ</t>
  </si>
  <si>
    <t>R003972586</t>
  </si>
  <si>
    <t>菊地　誠</t>
  </si>
  <si>
    <t>キクチ　マコト</t>
  </si>
  <si>
    <t>R010214551</t>
  </si>
  <si>
    <t>菊地　隆之輔</t>
  </si>
  <si>
    <t>キクチ　リュウノスケ</t>
  </si>
  <si>
    <t>R010538345</t>
  </si>
  <si>
    <t>菊屋　令</t>
  </si>
  <si>
    <t>キクヤ　リョウ</t>
  </si>
  <si>
    <t>R010642044</t>
  </si>
  <si>
    <t>菊樂　和貴</t>
  </si>
  <si>
    <t>キクラク　カズキ</t>
  </si>
  <si>
    <t>R001255980</t>
  </si>
  <si>
    <t>木嶋　高行</t>
  </si>
  <si>
    <t>キシマ　タカユキ</t>
  </si>
  <si>
    <t>R010546303</t>
  </si>
  <si>
    <t>北川　奏</t>
  </si>
  <si>
    <t>キタガワ　カナデ</t>
  </si>
  <si>
    <t>R008798147</t>
  </si>
  <si>
    <t>木谷　大希</t>
  </si>
  <si>
    <t>キタニ　ダイキ</t>
  </si>
  <si>
    <t>R010576509</t>
  </si>
  <si>
    <t>木谷　亮太</t>
  </si>
  <si>
    <t>キタニ　リョウタ</t>
  </si>
  <si>
    <t>R010604086</t>
  </si>
  <si>
    <t>北林　佑心</t>
  </si>
  <si>
    <t>キタバヤシ　ユウシン</t>
  </si>
  <si>
    <t>R010642079</t>
  </si>
  <si>
    <t>北村　優一</t>
  </si>
  <si>
    <t>キタムラ　ユウイチ</t>
  </si>
  <si>
    <t>R010638052</t>
  </si>
  <si>
    <t>木田　圭亮</t>
  </si>
  <si>
    <t>キダ　ケイスケ</t>
  </si>
  <si>
    <t>R010542197</t>
  </si>
  <si>
    <t>木付　晴翔</t>
  </si>
  <si>
    <t>キツキ　ハルト</t>
  </si>
  <si>
    <t>R010214583</t>
  </si>
  <si>
    <t>木津　浩太</t>
  </si>
  <si>
    <t>キヅ　コウタ</t>
  </si>
  <si>
    <t>R010642058</t>
  </si>
  <si>
    <t>木津　翔貴</t>
  </si>
  <si>
    <t>キヅ　ショウキ</t>
  </si>
  <si>
    <t>R010214584</t>
  </si>
  <si>
    <t>木津　春歌</t>
  </si>
  <si>
    <t>キヅ　ハルカ</t>
  </si>
  <si>
    <t>R010538331</t>
  </si>
  <si>
    <t>木戸　航大</t>
  </si>
  <si>
    <t>キド　コウダイ</t>
  </si>
  <si>
    <t>R010546304</t>
  </si>
  <si>
    <t>衣笠　勇輝</t>
  </si>
  <si>
    <t>キヌガサ　ユウキ</t>
  </si>
  <si>
    <t>R001256031</t>
  </si>
  <si>
    <t>木下　和夫</t>
  </si>
  <si>
    <t>キノシタ　カズオ</t>
  </si>
  <si>
    <t>R010546305</t>
  </si>
  <si>
    <t>木下　敬介</t>
  </si>
  <si>
    <t>キノシタ　ケイスケ</t>
  </si>
  <si>
    <t>R010396543</t>
  </si>
  <si>
    <t>木下　広貴</t>
  </si>
  <si>
    <t>キノシタ　コウキ</t>
  </si>
  <si>
    <t>R010444512</t>
  </si>
  <si>
    <t>木下　泰暉</t>
  </si>
  <si>
    <t>キノシタ　タイキ</t>
  </si>
  <si>
    <t>R010613597</t>
  </si>
  <si>
    <t>木下　大輔</t>
  </si>
  <si>
    <t>キノシタ　ダイスケ</t>
  </si>
  <si>
    <t>R008798138</t>
  </si>
  <si>
    <t>木下　秀紀</t>
  </si>
  <si>
    <t>キノシタ　ヒデキ</t>
  </si>
  <si>
    <t>R010356143</t>
  </si>
  <si>
    <t>木原　将和</t>
  </si>
  <si>
    <t>キハラ　マサカズ</t>
  </si>
  <si>
    <t>R001256068</t>
  </si>
  <si>
    <t>岐部　裕二</t>
  </si>
  <si>
    <t>キベ　ユウジ</t>
  </si>
  <si>
    <t>R010248580</t>
  </si>
  <si>
    <t>木村　一平</t>
  </si>
  <si>
    <t>キムラ　イッペイ</t>
  </si>
  <si>
    <t>R010576552</t>
  </si>
  <si>
    <t>木村　颯太</t>
  </si>
  <si>
    <t>キムラ　ソウタ</t>
  </si>
  <si>
    <t>R010583778</t>
  </si>
  <si>
    <t>木村　太陽</t>
  </si>
  <si>
    <t>キムラ　タイヨウ</t>
  </si>
  <si>
    <t>R010552550</t>
  </si>
  <si>
    <t>木村　翔瑛</t>
  </si>
  <si>
    <t>キムラ　ヒエイ</t>
  </si>
  <si>
    <t>R010593120</t>
  </si>
  <si>
    <t>木村　凌</t>
  </si>
  <si>
    <t>キムラ　リョウ</t>
  </si>
  <si>
    <t>R010538369</t>
  </si>
  <si>
    <t>木本　心</t>
  </si>
  <si>
    <t>キモト　シン</t>
  </si>
  <si>
    <t>R010638086</t>
  </si>
  <si>
    <t>木元　蒼空</t>
  </si>
  <si>
    <t>キモト　ソラ</t>
  </si>
  <si>
    <t>R010448240</t>
  </si>
  <si>
    <t>木本　博昭</t>
  </si>
  <si>
    <t>キモト　ヒロアキ</t>
  </si>
  <si>
    <t>R010581166</t>
  </si>
  <si>
    <t>清末　智暉</t>
  </si>
  <si>
    <t>キヨスエ　トモキ</t>
  </si>
  <si>
    <t>R010538337</t>
  </si>
  <si>
    <t>清末　七翔</t>
  </si>
  <si>
    <t>キヨスエ　ナナト</t>
  </si>
  <si>
    <t>R010586306</t>
  </si>
  <si>
    <t>清末　勘之</t>
  </si>
  <si>
    <t>キヨスエ　ノリユキ</t>
  </si>
  <si>
    <t>R010613610</t>
  </si>
  <si>
    <t>清永　純志</t>
  </si>
  <si>
    <t>キヨナガ　ジュンジ</t>
  </si>
  <si>
    <t>R010281797</t>
  </si>
  <si>
    <t>清原　勇二</t>
  </si>
  <si>
    <t>キヨハラ　ユウジ</t>
  </si>
  <si>
    <t>R010604780</t>
  </si>
  <si>
    <t>吉良　匠生</t>
  </si>
  <si>
    <t>キラ　タクミ</t>
  </si>
  <si>
    <t>R010653157</t>
  </si>
  <si>
    <t>吉良　緋由莉</t>
  </si>
  <si>
    <t>キラ　ヒヨリ</t>
  </si>
  <si>
    <t>R010403234</t>
  </si>
  <si>
    <t>吉良　楓花</t>
  </si>
  <si>
    <t>キラ　フウカ</t>
  </si>
  <si>
    <t>R010593963</t>
  </si>
  <si>
    <t>吉良　優輝</t>
  </si>
  <si>
    <t>キラ　ユウキ</t>
  </si>
  <si>
    <t>R001256183</t>
  </si>
  <si>
    <t>吉良　陽平</t>
  </si>
  <si>
    <t>キラ　ヨウヘイ</t>
  </si>
  <si>
    <t>R010604097</t>
  </si>
  <si>
    <t>切封　海音</t>
  </si>
  <si>
    <t>キリフ　カイト</t>
  </si>
  <si>
    <t>R010586314</t>
  </si>
  <si>
    <t>桐村　虎夢</t>
  </si>
  <si>
    <t>キリムラ　コム</t>
  </si>
  <si>
    <t>R010631816</t>
  </si>
  <si>
    <t>刑部　珠希</t>
  </si>
  <si>
    <t>ギョウブ　タマキ</t>
  </si>
  <si>
    <t>R010248041</t>
  </si>
  <si>
    <t>釘宮　翼</t>
  </si>
  <si>
    <t>クギミヤ　ツバサ</t>
  </si>
  <si>
    <t>R010656685</t>
  </si>
  <si>
    <t>釘宮　央</t>
  </si>
  <si>
    <t>クギミヤ　ヒロ</t>
  </si>
  <si>
    <t>R010583761</t>
  </si>
  <si>
    <t>日下部　悠大</t>
  </si>
  <si>
    <t>クサカベ　ユウタ</t>
  </si>
  <si>
    <t>R010313754</t>
  </si>
  <si>
    <t>櫛野　理弘</t>
  </si>
  <si>
    <t>クシノ　ミチヒロ</t>
  </si>
  <si>
    <t>R010539278</t>
  </si>
  <si>
    <t>楠田　優</t>
  </si>
  <si>
    <t>クスダ　ユウ</t>
  </si>
  <si>
    <t>R010579060</t>
  </si>
  <si>
    <t>楠野　裕也</t>
  </si>
  <si>
    <t>クスノ　ユウヤ</t>
  </si>
  <si>
    <t>R010542190</t>
  </si>
  <si>
    <t>楠木　裕二</t>
  </si>
  <si>
    <t>クスノキ　ユウジ</t>
  </si>
  <si>
    <t>R010351368</t>
  </si>
  <si>
    <t>楠元　和馬</t>
  </si>
  <si>
    <t>クスモト　カズマ</t>
  </si>
  <si>
    <t>R010576541</t>
  </si>
  <si>
    <t>葛西　翔太</t>
  </si>
  <si>
    <t>クズニシ　ショウタ</t>
  </si>
  <si>
    <t>R010376336</t>
  </si>
  <si>
    <t>沓掛　聖和</t>
  </si>
  <si>
    <t>クツカケ　セナ</t>
  </si>
  <si>
    <t>R010579146</t>
  </si>
  <si>
    <t>工藤　渉</t>
  </si>
  <si>
    <t>クドウ　ショウ</t>
  </si>
  <si>
    <t>R010261616</t>
  </si>
  <si>
    <t>工藤　大昌</t>
  </si>
  <si>
    <t>クドウ　タイショウ</t>
  </si>
  <si>
    <t>R009546116</t>
  </si>
  <si>
    <t>工藤　忠弘</t>
  </si>
  <si>
    <t>クドウ　タダヒロ</t>
  </si>
  <si>
    <t>R010576385</t>
  </si>
  <si>
    <t>工藤　大明</t>
  </si>
  <si>
    <t>クドウ　ダイメイ</t>
  </si>
  <si>
    <t>R010579123</t>
  </si>
  <si>
    <t>工藤　凪</t>
  </si>
  <si>
    <t>クドウ　ナギ</t>
  </si>
  <si>
    <t>R010586300</t>
  </si>
  <si>
    <t>工藤　光向太</t>
  </si>
  <si>
    <t>クドウ　ヒナタ</t>
  </si>
  <si>
    <t>R001256253</t>
  </si>
  <si>
    <t>工藤　洋</t>
  </si>
  <si>
    <t>クドウ　ヒロシ</t>
  </si>
  <si>
    <t>R001256244</t>
  </si>
  <si>
    <t>工藤　光範</t>
  </si>
  <si>
    <t>クドウ　ミツノリ</t>
  </si>
  <si>
    <t>R010083877</t>
  </si>
  <si>
    <t>工藤　大和</t>
  </si>
  <si>
    <t>クドウ　ヤマト</t>
  </si>
  <si>
    <t>R010653760</t>
  </si>
  <si>
    <t>工藤　優翔</t>
  </si>
  <si>
    <t>クドウ　ユウト</t>
  </si>
  <si>
    <t>R010396522</t>
  </si>
  <si>
    <t>工藤　竜世</t>
  </si>
  <si>
    <t>R010538367</t>
  </si>
  <si>
    <t>工藤　凌成</t>
  </si>
  <si>
    <t>クドウ　リョウセイ</t>
  </si>
  <si>
    <t>R010576543</t>
  </si>
  <si>
    <t>国武　祥澄</t>
  </si>
  <si>
    <t>クニタケ　ヨシト</t>
  </si>
  <si>
    <t>R010214468</t>
  </si>
  <si>
    <t>久保　花暖</t>
  </si>
  <si>
    <t>クボ　カノン</t>
  </si>
  <si>
    <t>R010465620</t>
  </si>
  <si>
    <t>久保　宏太</t>
  </si>
  <si>
    <t>クボ　コウタ</t>
  </si>
  <si>
    <t>R008793249</t>
  </si>
  <si>
    <t>久保　茂樹</t>
  </si>
  <si>
    <t>クボ　シゲキ</t>
  </si>
  <si>
    <t>R010376344</t>
  </si>
  <si>
    <t>久保　翔太郎</t>
  </si>
  <si>
    <t>クボ　ショウタロウ</t>
  </si>
  <si>
    <t>R010653560</t>
  </si>
  <si>
    <t>久保　千雅</t>
  </si>
  <si>
    <t>クボ　センガ</t>
  </si>
  <si>
    <t>R010540700</t>
  </si>
  <si>
    <t>久保　颯香</t>
  </si>
  <si>
    <t>クボ　フウガ</t>
  </si>
  <si>
    <t>R010583764</t>
  </si>
  <si>
    <t>久保　雄平</t>
  </si>
  <si>
    <t>クボ　ユウヘイ</t>
  </si>
  <si>
    <t>R010352939</t>
  </si>
  <si>
    <t>久保田　智史</t>
  </si>
  <si>
    <t>クボタ　サトシ</t>
  </si>
  <si>
    <t>R010589056</t>
  </si>
  <si>
    <t>久保田　隼斗</t>
  </si>
  <si>
    <t>クボタ　ハヤト</t>
  </si>
  <si>
    <t>R010653570</t>
  </si>
  <si>
    <t>久保田　蓮</t>
  </si>
  <si>
    <t>クボタ　レン</t>
  </si>
  <si>
    <t>R010027820</t>
  </si>
  <si>
    <t>久保山　崇</t>
  </si>
  <si>
    <t>クボヤマ　タカシ</t>
  </si>
  <si>
    <t>R010642052</t>
  </si>
  <si>
    <t>熊井　健人</t>
  </si>
  <si>
    <t>クマイ　ケント</t>
  </si>
  <si>
    <t>R010450129</t>
  </si>
  <si>
    <t>熊井　優斗</t>
  </si>
  <si>
    <t>クマイ　ユウト</t>
  </si>
  <si>
    <t>R010546306</t>
  </si>
  <si>
    <t>倉田　煌大</t>
  </si>
  <si>
    <t>クラタ　コウダイ</t>
  </si>
  <si>
    <t>R010613643</t>
  </si>
  <si>
    <t>倉橋　一成</t>
  </si>
  <si>
    <t>クラハシ　イッセイ</t>
  </si>
  <si>
    <t>R010613645</t>
  </si>
  <si>
    <t>倉原　貴志</t>
  </si>
  <si>
    <t>クラハラ　キシ</t>
  </si>
  <si>
    <t>R010656675</t>
  </si>
  <si>
    <t>倉本　康汰</t>
  </si>
  <si>
    <t>クラモト　コウタ</t>
  </si>
  <si>
    <t>R010599598</t>
  </si>
  <si>
    <t>栗原　竜</t>
  </si>
  <si>
    <t>クリハラ　リョウ</t>
  </si>
  <si>
    <t>R010552553</t>
  </si>
  <si>
    <t>栗山　隼人</t>
  </si>
  <si>
    <t>クリヤマ　ハヤト</t>
  </si>
  <si>
    <t>R010513913</t>
  </si>
  <si>
    <t>黒木　大治郎</t>
  </si>
  <si>
    <t>クロキ　ダイジロウ</t>
  </si>
  <si>
    <t>R010281807</t>
  </si>
  <si>
    <t>黒木　一輝</t>
  </si>
  <si>
    <t>クロギ　カズキ</t>
  </si>
  <si>
    <t>R010613625</t>
  </si>
  <si>
    <t>黒田　歩</t>
  </si>
  <si>
    <t>クロダ　アユム</t>
  </si>
  <si>
    <t>R010386822</t>
  </si>
  <si>
    <t>黒田　珠樺</t>
  </si>
  <si>
    <t>クロダ　ジュカ</t>
  </si>
  <si>
    <t>R010546307</t>
  </si>
  <si>
    <t>黒田　侑希</t>
  </si>
  <si>
    <t>クロダ　ユウキ</t>
  </si>
  <si>
    <t>R010501305</t>
  </si>
  <si>
    <t>桑野　宏幸</t>
  </si>
  <si>
    <t>クワノ　ヒロユキ</t>
  </si>
  <si>
    <t>R010520028</t>
  </si>
  <si>
    <t>桑原　率</t>
  </si>
  <si>
    <t>クワハラ　リツ</t>
  </si>
  <si>
    <t>R010248040</t>
  </si>
  <si>
    <t>桑原　誓良</t>
  </si>
  <si>
    <t>クワバラ　セイラ</t>
  </si>
  <si>
    <t>R001256387</t>
  </si>
  <si>
    <t>桑原　剛志</t>
  </si>
  <si>
    <t>クワバラ　ツヨシ</t>
  </si>
  <si>
    <t>R010432618</t>
  </si>
  <si>
    <t>桑原　優人</t>
  </si>
  <si>
    <t>クワバラ　ユウト</t>
  </si>
  <si>
    <t>R010538366</t>
  </si>
  <si>
    <t>桑原　力飛</t>
  </si>
  <si>
    <t>クワバラ　リキト</t>
  </si>
  <si>
    <t>R010576371</t>
  </si>
  <si>
    <t>桑山　元汰</t>
  </si>
  <si>
    <t>クワヤマ　ゲンタ</t>
  </si>
  <si>
    <t>R010579119</t>
  </si>
  <si>
    <t>郡司島　樹</t>
  </si>
  <si>
    <t>グンジシマ　タツキ</t>
  </si>
  <si>
    <t>R010542184</t>
  </si>
  <si>
    <t>小石　圭亮</t>
  </si>
  <si>
    <t>コイシ　ケイスケ</t>
  </si>
  <si>
    <t>R010613626</t>
  </si>
  <si>
    <t>小泉　逹邦</t>
  </si>
  <si>
    <t>コイズミ　タツクニ</t>
  </si>
  <si>
    <t>R010214595</t>
  </si>
  <si>
    <t>小泉　斗眞</t>
  </si>
  <si>
    <t>コイズミ　トウマ</t>
  </si>
  <si>
    <t>R010604083</t>
  </si>
  <si>
    <t>小岩　柊大</t>
  </si>
  <si>
    <t>コイワ　シュウダイ</t>
  </si>
  <si>
    <t>R010255153</t>
  </si>
  <si>
    <t>小岩　晴久</t>
  </si>
  <si>
    <t>コイワ　ハルヒサ</t>
  </si>
  <si>
    <t>R010391959</t>
  </si>
  <si>
    <t>高　昇辰</t>
  </si>
  <si>
    <t>コウ　スンジン</t>
  </si>
  <si>
    <t>R010189321</t>
  </si>
  <si>
    <t>神志那　公市</t>
  </si>
  <si>
    <t>コウジナ　コウイチ</t>
  </si>
  <si>
    <t>R010599182</t>
  </si>
  <si>
    <t>幸田　晨佑</t>
  </si>
  <si>
    <t>コウダ　シンスケ</t>
  </si>
  <si>
    <t>R010586308</t>
  </si>
  <si>
    <t>河野　一翔</t>
  </si>
  <si>
    <t>コウノ　イチト</t>
  </si>
  <si>
    <t>R010546274</t>
  </si>
  <si>
    <t>河野　泰良</t>
  </si>
  <si>
    <t>コウノ　タイラ</t>
  </si>
  <si>
    <t>R010613620</t>
  </si>
  <si>
    <t>河野　匠</t>
  </si>
  <si>
    <t>コウノ　タクミ</t>
  </si>
  <si>
    <t>R010656695</t>
  </si>
  <si>
    <t>河埜　龍生</t>
  </si>
  <si>
    <t>コウノ　タツキ</t>
  </si>
  <si>
    <t>R001255670</t>
  </si>
  <si>
    <t>コウノ　チエコ</t>
  </si>
  <si>
    <t>R010604760</t>
  </si>
  <si>
    <t>河野　陽己</t>
  </si>
  <si>
    <t>コウノ　ハルキ</t>
  </si>
  <si>
    <t>R010376319</t>
  </si>
  <si>
    <t>河野　匡視</t>
  </si>
  <si>
    <t>コウノ　マサシ</t>
  </si>
  <si>
    <t>R010586325</t>
  </si>
  <si>
    <t>河野　陸</t>
  </si>
  <si>
    <t>コウノ　リク</t>
  </si>
  <si>
    <t>R010579088</t>
  </si>
  <si>
    <t>古賀　貫太郎</t>
  </si>
  <si>
    <t>コガ　カンタロウ</t>
  </si>
  <si>
    <t>R010347375</t>
  </si>
  <si>
    <t>古賀　奏太郎</t>
  </si>
  <si>
    <t>コガ　ソウタロウ</t>
  </si>
  <si>
    <t>R010396510</t>
  </si>
  <si>
    <t>古賀　時宗</t>
  </si>
  <si>
    <t>コガ　トキムネ</t>
  </si>
  <si>
    <t>R002530277</t>
  </si>
  <si>
    <t>古賀　博喜</t>
  </si>
  <si>
    <t>コガ　ヒロキ</t>
  </si>
  <si>
    <t>R006574206</t>
  </si>
  <si>
    <t>古賀　雅則</t>
  </si>
  <si>
    <t>コガ　マサノリ</t>
  </si>
  <si>
    <t>R010162996</t>
  </si>
  <si>
    <t>小越　憲太郎</t>
  </si>
  <si>
    <t>コゴシ　ケンタロウ</t>
  </si>
  <si>
    <t>R010583795</t>
  </si>
  <si>
    <t>古城　帆貴</t>
  </si>
  <si>
    <t>コジョウ　ホタカ</t>
  </si>
  <si>
    <t>R010396586</t>
  </si>
  <si>
    <t>小杉　青空</t>
  </si>
  <si>
    <t>コスギ　ソラ</t>
  </si>
  <si>
    <t>R010579057</t>
  </si>
  <si>
    <t>児玉　敦志</t>
  </si>
  <si>
    <t>コダマ　アツシ</t>
  </si>
  <si>
    <t>R010386815</t>
  </si>
  <si>
    <t>児玉　一穂</t>
  </si>
  <si>
    <t>コダマ　イチホ</t>
  </si>
  <si>
    <t>R010552559</t>
  </si>
  <si>
    <t>児玉　准哉</t>
  </si>
  <si>
    <t>コダマ　ジュンヤ</t>
  </si>
  <si>
    <t>R010159131</t>
  </si>
  <si>
    <t>児玉　勇翔</t>
  </si>
  <si>
    <t>R010169042</t>
  </si>
  <si>
    <t>児玉　悠介</t>
  </si>
  <si>
    <t>コダマ　ユウスケ</t>
  </si>
  <si>
    <t>R010445239</t>
  </si>
  <si>
    <t>児玉　佑太</t>
  </si>
  <si>
    <t>コダマ　ユウタ</t>
  </si>
  <si>
    <t>R010538305</t>
  </si>
  <si>
    <t>児玉　龍飛</t>
  </si>
  <si>
    <t>コダマ　リント</t>
  </si>
  <si>
    <t>R005528060</t>
  </si>
  <si>
    <t>小手川　洋介</t>
  </si>
  <si>
    <t>コテガワ　ヨウスケ</t>
  </si>
  <si>
    <t>R010467696</t>
  </si>
  <si>
    <t>小手川　蓮</t>
  </si>
  <si>
    <t>コテガワ　レン</t>
  </si>
  <si>
    <t>R010581156</t>
  </si>
  <si>
    <t>小寺　一廣</t>
  </si>
  <si>
    <t>コテラ　カズヒロ</t>
  </si>
  <si>
    <t>R010653579</t>
  </si>
  <si>
    <t>古原　大夢</t>
  </si>
  <si>
    <t>コハラ　ダイヤ</t>
  </si>
  <si>
    <t>R010631815</t>
  </si>
  <si>
    <t>木場　春佳</t>
  </si>
  <si>
    <t>コバ　ハルカ</t>
  </si>
  <si>
    <t>R010583804</t>
  </si>
  <si>
    <t>小林　奏翔</t>
  </si>
  <si>
    <t>コバヤシ　カナト</t>
  </si>
  <si>
    <t>R004226712</t>
  </si>
  <si>
    <t>小林　覚</t>
  </si>
  <si>
    <t>コバヤシ　サトル</t>
  </si>
  <si>
    <t>R010642023</t>
  </si>
  <si>
    <t>小林　新明</t>
  </si>
  <si>
    <t>コバヤシ　シンメイ</t>
  </si>
  <si>
    <t>R010546326</t>
  </si>
  <si>
    <t>小林　昴琉</t>
  </si>
  <si>
    <t>コバヤシ　スバル</t>
  </si>
  <si>
    <t>R010653591</t>
  </si>
  <si>
    <t>小林　風翔</t>
  </si>
  <si>
    <t>コバヤシ　フウト</t>
  </si>
  <si>
    <t>R010599583</t>
  </si>
  <si>
    <t>小林　優仁</t>
  </si>
  <si>
    <t>コバヤシ　ユウト</t>
  </si>
  <si>
    <t>R010255174</t>
  </si>
  <si>
    <t>小林　亮太</t>
  </si>
  <si>
    <t>コバヤシ　リョウタ</t>
  </si>
  <si>
    <t>R010538355</t>
  </si>
  <si>
    <t>小深田　大晟</t>
  </si>
  <si>
    <t>コブカタ　タイセイ</t>
  </si>
  <si>
    <t>R010602909</t>
  </si>
  <si>
    <t>小深田　隼士</t>
  </si>
  <si>
    <t>コブカタ　ハヤト</t>
  </si>
  <si>
    <t>R010576519</t>
  </si>
  <si>
    <t>小松　弘毅</t>
  </si>
  <si>
    <t>コマツ　ヒロキ</t>
  </si>
  <si>
    <t>R010549364</t>
  </si>
  <si>
    <t>小松　由奈</t>
  </si>
  <si>
    <t>コマツ　ユナ</t>
  </si>
  <si>
    <t>R010261603</t>
  </si>
  <si>
    <t>古屋　友晟</t>
  </si>
  <si>
    <t>コヤ　ユウセイ</t>
  </si>
  <si>
    <t>R010542166</t>
  </si>
  <si>
    <t>古谷　悠汰</t>
  </si>
  <si>
    <t>コヤ　ユウタ</t>
  </si>
  <si>
    <t>R010347385</t>
  </si>
  <si>
    <t>小山　大輝</t>
  </si>
  <si>
    <t>コヤマ　タイキ</t>
  </si>
  <si>
    <t>R010653161</t>
  </si>
  <si>
    <t>是永　直人</t>
  </si>
  <si>
    <t>コレナガ　ナオト</t>
  </si>
  <si>
    <t>R006664855</t>
  </si>
  <si>
    <t>近藤　孝司</t>
  </si>
  <si>
    <t>コンドウ　コウジ</t>
  </si>
  <si>
    <t>R010594963</t>
  </si>
  <si>
    <t>近藤　秀翔</t>
  </si>
  <si>
    <t>コンドウ　シュウト</t>
  </si>
  <si>
    <t>R010601876</t>
  </si>
  <si>
    <t>近藤　拓斗</t>
  </si>
  <si>
    <t>コンドウ　タクト</t>
  </si>
  <si>
    <t>R010509969</t>
  </si>
  <si>
    <t>合谷　佑木</t>
  </si>
  <si>
    <t>ゴウタニ　ユウキ</t>
  </si>
  <si>
    <t>R010588857</t>
  </si>
  <si>
    <t>郷地　拓真</t>
  </si>
  <si>
    <t>ゴウチ　タクマ</t>
  </si>
  <si>
    <t>R010642038</t>
  </si>
  <si>
    <t>合原　直輝</t>
  </si>
  <si>
    <t>ゴウバル　ナオキ</t>
  </si>
  <si>
    <t>R009546091</t>
  </si>
  <si>
    <t>五所　睦雄</t>
  </si>
  <si>
    <t>ゴショ　ムツオ</t>
  </si>
  <si>
    <t>R010583779</t>
  </si>
  <si>
    <t>後藤　碧斗</t>
  </si>
  <si>
    <t>R010539279</t>
  </si>
  <si>
    <t>後藤　彰臣</t>
  </si>
  <si>
    <t>ゴトウ　アキオミ</t>
  </si>
  <si>
    <t>R010593962</t>
  </si>
  <si>
    <t>後藤　綾心</t>
  </si>
  <si>
    <t>ゴトウ　アヤト</t>
  </si>
  <si>
    <t>R010163001</t>
  </si>
  <si>
    <t>後藤　快斗</t>
  </si>
  <si>
    <t>ゴトウ　カイト</t>
  </si>
  <si>
    <t>R010602923</t>
  </si>
  <si>
    <t>後藤　魁斗</t>
  </si>
  <si>
    <t>R001256572</t>
  </si>
  <si>
    <t>後藤　儀一郎</t>
  </si>
  <si>
    <t>ゴトウ　ギイチロウ</t>
  </si>
  <si>
    <t>R010583797</t>
  </si>
  <si>
    <t>後藤　慶</t>
  </si>
  <si>
    <t>ゴトウ　ケイ</t>
  </si>
  <si>
    <t>R010354802</t>
  </si>
  <si>
    <t>後藤　圭梧</t>
  </si>
  <si>
    <t>ゴトウ　ケイゴ</t>
  </si>
  <si>
    <t>R005987519</t>
  </si>
  <si>
    <t>後藤　慶太郎</t>
  </si>
  <si>
    <t>ゴトウ　ケイタロウ</t>
  </si>
  <si>
    <t>R010576369</t>
  </si>
  <si>
    <t>後藤　健伍</t>
  </si>
  <si>
    <t>ゴトウ　ケンゴ</t>
  </si>
  <si>
    <t>R001256590</t>
  </si>
  <si>
    <t>後藤　幸治</t>
  </si>
  <si>
    <t>ゴトウ　コウジ</t>
  </si>
  <si>
    <t>R003421426</t>
  </si>
  <si>
    <t>後藤　茂好</t>
  </si>
  <si>
    <t>ゴトウ　シゲヨシ</t>
  </si>
  <si>
    <t>R003256044</t>
  </si>
  <si>
    <t>後藤　真一</t>
  </si>
  <si>
    <t>ゴトウ　シンイチ</t>
  </si>
  <si>
    <t>R010581179</t>
  </si>
  <si>
    <t>後藤　淳哉</t>
  </si>
  <si>
    <t>ゴトウ　ジュンヤ</t>
  </si>
  <si>
    <t>R010255175</t>
  </si>
  <si>
    <t>R010613619</t>
  </si>
  <si>
    <t>後藤　拓人</t>
  </si>
  <si>
    <t>ゴトウ　タクト</t>
  </si>
  <si>
    <t>R010193704</t>
  </si>
  <si>
    <t>後藤　健文</t>
  </si>
  <si>
    <t>ゴトウ　タケフミ</t>
  </si>
  <si>
    <t>R005603671</t>
  </si>
  <si>
    <t>後藤　達也</t>
  </si>
  <si>
    <t>ゴトウ　タツヤ</t>
  </si>
  <si>
    <t>R010579143</t>
  </si>
  <si>
    <t>後藤　凪海</t>
  </si>
  <si>
    <t>ゴトウ　ナギ</t>
  </si>
  <si>
    <t>R010604770</t>
  </si>
  <si>
    <t>後藤　暖翔</t>
  </si>
  <si>
    <t>ゴトウ　ハルト</t>
  </si>
  <si>
    <t>R001256554</t>
  </si>
  <si>
    <t>後藤　寿</t>
  </si>
  <si>
    <t>ゴトウ　ヒサシ</t>
  </si>
  <si>
    <t>R010396547</t>
  </si>
  <si>
    <t>後藤　真弥</t>
  </si>
  <si>
    <t>ゴトウ　マヒロ</t>
  </si>
  <si>
    <t>R010538300</t>
  </si>
  <si>
    <t>後藤　睦希</t>
  </si>
  <si>
    <t>ゴトウ　ムツキ</t>
  </si>
  <si>
    <t>R010586296</t>
  </si>
  <si>
    <t>後藤　優空</t>
  </si>
  <si>
    <t>ゴトウ　ユウア</t>
  </si>
  <si>
    <t>R010613618</t>
  </si>
  <si>
    <t>後藤　優史</t>
  </si>
  <si>
    <t>ゴトウ　ユウシ</t>
  </si>
  <si>
    <t>R010653600</t>
  </si>
  <si>
    <t>後藤　友星</t>
  </si>
  <si>
    <t>R010120116</t>
  </si>
  <si>
    <t>後藤　芳健</t>
  </si>
  <si>
    <t>ゴトウ　ヨシカツ</t>
  </si>
  <si>
    <t>R010642071</t>
  </si>
  <si>
    <t>後藤　璃杏</t>
  </si>
  <si>
    <t>ゴトウ　リアン</t>
  </si>
  <si>
    <t>R010604779</t>
  </si>
  <si>
    <t>後藤　竜樹</t>
  </si>
  <si>
    <t>R010001964</t>
  </si>
  <si>
    <t>後藤　亮一</t>
  </si>
  <si>
    <t>ゴトウ　リョウイチ</t>
  </si>
  <si>
    <t>R010538364</t>
  </si>
  <si>
    <t>後藤　凛太朗</t>
  </si>
  <si>
    <t>ゴトウ　リンタロウ</t>
  </si>
  <si>
    <t>R010613641</t>
  </si>
  <si>
    <t>後藤　塁</t>
  </si>
  <si>
    <t>ゴトウ　ルイ</t>
  </si>
  <si>
    <t>R010538336</t>
  </si>
  <si>
    <t>後藤　涼之介</t>
  </si>
  <si>
    <t>ゴドウ　シュンノスケ</t>
  </si>
  <si>
    <t>R010539282</t>
  </si>
  <si>
    <t>佐伯　圭介</t>
  </si>
  <si>
    <t>サイキ　ケイスケ</t>
  </si>
  <si>
    <t>R010552532</t>
  </si>
  <si>
    <t>佐伯　正一</t>
  </si>
  <si>
    <t>サイキ　シヨウイチ</t>
  </si>
  <si>
    <t>R010376289</t>
  </si>
  <si>
    <t>齋藤　俊孝</t>
  </si>
  <si>
    <t>サイトウ　トシタカ</t>
  </si>
  <si>
    <t>R010540709</t>
  </si>
  <si>
    <t>斉藤　晄吏</t>
  </si>
  <si>
    <t>サイトウ　ヒカリ</t>
  </si>
  <si>
    <t>R008173685</t>
  </si>
  <si>
    <t>斎藤　亮真</t>
  </si>
  <si>
    <t>サイトウ　リョウマ</t>
  </si>
  <si>
    <t>R010546329</t>
  </si>
  <si>
    <t>西耒　龍界</t>
  </si>
  <si>
    <t>サイライ　リョウカ</t>
  </si>
  <si>
    <t>R010552567</t>
  </si>
  <si>
    <t>酒井　碧海</t>
  </si>
  <si>
    <t>サカイ　アオト</t>
  </si>
  <si>
    <t>R010631812</t>
  </si>
  <si>
    <t>堺　彩葉</t>
  </si>
  <si>
    <t>サカイ　イロハ</t>
  </si>
  <si>
    <t>R010448935</t>
  </si>
  <si>
    <t>酒井　洸太</t>
  </si>
  <si>
    <t>サカイ　コウタ</t>
  </si>
  <si>
    <t>R010579099</t>
  </si>
  <si>
    <t>酒井　琥士朗</t>
  </si>
  <si>
    <t>サカイ　コジロウ</t>
  </si>
  <si>
    <t>R010613639</t>
  </si>
  <si>
    <t>酒井　大空翔</t>
  </si>
  <si>
    <t>サカイ　タクト</t>
  </si>
  <si>
    <t>R010653163</t>
  </si>
  <si>
    <t>酒井　晴彦</t>
  </si>
  <si>
    <t>サカイ　ハルヒコ</t>
  </si>
  <si>
    <t>R006932525</t>
  </si>
  <si>
    <t>酒井　泰峰</t>
  </si>
  <si>
    <t>サカイ　ヤスタカ</t>
  </si>
  <si>
    <t>R010546308</t>
  </si>
  <si>
    <t>酒井　渉</t>
  </si>
  <si>
    <t>サカイ　ワタル</t>
  </si>
  <si>
    <t>R010538308</t>
  </si>
  <si>
    <t>榊原　隆之輔</t>
  </si>
  <si>
    <t>サカキバラ　リュウノスケ</t>
  </si>
  <si>
    <t>R010189326</t>
  </si>
  <si>
    <t>坂田　大樹</t>
  </si>
  <si>
    <t>サカタ　ダイキ</t>
  </si>
  <si>
    <t>R010600678</t>
  </si>
  <si>
    <t>坂本　航輝</t>
  </si>
  <si>
    <t>サカモト　コウキ</t>
  </si>
  <si>
    <t>R010653166</t>
  </si>
  <si>
    <t>坂本　翔</t>
  </si>
  <si>
    <t>サカモト　ショウ</t>
  </si>
  <si>
    <t>R010602915</t>
  </si>
  <si>
    <t>坂本　友稀</t>
  </si>
  <si>
    <t>サカモト　トモキ</t>
  </si>
  <si>
    <t>R010388052</t>
  </si>
  <si>
    <t>坂本　晴陽</t>
  </si>
  <si>
    <t>R010071981</t>
  </si>
  <si>
    <t>坂本　璃王</t>
  </si>
  <si>
    <t>サカモト　リオ</t>
  </si>
  <si>
    <t>R010283833</t>
  </si>
  <si>
    <t>坂本　莉音</t>
  </si>
  <si>
    <t>サカモト　リオン</t>
  </si>
  <si>
    <t>R010642088</t>
  </si>
  <si>
    <t>坂本　琉雅</t>
  </si>
  <si>
    <t>サカモト　リュウガ</t>
  </si>
  <si>
    <t>R010581164</t>
  </si>
  <si>
    <t>相良　晃平</t>
  </si>
  <si>
    <t>サガラ　コウヘイ</t>
  </si>
  <si>
    <t>R010599175</t>
  </si>
  <si>
    <t>相良　雅斗</t>
  </si>
  <si>
    <t>サガラ　マサト</t>
  </si>
  <si>
    <t>R008173746</t>
  </si>
  <si>
    <t>相良　宣雄</t>
  </si>
  <si>
    <t>サガラ　ヨシオ</t>
  </si>
  <si>
    <t>R010642140</t>
  </si>
  <si>
    <t>櫻井　圭祐</t>
  </si>
  <si>
    <t>サクライ　ケイスケ</t>
  </si>
  <si>
    <t>R010602917</t>
  </si>
  <si>
    <t>櫻井　心</t>
  </si>
  <si>
    <t>サクライ　シン</t>
  </si>
  <si>
    <t>R010444490</t>
  </si>
  <si>
    <t>櫻井　貴寛</t>
  </si>
  <si>
    <t>サクライ　タカヒロ</t>
  </si>
  <si>
    <t>R010576381</t>
  </si>
  <si>
    <t>櫻木　海晴</t>
  </si>
  <si>
    <t>サクラギ　カイセイ</t>
  </si>
  <si>
    <t>R010542194</t>
  </si>
  <si>
    <t>迫　聖一郎</t>
  </si>
  <si>
    <t>サコ　セイイチロウ</t>
  </si>
  <si>
    <t>R010653559</t>
  </si>
  <si>
    <t>佐々井　誠也</t>
  </si>
  <si>
    <t>ササイ　マサヤ</t>
  </si>
  <si>
    <t>R010653581</t>
  </si>
  <si>
    <t>佐々木　壮太</t>
  </si>
  <si>
    <t>ササキ　ソウタ</t>
  </si>
  <si>
    <t>R010432604</t>
  </si>
  <si>
    <t>佐々木　匠実</t>
  </si>
  <si>
    <t>ササキ　タクミ</t>
  </si>
  <si>
    <t>R010586324</t>
  </si>
  <si>
    <t>佐々木　陽音</t>
  </si>
  <si>
    <t>ササキ　ハルト</t>
  </si>
  <si>
    <t>R010638090</t>
  </si>
  <si>
    <t>佐々木　英雄</t>
  </si>
  <si>
    <t>ササキ　ヒデオ</t>
  </si>
  <si>
    <t>R010586315</t>
  </si>
  <si>
    <t>佐々木　大和</t>
  </si>
  <si>
    <t>ササキ　ヤマト</t>
  </si>
  <si>
    <t>R010214626</t>
  </si>
  <si>
    <t>指原　徹志</t>
  </si>
  <si>
    <t>サシハラ　テツシ</t>
  </si>
  <si>
    <t>R010396573</t>
  </si>
  <si>
    <t>佐田　惇</t>
  </si>
  <si>
    <t>サダ　アツシ</t>
  </si>
  <si>
    <t>R010189039</t>
  </si>
  <si>
    <t>目　匡弘</t>
  </si>
  <si>
    <t>サッカ　タダヒロ</t>
  </si>
  <si>
    <t>R010259437</t>
  </si>
  <si>
    <t>佐藤　愛莉</t>
  </si>
  <si>
    <t>サトウ　アイリ</t>
  </si>
  <si>
    <t>R001257076</t>
  </si>
  <si>
    <t>佐藤　明</t>
  </si>
  <si>
    <t>サトウ　アキラ</t>
  </si>
  <si>
    <t>R010538390</t>
  </si>
  <si>
    <t>佐藤　歩虎</t>
  </si>
  <si>
    <t>サトウ　アユト</t>
  </si>
  <si>
    <t>R010540710</t>
  </si>
  <si>
    <t>佐藤　應之佑</t>
  </si>
  <si>
    <t>サトウ　オウノスケ</t>
  </si>
  <si>
    <t>R010448943</t>
  </si>
  <si>
    <t>佐藤　凱翔</t>
  </si>
  <si>
    <t>サトウ　カイト</t>
  </si>
  <si>
    <t>R010376318</t>
  </si>
  <si>
    <t>佐藤　一史</t>
  </si>
  <si>
    <t>サトウ　カズシ</t>
  </si>
  <si>
    <t>R010396579</t>
  </si>
  <si>
    <t>佐藤　健司</t>
  </si>
  <si>
    <t>サトウ　ケンジ</t>
  </si>
  <si>
    <t>R010552574</t>
  </si>
  <si>
    <t>佐藤　洸輝</t>
  </si>
  <si>
    <t>サトウ　コウキ</t>
  </si>
  <si>
    <t>R010396604</t>
  </si>
  <si>
    <t>佐藤　耕輔</t>
  </si>
  <si>
    <t>サトウ　コウスケ</t>
  </si>
  <si>
    <t>R010642032</t>
  </si>
  <si>
    <t>佐藤　康太朗</t>
  </si>
  <si>
    <t>サトウ　コウタロウ</t>
  </si>
  <si>
    <t>R010579095</t>
  </si>
  <si>
    <t>佐藤　修一</t>
  </si>
  <si>
    <t>サトウ　シュウイチ</t>
  </si>
  <si>
    <t>R010540704</t>
  </si>
  <si>
    <t>佐藤　愁哲</t>
  </si>
  <si>
    <t>サトウ　シュウト</t>
  </si>
  <si>
    <t>R010599176</t>
  </si>
  <si>
    <t>佐藤　周平</t>
  </si>
  <si>
    <t>サトウ　シュウヘイ</t>
  </si>
  <si>
    <t>R010432632</t>
  </si>
  <si>
    <t>佐藤　秀哉</t>
  </si>
  <si>
    <t>サトウ　シュウヤ</t>
  </si>
  <si>
    <t>R010538354</t>
  </si>
  <si>
    <t>佐藤　秀弥</t>
  </si>
  <si>
    <t>サトウ　シユウヤ</t>
  </si>
  <si>
    <t>R010432602</t>
  </si>
  <si>
    <t>佐藤　翔太</t>
  </si>
  <si>
    <t>サトウ　ショウタ</t>
  </si>
  <si>
    <t>R004386306</t>
  </si>
  <si>
    <t>佐藤　慎也</t>
  </si>
  <si>
    <t>サトウ　シンヤ</t>
  </si>
  <si>
    <t>R010262644</t>
  </si>
  <si>
    <t>佐藤　颯</t>
  </si>
  <si>
    <t>サトウ　ソウ</t>
  </si>
  <si>
    <t>R001257085</t>
  </si>
  <si>
    <t>佐藤　武吉</t>
  </si>
  <si>
    <t>サトウ　タケヨシ</t>
  </si>
  <si>
    <t>R010653599</t>
  </si>
  <si>
    <t>佐藤　大樹</t>
  </si>
  <si>
    <t>サトウ　ダイキ</t>
  </si>
  <si>
    <t>R010552561</t>
  </si>
  <si>
    <t>佐藤　哲也</t>
  </si>
  <si>
    <t>サトウ　テツヤ</t>
  </si>
  <si>
    <t>R010594942</t>
  </si>
  <si>
    <t>佐藤　直</t>
  </si>
  <si>
    <t>サトウ　ナオト</t>
  </si>
  <si>
    <t>R010604777</t>
  </si>
  <si>
    <t>佐藤　成</t>
  </si>
  <si>
    <t>サトウ　ナル</t>
  </si>
  <si>
    <t>R010604776</t>
  </si>
  <si>
    <t>佐藤　悠樹</t>
  </si>
  <si>
    <t>サトウ　ハルキ</t>
  </si>
  <si>
    <t>R010599178</t>
  </si>
  <si>
    <t>佐藤　大翔</t>
  </si>
  <si>
    <t>R010613595</t>
  </si>
  <si>
    <t>佐藤　陽日</t>
  </si>
  <si>
    <t>サトウ　ハルヒ</t>
  </si>
  <si>
    <t>R010189325</t>
  </si>
  <si>
    <t>佐藤　遥哉</t>
  </si>
  <si>
    <t>サトウ　ハルヤ</t>
  </si>
  <si>
    <t>R001257137</t>
  </si>
  <si>
    <t>佐藤　秀勝</t>
  </si>
  <si>
    <t>サトウ　ヒデカツ</t>
  </si>
  <si>
    <t>R010538322</t>
  </si>
  <si>
    <t>佐藤　浩樹</t>
  </si>
  <si>
    <t>R010354658</t>
  </si>
  <si>
    <t>佐藤　史典</t>
  </si>
  <si>
    <t>サトウ　フミノリ</t>
  </si>
  <si>
    <t>R010376310</t>
  </si>
  <si>
    <t>佐藤　雅斗吏</t>
  </si>
  <si>
    <t>サトウ　マサトシ</t>
  </si>
  <si>
    <t>R010465577</t>
  </si>
  <si>
    <t>佐藤　守</t>
  </si>
  <si>
    <t>サトウ　マモル</t>
  </si>
  <si>
    <t>R005603389</t>
  </si>
  <si>
    <t>佐藤　光雄</t>
  </si>
  <si>
    <t>サトウ　ミツオ</t>
  </si>
  <si>
    <t>R010613624</t>
  </si>
  <si>
    <t>佐藤　光浩</t>
  </si>
  <si>
    <t>サトウ　ミツヒロ</t>
  </si>
  <si>
    <t>R010599169</t>
  </si>
  <si>
    <t>佐藤　元気</t>
  </si>
  <si>
    <t>サトウ　モトキ</t>
  </si>
  <si>
    <t>R010638065</t>
  </si>
  <si>
    <t>佐藤　唯翔</t>
  </si>
  <si>
    <t>R010581171</t>
  </si>
  <si>
    <t>佐藤　優</t>
  </si>
  <si>
    <t>サトウ　ユウ</t>
  </si>
  <si>
    <t>R010586313</t>
  </si>
  <si>
    <t>佐藤　佑樹</t>
  </si>
  <si>
    <t>R010465593</t>
  </si>
  <si>
    <t>佐藤　祐親</t>
  </si>
  <si>
    <t>サトウ　ユウシン</t>
  </si>
  <si>
    <t>R010391925</t>
  </si>
  <si>
    <t>佐藤　祐介</t>
  </si>
  <si>
    <t>R010538353</t>
  </si>
  <si>
    <t>佐藤　悠星</t>
  </si>
  <si>
    <t>サトウ　ユウセイ</t>
  </si>
  <si>
    <t>R010579128</t>
  </si>
  <si>
    <t>佐藤　悠晴</t>
  </si>
  <si>
    <t>R010396516</t>
  </si>
  <si>
    <t>佐藤　侑大</t>
  </si>
  <si>
    <t>サトウ　ユウタ</t>
  </si>
  <si>
    <t>R010444501</t>
  </si>
  <si>
    <t>佐藤　悠登</t>
  </si>
  <si>
    <t>R010538306</t>
  </si>
  <si>
    <t>佐藤　悠人</t>
  </si>
  <si>
    <t>R010314823</t>
  </si>
  <si>
    <t>佐藤　善成</t>
  </si>
  <si>
    <t>サトウ　ヨシナリ</t>
  </si>
  <si>
    <t>R007729210</t>
  </si>
  <si>
    <t>佐藤　教春</t>
  </si>
  <si>
    <t>サトウ　ヨシハル</t>
  </si>
  <si>
    <t>R010593964</t>
  </si>
  <si>
    <t>佐藤　圭悠</t>
  </si>
  <si>
    <t>R010552573</t>
  </si>
  <si>
    <t>佐藤　陸</t>
  </si>
  <si>
    <t>サトウ　リク</t>
  </si>
  <si>
    <t>R010579096</t>
  </si>
  <si>
    <t>佐藤　亮次</t>
  </si>
  <si>
    <t>サトウ　リョウジ</t>
  </si>
  <si>
    <t>R010583788</t>
  </si>
  <si>
    <t>佐藤　凛太朗</t>
  </si>
  <si>
    <t>サトウ　リンタロウ</t>
  </si>
  <si>
    <t>R010579112</t>
  </si>
  <si>
    <t>佐藤　凛乃丞</t>
  </si>
  <si>
    <t>サトウ　リンノスケ</t>
  </si>
  <si>
    <t>R010588870</t>
  </si>
  <si>
    <t>佐藤　琉偉</t>
  </si>
  <si>
    <t>サトウ　ルイ</t>
  </si>
  <si>
    <t>R010453590</t>
  </si>
  <si>
    <t>佐藤　羚矢</t>
  </si>
  <si>
    <t>サトウ　レイヤ</t>
  </si>
  <si>
    <t>R010396509</t>
  </si>
  <si>
    <t>佐藤　蓮太</t>
  </si>
  <si>
    <t>サトウ　レンタ</t>
  </si>
  <si>
    <t>R010388045</t>
  </si>
  <si>
    <t>實松　祐輝</t>
  </si>
  <si>
    <t>サネマツ　ユウキ</t>
  </si>
  <si>
    <t>R010214533</t>
  </si>
  <si>
    <t>鮫島　裕貴</t>
  </si>
  <si>
    <t>サメジマ　ユウキ</t>
  </si>
  <si>
    <t>R010642075</t>
  </si>
  <si>
    <t>澤井　一颯</t>
  </si>
  <si>
    <t>サワイ　イブキ</t>
  </si>
  <si>
    <t>R010376311</t>
  </si>
  <si>
    <t>澤井　駿樂</t>
  </si>
  <si>
    <t>サワイ　シュンガク</t>
  </si>
  <si>
    <t>R010376331</t>
  </si>
  <si>
    <t>澤田　弘教</t>
  </si>
  <si>
    <t>サワダ　ヒロノリ</t>
  </si>
  <si>
    <t>R010396568</t>
  </si>
  <si>
    <t>澤永　悠樹</t>
  </si>
  <si>
    <t>サワナガ　ユウキ</t>
  </si>
  <si>
    <t>R010653585</t>
  </si>
  <si>
    <t>三ノ宮　羚央</t>
  </si>
  <si>
    <t>サンノミヤ　レオ</t>
  </si>
  <si>
    <t>R010576536</t>
  </si>
  <si>
    <t>三分一　彪斗</t>
  </si>
  <si>
    <t>サンブイチ　タケト</t>
  </si>
  <si>
    <t>R010100659</t>
  </si>
  <si>
    <t>財前　友担</t>
  </si>
  <si>
    <t>ザイゼン　トモヒロ</t>
  </si>
  <si>
    <t>R010432654</t>
  </si>
  <si>
    <t>財前　飛向</t>
  </si>
  <si>
    <t>ザイゼン　ヒナタ</t>
  </si>
  <si>
    <t>R010586297</t>
  </si>
  <si>
    <t>財前　大翔</t>
  </si>
  <si>
    <t>ザイゼン　ヒロト</t>
  </si>
  <si>
    <t>R010588874</t>
  </si>
  <si>
    <t>財津　翔大</t>
  </si>
  <si>
    <t>ザイツ　ショウダイ</t>
  </si>
  <si>
    <t>R010538386</t>
  </si>
  <si>
    <t>財津　亮介</t>
  </si>
  <si>
    <t>ザイツ　リョウスケ</t>
  </si>
  <si>
    <t>R010604774</t>
  </si>
  <si>
    <t>椎原　吟峨</t>
  </si>
  <si>
    <t>シイハラ　ギンガ</t>
  </si>
  <si>
    <t>R010642054</t>
  </si>
  <si>
    <t>椎原　圭亮</t>
  </si>
  <si>
    <t>シイハラ　ケイスケ</t>
  </si>
  <si>
    <t>R005603291</t>
  </si>
  <si>
    <t>椎原　健夫</t>
  </si>
  <si>
    <t>シイハラ　タケオ</t>
  </si>
  <si>
    <t>R010602908</t>
  </si>
  <si>
    <t>汐先　圭太</t>
  </si>
  <si>
    <t>シオサキ　ケイタ</t>
  </si>
  <si>
    <t>R010642037</t>
  </si>
  <si>
    <t>塩崎　椋</t>
  </si>
  <si>
    <t>シオサキ　リョウ</t>
  </si>
  <si>
    <t>R010601891</t>
  </si>
  <si>
    <t>塩治　晴士</t>
  </si>
  <si>
    <t>シオジ　ハルト</t>
  </si>
  <si>
    <t>R010601882</t>
  </si>
  <si>
    <t>塩治　輝</t>
  </si>
  <si>
    <t>シオジ　ヒカル</t>
  </si>
  <si>
    <t>R010642031</t>
  </si>
  <si>
    <t>汐月　達也</t>
  </si>
  <si>
    <t>シオツキ　タツヤ</t>
  </si>
  <si>
    <t>R010542200</t>
  </si>
  <si>
    <t>鹿内　克彦</t>
  </si>
  <si>
    <t>シカナイ　カツヒコ</t>
  </si>
  <si>
    <t>R010281801</t>
  </si>
  <si>
    <t>志賀　泰二</t>
  </si>
  <si>
    <t>シガ　タイジ</t>
  </si>
  <si>
    <t>R010599184</t>
  </si>
  <si>
    <t>志賀　裕太</t>
  </si>
  <si>
    <t>シガ　ユウタ</t>
  </si>
  <si>
    <t>R010579058</t>
  </si>
  <si>
    <t>式村　龍馬</t>
  </si>
  <si>
    <t>シキムラ　リョウマ</t>
  </si>
  <si>
    <t>R010542188</t>
  </si>
  <si>
    <t>重住　優成</t>
  </si>
  <si>
    <t>シゲズミ　ユウヤ</t>
  </si>
  <si>
    <t>R001257304</t>
  </si>
  <si>
    <t>重藤　光</t>
  </si>
  <si>
    <t>シゲフジ　ヒカル</t>
  </si>
  <si>
    <t>R010391920</t>
  </si>
  <si>
    <t>重松　剛史</t>
  </si>
  <si>
    <t>シゲマツ　タケシ</t>
  </si>
  <si>
    <t>R010583765</t>
  </si>
  <si>
    <t>重光　淳乃介</t>
  </si>
  <si>
    <t>シゲミツ　ジュンノスケ</t>
  </si>
  <si>
    <t>R010538301</t>
  </si>
  <si>
    <t>重光　日向</t>
  </si>
  <si>
    <t>シゲミツ　ヒナタ</t>
  </si>
  <si>
    <t>R010588882</t>
  </si>
  <si>
    <t>志堂寺　和之介</t>
  </si>
  <si>
    <t>シドウジ　カズノスケ</t>
  </si>
  <si>
    <t>R010576556</t>
  </si>
  <si>
    <t>品川　魁杜</t>
  </si>
  <si>
    <t>シナガワ　カイト</t>
  </si>
  <si>
    <t>R010579048</t>
  </si>
  <si>
    <t>篠田　怜央</t>
  </si>
  <si>
    <t>シノダ　レオ</t>
  </si>
  <si>
    <t>R010601870</t>
  </si>
  <si>
    <t>柴田　琥生</t>
  </si>
  <si>
    <t>シバタ　コウ</t>
  </si>
  <si>
    <t>R010540695</t>
  </si>
  <si>
    <t>柴田　峻徳</t>
  </si>
  <si>
    <t>シバタ　シュントク</t>
  </si>
  <si>
    <t>R010601874</t>
  </si>
  <si>
    <t>柴田　優治</t>
  </si>
  <si>
    <t>シバタ　ユウジ</t>
  </si>
  <si>
    <t>R010583772</t>
  </si>
  <si>
    <t>渋谷　駿</t>
  </si>
  <si>
    <t>シブヤ　タケル</t>
  </si>
  <si>
    <t>R010631828</t>
  </si>
  <si>
    <t>島　さくら</t>
  </si>
  <si>
    <t>シマ　サクラ</t>
  </si>
  <si>
    <t>R010415895</t>
  </si>
  <si>
    <t>島　拓朗</t>
  </si>
  <si>
    <t>シマ　タクロウ</t>
  </si>
  <si>
    <t>R010539273</t>
  </si>
  <si>
    <t>島岡　歩</t>
  </si>
  <si>
    <t>シマオカ　アユム</t>
  </si>
  <si>
    <t>R007959592</t>
  </si>
  <si>
    <t>島崎　雄大</t>
  </si>
  <si>
    <t>シマザキ　ユウダイ</t>
  </si>
  <si>
    <t>R001257447</t>
  </si>
  <si>
    <t>島谷　真司</t>
  </si>
  <si>
    <t>シマタニ　シンジ</t>
  </si>
  <si>
    <t>R010613631</t>
  </si>
  <si>
    <t>島田　伊吹</t>
  </si>
  <si>
    <t>シマダ　イブキ</t>
  </si>
  <si>
    <t>R010313749</t>
  </si>
  <si>
    <t>嶋田　尚祐</t>
  </si>
  <si>
    <t>シマダ　ナオヒロ</t>
  </si>
  <si>
    <t>R010445837</t>
  </si>
  <si>
    <t>嶋田　祐也</t>
  </si>
  <si>
    <t>シマダ　ユウヤ</t>
  </si>
  <si>
    <t>R010391963</t>
  </si>
  <si>
    <t>島津　悠揮</t>
  </si>
  <si>
    <t>シマツ　ユウキ</t>
  </si>
  <si>
    <t>R010586719</t>
  </si>
  <si>
    <t>嶋津　慶真</t>
  </si>
  <si>
    <t>シマヅ　ケイシン</t>
  </si>
  <si>
    <t>R010465614</t>
  </si>
  <si>
    <t>島畑　欣史</t>
  </si>
  <si>
    <t>シマハタ　ヨシフミ</t>
  </si>
  <si>
    <t>R010396565</t>
  </si>
  <si>
    <t>清水　和</t>
  </si>
  <si>
    <t>シミズ　カズ</t>
  </si>
  <si>
    <t>R010601877</t>
  </si>
  <si>
    <t>清水　丈太郎</t>
  </si>
  <si>
    <t>シミズ　ジョウタロウ</t>
  </si>
  <si>
    <t>R005986981</t>
  </si>
  <si>
    <t>清水　聖徳</t>
  </si>
  <si>
    <t>シミズ　セイトク</t>
  </si>
  <si>
    <t>R010579105</t>
  </si>
  <si>
    <t>清水　颯太</t>
  </si>
  <si>
    <t>シミズ　ソウタ</t>
  </si>
  <si>
    <t>R010069898</t>
  </si>
  <si>
    <t>清水　樹生</t>
  </si>
  <si>
    <t>シミズ　タツキ</t>
  </si>
  <si>
    <t>R010604073</t>
  </si>
  <si>
    <t>清水　陽</t>
  </si>
  <si>
    <t>シミズ　ハル</t>
  </si>
  <si>
    <t>R010421576</t>
  </si>
  <si>
    <t>清水　碧倭</t>
  </si>
  <si>
    <t>シミズ　ヘキヤ</t>
  </si>
  <si>
    <t>R010593958</t>
  </si>
  <si>
    <t>清水　瑞樹</t>
  </si>
  <si>
    <t>シミズ　ミズキ</t>
  </si>
  <si>
    <t>R010576361</t>
  </si>
  <si>
    <t>下久保　魅兎</t>
  </si>
  <si>
    <t>シモクボ　ミント</t>
  </si>
  <si>
    <t>R010653593</t>
  </si>
  <si>
    <t>下郡　瑛人</t>
  </si>
  <si>
    <t>シモゴオリ　エイト</t>
  </si>
  <si>
    <t>R010653602</t>
  </si>
  <si>
    <t>下郡　遼平</t>
  </si>
  <si>
    <t>シモゴオリ　リョウヘイ</t>
  </si>
  <si>
    <t>R010576515</t>
  </si>
  <si>
    <t>下畑　凜太朗</t>
  </si>
  <si>
    <t>シモハタ　リンタロウ</t>
  </si>
  <si>
    <t>R010642036</t>
  </si>
  <si>
    <t>下山　直也</t>
  </si>
  <si>
    <t>シモヤマ　ナオヤ</t>
  </si>
  <si>
    <t>R010642092</t>
  </si>
  <si>
    <t>下山　凌河</t>
  </si>
  <si>
    <t>シモヤマ　リョウガ</t>
  </si>
  <si>
    <t>R010453576</t>
  </si>
  <si>
    <t>周藤　彼方</t>
  </si>
  <si>
    <t>シュウトウ　カナタ</t>
  </si>
  <si>
    <t>R010579135</t>
  </si>
  <si>
    <t>周藤　光輝</t>
  </si>
  <si>
    <t>シュウトウ　ミツキ</t>
  </si>
  <si>
    <t>R010465612</t>
  </si>
  <si>
    <t>首藤　貴志</t>
  </si>
  <si>
    <t>シュトウ　タカシ</t>
  </si>
  <si>
    <t>R010581167</t>
  </si>
  <si>
    <t>首藤　崇浩</t>
  </si>
  <si>
    <t>R010352940</t>
  </si>
  <si>
    <t>首藤　保</t>
  </si>
  <si>
    <t>シュトウ　タモツ</t>
  </si>
  <si>
    <t>R008643838</t>
  </si>
  <si>
    <t>首藤　翼</t>
  </si>
  <si>
    <t>シュトウ　ツバサ</t>
  </si>
  <si>
    <t>R010642053</t>
  </si>
  <si>
    <t>首藤　栄暁</t>
  </si>
  <si>
    <t>シュトウ　トモアキ</t>
  </si>
  <si>
    <t>R007002645</t>
  </si>
  <si>
    <t>首藤　晴美</t>
  </si>
  <si>
    <t>シュトウ　ハルミ</t>
  </si>
  <si>
    <t>R010354788</t>
  </si>
  <si>
    <t>首藤　弘樹</t>
  </si>
  <si>
    <t>シュトウ　ヒロキ</t>
  </si>
  <si>
    <t>R010376326</t>
  </si>
  <si>
    <t>首藤　博貴</t>
  </si>
  <si>
    <t>R010604764</t>
  </si>
  <si>
    <t>首藤　大夢</t>
  </si>
  <si>
    <t>シュトウ　ヒロム</t>
  </si>
  <si>
    <t>R010376340</t>
  </si>
  <si>
    <t>首藤　正叡</t>
  </si>
  <si>
    <t>シュトウ　マサユキ</t>
  </si>
  <si>
    <t>R010432614</t>
  </si>
  <si>
    <t>首藤　唯斗</t>
  </si>
  <si>
    <t>シュトウ　ユイト</t>
  </si>
  <si>
    <t>R010613635</t>
  </si>
  <si>
    <t>首藤　洋司</t>
  </si>
  <si>
    <t>シュトウ　ヨウジ</t>
  </si>
  <si>
    <t>R010656673</t>
  </si>
  <si>
    <t>首藤　諒</t>
  </si>
  <si>
    <t>シュトウ　リョウ</t>
  </si>
  <si>
    <t>R010356122</t>
  </si>
  <si>
    <t>首藤　航</t>
  </si>
  <si>
    <t>シュトウ　ワタル</t>
  </si>
  <si>
    <t>R010162994</t>
  </si>
  <si>
    <t>首藤　光翼</t>
  </si>
  <si>
    <t>シュドウ　コウタ</t>
  </si>
  <si>
    <t>R005527362</t>
  </si>
  <si>
    <t>庄司　誠</t>
  </si>
  <si>
    <t>ショウジ　マコト</t>
  </si>
  <si>
    <t>R009460533</t>
  </si>
  <si>
    <t>庄部　正人</t>
  </si>
  <si>
    <t>ショウブ　マサト</t>
  </si>
  <si>
    <t>R010546309</t>
  </si>
  <si>
    <t>庄部　優汰</t>
  </si>
  <si>
    <t>ショウブ　ユウタ</t>
  </si>
  <si>
    <t>R010445243</t>
  </si>
  <si>
    <t>庄司　壮甫</t>
  </si>
  <si>
    <t>シヨウジ　ソウスケ</t>
  </si>
  <si>
    <t>R010588864</t>
  </si>
  <si>
    <t>白石　海</t>
  </si>
  <si>
    <t>シライシ　カイ</t>
  </si>
  <si>
    <t>R010352971</t>
  </si>
  <si>
    <t>白石　琥太郎</t>
  </si>
  <si>
    <t>シライシ　コタロウ</t>
  </si>
  <si>
    <t>R010599602</t>
  </si>
  <si>
    <t>白石　匠皇</t>
  </si>
  <si>
    <t>シライシ　ショウ</t>
  </si>
  <si>
    <t>R010259417</t>
  </si>
  <si>
    <t>白岩　孝啓</t>
  </si>
  <si>
    <t>シライワ　タカヒロ</t>
  </si>
  <si>
    <t>R010579134</t>
  </si>
  <si>
    <t>白岩　裕晟</t>
  </si>
  <si>
    <t>シライワ　ユウセイ</t>
  </si>
  <si>
    <t>R010613622</t>
  </si>
  <si>
    <t>白鞘　真彦</t>
  </si>
  <si>
    <t>シラサヤ　マサヒコ</t>
  </si>
  <si>
    <t>R010354662</t>
  </si>
  <si>
    <t>秦　琥太郎</t>
  </si>
  <si>
    <t>シン　コタロウ</t>
  </si>
  <si>
    <t>R010631826</t>
  </si>
  <si>
    <t>秦　沙也香</t>
  </si>
  <si>
    <t>シン　サヤカ</t>
  </si>
  <si>
    <t>R010306453</t>
  </si>
  <si>
    <t>秦　翔平</t>
  </si>
  <si>
    <t>シン　ショウヘイ</t>
  </si>
  <si>
    <t>R010444489</t>
  </si>
  <si>
    <t>秦　拓真</t>
  </si>
  <si>
    <t>シン　タクマ</t>
  </si>
  <si>
    <t>R010579104</t>
  </si>
  <si>
    <t>秦　涼介</t>
  </si>
  <si>
    <t>シン　リョウスケ</t>
  </si>
  <si>
    <t>R010631814</t>
  </si>
  <si>
    <t>新宅　詩織</t>
  </si>
  <si>
    <t>シンタク　シオリ</t>
  </si>
  <si>
    <t>R010576532</t>
  </si>
  <si>
    <t>新谷　天斗</t>
  </si>
  <si>
    <t>シンタニ　タカト</t>
  </si>
  <si>
    <t>R010576525</t>
  </si>
  <si>
    <t>新立　龍真</t>
  </si>
  <si>
    <t>シンダテ　リュウシン</t>
  </si>
  <si>
    <t>R010546283</t>
  </si>
  <si>
    <t>新納　奏太</t>
  </si>
  <si>
    <t>シンノウ　カナタ</t>
  </si>
  <si>
    <t>R010613615</t>
  </si>
  <si>
    <t>新納　信彦</t>
  </si>
  <si>
    <t>シンノウ　ノブヒコ</t>
  </si>
  <si>
    <t>R010579086</t>
  </si>
  <si>
    <t>新原　遥翔</t>
  </si>
  <si>
    <t>シンバル　ハルト</t>
  </si>
  <si>
    <t>R010347368</t>
  </si>
  <si>
    <t>新原　優翔</t>
  </si>
  <si>
    <t>シンバル　マサト</t>
  </si>
  <si>
    <t>R009567863</t>
  </si>
  <si>
    <t>新村　亘未</t>
  </si>
  <si>
    <t>シンムラ　ワタル</t>
  </si>
  <si>
    <t>R010602913</t>
  </si>
  <si>
    <t>新屋　怜乃音</t>
  </si>
  <si>
    <t>シンヤ　レノン</t>
  </si>
  <si>
    <t>R010579129</t>
  </si>
  <si>
    <t>軸丸　生己</t>
  </si>
  <si>
    <t>ジクマル　ウミ</t>
  </si>
  <si>
    <t>R006123774</t>
  </si>
  <si>
    <t>軸丸　耕平</t>
  </si>
  <si>
    <t>ジクマル　コウヘイ</t>
  </si>
  <si>
    <t>R010653564</t>
  </si>
  <si>
    <t>軸丸　大輝</t>
  </si>
  <si>
    <t>ジクマル　ダイキ</t>
  </si>
  <si>
    <t>R010602911</t>
  </si>
  <si>
    <t>城　翔輝</t>
  </si>
  <si>
    <t>ジョウ　ショウキ</t>
  </si>
  <si>
    <t>R010656679</t>
  </si>
  <si>
    <t>城　大雅</t>
  </si>
  <si>
    <t>ジョウ　ハルマサ</t>
  </si>
  <si>
    <t>R010579073</t>
  </si>
  <si>
    <t>城野　大翔</t>
  </si>
  <si>
    <t>ジョウノ　ヒロト</t>
  </si>
  <si>
    <t>R010347371</t>
  </si>
  <si>
    <t>城野　雅翔</t>
  </si>
  <si>
    <t>ジョウノ　マサト</t>
  </si>
  <si>
    <t>R010576518</t>
  </si>
  <si>
    <t>陣内　拓海</t>
  </si>
  <si>
    <t>ジンナイ　タクミ</t>
  </si>
  <si>
    <t>R007959167</t>
  </si>
  <si>
    <t>須浦　清隆</t>
  </si>
  <si>
    <t>スウラ　キヨタカ</t>
  </si>
  <si>
    <t>R010449909</t>
  </si>
  <si>
    <t>末　洸樹</t>
  </si>
  <si>
    <t>スエ　ヒロキ</t>
  </si>
  <si>
    <t>R010189331</t>
  </si>
  <si>
    <t>末崎　智也</t>
  </si>
  <si>
    <t>スエザキ　トモヤ</t>
  </si>
  <si>
    <t>R010579052</t>
  </si>
  <si>
    <t>末﨑　賢光</t>
  </si>
  <si>
    <t>スエザキ　マサミ</t>
  </si>
  <si>
    <t>R010586716</t>
  </si>
  <si>
    <t>末竹　快健</t>
  </si>
  <si>
    <t>スエタケ　カイケン</t>
  </si>
  <si>
    <t>R001257711</t>
  </si>
  <si>
    <t>末綱　航大</t>
  </si>
  <si>
    <t>スエツナ　コウダイ</t>
  </si>
  <si>
    <t>R006148463</t>
  </si>
  <si>
    <t>末綱　太舟</t>
  </si>
  <si>
    <t>スエツナ　タイシュウ</t>
  </si>
  <si>
    <t>R010546310</t>
  </si>
  <si>
    <t>末綱　倖成</t>
  </si>
  <si>
    <t>スエツナ　ユキナリ</t>
  </si>
  <si>
    <t>R009545995</t>
  </si>
  <si>
    <t>末永　成久</t>
  </si>
  <si>
    <t>スエナガ　ナルヒサ</t>
  </si>
  <si>
    <t>R010552569</t>
  </si>
  <si>
    <t>末成　隼</t>
  </si>
  <si>
    <t>スエナリ　シュン</t>
  </si>
  <si>
    <t>R010546311</t>
  </si>
  <si>
    <t>末弘　智亮</t>
  </si>
  <si>
    <t>スエヒロ　トモアキ</t>
  </si>
  <si>
    <t>R010546318</t>
  </si>
  <si>
    <t>末元　隼太</t>
  </si>
  <si>
    <t>スエモト　シュンタ</t>
  </si>
  <si>
    <t>R010390421</t>
  </si>
  <si>
    <t>菅　左京</t>
  </si>
  <si>
    <t>スガ　サキョウ</t>
  </si>
  <si>
    <t>R010588862</t>
  </si>
  <si>
    <t>菅　晴稀</t>
  </si>
  <si>
    <t>スガ　ハルキ</t>
  </si>
  <si>
    <t>R010579127</t>
  </si>
  <si>
    <t>菅　陽翔</t>
  </si>
  <si>
    <t>スガ　ハルト</t>
  </si>
  <si>
    <t>R010542209</t>
  </si>
  <si>
    <t>菅田　和真</t>
  </si>
  <si>
    <t>スガタ　カズマ</t>
  </si>
  <si>
    <t>R010453579</t>
  </si>
  <si>
    <t>菅原　颯太</t>
  </si>
  <si>
    <t>スガハラ　ハヤタ</t>
  </si>
  <si>
    <t>R010642042</t>
  </si>
  <si>
    <t>須川　愛琉</t>
  </si>
  <si>
    <t>スガワ　アイル</t>
  </si>
  <si>
    <t>R008798004</t>
  </si>
  <si>
    <t>杉崎　誠</t>
  </si>
  <si>
    <t>スギサキ　マコト</t>
  </si>
  <si>
    <t>R010599611</t>
  </si>
  <si>
    <t>スギタ　カケル</t>
  </si>
  <si>
    <t>R005528103</t>
  </si>
  <si>
    <t>杉野　岳士</t>
  </si>
  <si>
    <t>スギノ　タケシ</t>
  </si>
  <si>
    <t>R006220369</t>
  </si>
  <si>
    <t>杉本　哲太</t>
  </si>
  <si>
    <t>スギモト　テッタ</t>
  </si>
  <si>
    <t>R010281838</t>
  </si>
  <si>
    <t>鈴江　真士</t>
  </si>
  <si>
    <t>スズエ　マナト</t>
  </si>
  <si>
    <t>R010281839</t>
  </si>
  <si>
    <t>鈴江　涼生</t>
  </si>
  <si>
    <t>スズエ　リョウセイ</t>
  </si>
  <si>
    <t>R010214548</t>
  </si>
  <si>
    <t>鈴木　公大</t>
  </si>
  <si>
    <t>スズキ　コウダイ</t>
  </si>
  <si>
    <t>R010642087</t>
  </si>
  <si>
    <t>鈴木　響</t>
  </si>
  <si>
    <t>スズキ　ヒビキ</t>
  </si>
  <si>
    <t>R010465610</t>
  </si>
  <si>
    <t>須藤　聡</t>
  </si>
  <si>
    <t>ストウ　ソウ</t>
  </si>
  <si>
    <t>R010247793</t>
  </si>
  <si>
    <t>須藤　美羽</t>
  </si>
  <si>
    <t>スドウ　ミウ</t>
  </si>
  <si>
    <t>R010603057</t>
  </si>
  <si>
    <t>砂田　竜之介</t>
  </si>
  <si>
    <t>スナダ　リュウノスケ</t>
  </si>
  <si>
    <t>R007959185</t>
  </si>
  <si>
    <t>巣野　哲平</t>
  </si>
  <si>
    <t>スノ　テッペイ</t>
  </si>
  <si>
    <t>R010214540</t>
  </si>
  <si>
    <t>隅田　渚斗</t>
  </si>
  <si>
    <t>スミタ　ナギト</t>
  </si>
  <si>
    <t>R010356124</t>
  </si>
  <si>
    <t>隅田　波希</t>
  </si>
  <si>
    <t>スミタ　ナミキ</t>
  </si>
  <si>
    <t>R010162998</t>
  </si>
  <si>
    <t>圖師　好至朗</t>
  </si>
  <si>
    <t>ズシ　コウシロウ</t>
  </si>
  <si>
    <t>R010576507</t>
  </si>
  <si>
    <t>清家　海佐輝</t>
  </si>
  <si>
    <t>セイケ　ミサキ</t>
  </si>
  <si>
    <t>R003258422</t>
  </si>
  <si>
    <t>関　一昭</t>
  </si>
  <si>
    <t>セキ　カズアキ</t>
  </si>
  <si>
    <t>R001257809</t>
  </si>
  <si>
    <t>関　正二</t>
  </si>
  <si>
    <t>セキ　ショウジ</t>
  </si>
  <si>
    <t>R010352992</t>
  </si>
  <si>
    <t>関　翼</t>
  </si>
  <si>
    <t>セキ　ツバサ</t>
  </si>
  <si>
    <t>R010189267</t>
  </si>
  <si>
    <t>関　雅人</t>
  </si>
  <si>
    <t>セキ　マサト</t>
  </si>
  <si>
    <t>R010576368</t>
  </si>
  <si>
    <t>関谷　昂大</t>
  </si>
  <si>
    <t>セキヤ　コウダイ</t>
  </si>
  <si>
    <t>R010542176</t>
  </si>
  <si>
    <t>関谷　彰太</t>
  </si>
  <si>
    <t>セキヤ　ショウタ</t>
  </si>
  <si>
    <t>R007959750</t>
  </si>
  <si>
    <t>関谷　僚人</t>
  </si>
  <si>
    <t>セキヤ　トモヒト</t>
  </si>
  <si>
    <t>R010354812</t>
  </si>
  <si>
    <t>瀬戸　天我</t>
  </si>
  <si>
    <t>セト　テンガ</t>
  </si>
  <si>
    <t>R010588876</t>
  </si>
  <si>
    <t>膳瀬　晃希</t>
  </si>
  <si>
    <t>ゼンセ　コウキ</t>
  </si>
  <si>
    <t>R010638054</t>
  </si>
  <si>
    <t>副田　大貴</t>
  </si>
  <si>
    <t>ソイダ　マサキ</t>
  </si>
  <si>
    <t>R010613640</t>
  </si>
  <si>
    <t>曽我　昂叶</t>
  </si>
  <si>
    <t>ソガ　タカト</t>
  </si>
  <si>
    <t>R010638092</t>
  </si>
  <si>
    <t>曽我　大樹</t>
  </si>
  <si>
    <t>ソガ　ダイキ</t>
  </si>
  <si>
    <t>R010120162</t>
  </si>
  <si>
    <t>曽根　文武</t>
  </si>
  <si>
    <t>ソネ　フミタケ</t>
  </si>
  <si>
    <t>R001257854</t>
  </si>
  <si>
    <t>曽根崎　照紀</t>
  </si>
  <si>
    <t>ソネザキ　テルキ</t>
  </si>
  <si>
    <t>R005987458</t>
  </si>
  <si>
    <t>曽根田　康寿</t>
  </si>
  <si>
    <t>ソネダ　ヤストシ</t>
  </si>
  <si>
    <t>R010262639</t>
  </si>
  <si>
    <t>園　文来</t>
  </si>
  <si>
    <t>ソノ　アヤト</t>
  </si>
  <si>
    <t>R010306443</t>
  </si>
  <si>
    <t>園田　純直</t>
  </si>
  <si>
    <t>ソノダ　スミタダ</t>
  </si>
  <si>
    <t>R010579152</t>
  </si>
  <si>
    <t>染矢　宏輝</t>
  </si>
  <si>
    <t>ソメヤ　コウキ</t>
  </si>
  <si>
    <t>R010546282</t>
  </si>
  <si>
    <t>染矢　優心</t>
  </si>
  <si>
    <t>ソメヤ　ユウシン</t>
  </si>
  <si>
    <t>R010602918</t>
  </si>
  <si>
    <t>高尾　大興</t>
  </si>
  <si>
    <t>タカオ　ヒロオキ</t>
  </si>
  <si>
    <t>R010579142</t>
  </si>
  <si>
    <t>高岡　心</t>
  </si>
  <si>
    <t>タカオカ　シン</t>
  </si>
  <si>
    <t>R010259428</t>
  </si>
  <si>
    <t>高木　伸</t>
  </si>
  <si>
    <t>タカキ　シン</t>
  </si>
  <si>
    <t>R010465602</t>
  </si>
  <si>
    <t>髙木　大誠</t>
  </si>
  <si>
    <t>タカキ　タイセイ</t>
  </si>
  <si>
    <t>R010546328</t>
  </si>
  <si>
    <t>高木　悠成</t>
  </si>
  <si>
    <t>タカキ　ユウセイ</t>
  </si>
  <si>
    <t>R010593135</t>
  </si>
  <si>
    <t>髙木　涼平</t>
  </si>
  <si>
    <t>タカキ　リョウヘイ</t>
  </si>
  <si>
    <t>R010631824</t>
  </si>
  <si>
    <t>高木　弥亜</t>
  </si>
  <si>
    <t>タカギ　ミア</t>
  </si>
  <si>
    <t>R001257942</t>
  </si>
  <si>
    <t>高倉　一城</t>
  </si>
  <si>
    <t>タカクラ　カズキ</t>
  </si>
  <si>
    <t>R010314802</t>
  </si>
  <si>
    <t>高倉　左京</t>
  </si>
  <si>
    <t>タカクラ　サキョウ</t>
  </si>
  <si>
    <t>R010613606</t>
  </si>
  <si>
    <t>高崎　純之介</t>
  </si>
  <si>
    <t>タカサキ　ジュンノスケ</t>
  </si>
  <si>
    <t>R010638060</t>
  </si>
  <si>
    <t>髙﨑　淳平</t>
  </si>
  <si>
    <t>タカサキ　ジュンペイ</t>
  </si>
  <si>
    <t>R010027898</t>
  </si>
  <si>
    <t>髙瀬　瑛里</t>
  </si>
  <si>
    <t>タカセ　エイリ</t>
  </si>
  <si>
    <t>R010468412</t>
  </si>
  <si>
    <t>高田　雅博</t>
  </si>
  <si>
    <t>タカダ　マサヒロ</t>
  </si>
  <si>
    <t>R010376369</t>
  </si>
  <si>
    <t>高月　隆成</t>
  </si>
  <si>
    <t>タカツキ　リュウセイ</t>
  </si>
  <si>
    <t>R003578487</t>
  </si>
  <si>
    <t>髙野　大輔</t>
  </si>
  <si>
    <t>タカノ　ダイスケ</t>
  </si>
  <si>
    <t>R010642043</t>
  </si>
  <si>
    <t>髙橋　昂希</t>
  </si>
  <si>
    <t>タカハシ　コウキ</t>
  </si>
  <si>
    <t>R008798156</t>
  </si>
  <si>
    <t>高橋　洸介</t>
  </si>
  <si>
    <t>R010579050</t>
  </si>
  <si>
    <t>髙橋　翔空</t>
  </si>
  <si>
    <t>タカハシ　トア</t>
  </si>
  <si>
    <t>R010538314</t>
  </si>
  <si>
    <t>髙橋　陽</t>
  </si>
  <si>
    <t>タカハシ　ハル</t>
  </si>
  <si>
    <t>R010583767</t>
  </si>
  <si>
    <t>高橋　晴</t>
  </si>
  <si>
    <t>R007334924</t>
  </si>
  <si>
    <t>高橋　央明</t>
  </si>
  <si>
    <t>タカハシ　ヒロアキ</t>
  </si>
  <si>
    <t>R010542177</t>
  </si>
  <si>
    <t>高橋　優</t>
  </si>
  <si>
    <t>タカハシ　ユウ</t>
  </si>
  <si>
    <t>R003256062</t>
  </si>
  <si>
    <t>高橋　由資</t>
  </si>
  <si>
    <t>タカハシ　ユウスケ</t>
  </si>
  <si>
    <t>R010642056</t>
  </si>
  <si>
    <t>高橋　由幸</t>
  </si>
  <si>
    <t>タカハシ　ヨシユキ</t>
  </si>
  <si>
    <t>R010604092</t>
  </si>
  <si>
    <t>高橋　遼</t>
  </si>
  <si>
    <t>タカハシ　リョウ</t>
  </si>
  <si>
    <t>R010352959</t>
  </si>
  <si>
    <t>髙橋　涼介</t>
  </si>
  <si>
    <t>タカハシ　リョウスケ</t>
  </si>
  <si>
    <t>R010552540</t>
  </si>
  <si>
    <t>高橋　良太</t>
  </si>
  <si>
    <t>R010546268</t>
  </si>
  <si>
    <t>高畑　星耶</t>
  </si>
  <si>
    <t>タカハタ　セイヤ</t>
  </si>
  <si>
    <t>R010538402</t>
  </si>
  <si>
    <t>高濱　蒼太</t>
  </si>
  <si>
    <t>タカハマ　ソウタ</t>
  </si>
  <si>
    <t>R010240538</t>
  </si>
  <si>
    <t>高原　悠太</t>
  </si>
  <si>
    <t>タカハラ　ユウタ</t>
  </si>
  <si>
    <t>R010546321</t>
  </si>
  <si>
    <t>髙藤　雅留</t>
  </si>
  <si>
    <t>タカフジ　マサル</t>
  </si>
  <si>
    <t>R010588869</t>
  </si>
  <si>
    <t>高松　我空</t>
  </si>
  <si>
    <t>タカマツ　ガイア</t>
  </si>
  <si>
    <t>R010576537</t>
  </si>
  <si>
    <t>高見　ゼン</t>
  </si>
  <si>
    <t>タカミ　ゼン</t>
  </si>
  <si>
    <t>R010583798</t>
  </si>
  <si>
    <t>髙村　悠悟</t>
  </si>
  <si>
    <t>タカムラ　ユウゴ</t>
  </si>
  <si>
    <t>R010538383</t>
  </si>
  <si>
    <t>髙村　龍冴</t>
  </si>
  <si>
    <t>タカムラ　リュウザ</t>
  </si>
  <si>
    <t>R010539274</t>
  </si>
  <si>
    <t>高牟禮　大晃</t>
  </si>
  <si>
    <t>タカムレ　ヒロアキ</t>
  </si>
  <si>
    <t>R010653152</t>
  </si>
  <si>
    <t>髙本　澪奈</t>
  </si>
  <si>
    <t>タカモト　レイナ</t>
  </si>
  <si>
    <t>R010255176</t>
  </si>
  <si>
    <t>高森　宗治</t>
  </si>
  <si>
    <t>タカモリ　ムネハル</t>
  </si>
  <si>
    <t>R010653580</t>
  </si>
  <si>
    <t>髙山　僚太</t>
  </si>
  <si>
    <t>タカヤマ　リョウタ</t>
  </si>
  <si>
    <t>R009533440</t>
  </si>
  <si>
    <t>田上　龍真</t>
  </si>
  <si>
    <t>タガミ　タツマサ</t>
  </si>
  <si>
    <t>R010642055</t>
  </si>
  <si>
    <t>瀧田　凌太</t>
  </si>
  <si>
    <t>タキダ　リョウタ</t>
  </si>
  <si>
    <t>R010259424</t>
  </si>
  <si>
    <t>瀧水　蓮太郎</t>
  </si>
  <si>
    <t>タキミズ　レンタロウ</t>
  </si>
  <si>
    <t>R010538309</t>
  </si>
  <si>
    <t>田口　碧依</t>
  </si>
  <si>
    <t>タグチ　アオイ</t>
  </si>
  <si>
    <t>R010642076</t>
  </si>
  <si>
    <t>武石　健裕</t>
  </si>
  <si>
    <t>タケイシ　タケヒロ</t>
  </si>
  <si>
    <t>R010579113</t>
  </si>
  <si>
    <t>竹内　悠力</t>
  </si>
  <si>
    <t>タケウチ　ユウリ</t>
  </si>
  <si>
    <t>R010396553</t>
  </si>
  <si>
    <t>竹内　璃音</t>
  </si>
  <si>
    <t>タケウチ　リオン</t>
  </si>
  <si>
    <t>R010653162</t>
  </si>
  <si>
    <t>竹尾　理志</t>
  </si>
  <si>
    <t>タケオ　サトシ</t>
  </si>
  <si>
    <t>R010599170</t>
  </si>
  <si>
    <t>竹下　輝</t>
  </si>
  <si>
    <t>タケシタ　テル</t>
  </si>
  <si>
    <t>R010546279</t>
  </si>
  <si>
    <t>竹嶋　優</t>
  </si>
  <si>
    <t>タケシマ　ユウ</t>
  </si>
  <si>
    <t>R010546278</t>
  </si>
  <si>
    <t>竹嶋　凌平</t>
  </si>
  <si>
    <t>タケシマ　リョウヘイ</t>
  </si>
  <si>
    <t>R010642021</t>
  </si>
  <si>
    <t>竹田　皓一</t>
  </si>
  <si>
    <t>タケタ　コウイチ</t>
  </si>
  <si>
    <t>R010576523</t>
  </si>
  <si>
    <t>竹谷　嵩登</t>
  </si>
  <si>
    <t>タケタニ　シュウト</t>
  </si>
  <si>
    <t>R010586322</t>
  </si>
  <si>
    <t>武田　司</t>
  </si>
  <si>
    <t>タケダ　ツカサ</t>
  </si>
  <si>
    <t>R010653574</t>
  </si>
  <si>
    <t>武田　有冴</t>
  </si>
  <si>
    <t>タケダ　ユウゴ</t>
  </si>
  <si>
    <t>R010586318</t>
  </si>
  <si>
    <t>竹友　勝虎</t>
  </si>
  <si>
    <t>タケトモ　カツト</t>
  </si>
  <si>
    <t>R007335127</t>
  </si>
  <si>
    <t>竹中　啓司</t>
  </si>
  <si>
    <t>タケナカ　ケイジ</t>
  </si>
  <si>
    <t>R010396591</t>
  </si>
  <si>
    <t>竹中　太志</t>
  </si>
  <si>
    <t>タケナカ　タイシ</t>
  </si>
  <si>
    <t>R010656681</t>
  </si>
  <si>
    <t>竹永　涼夢</t>
  </si>
  <si>
    <t>タケナガ　リム</t>
  </si>
  <si>
    <t>R010576549</t>
  </si>
  <si>
    <t>竹久　浩夢</t>
  </si>
  <si>
    <t>タケヒサ　ヒロム</t>
  </si>
  <si>
    <t>R010579045</t>
  </si>
  <si>
    <t>武久　文弥</t>
  </si>
  <si>
    <t>タケヒサ　フミヤ</t>
  </si>
  <si>
    <t>R010542181</t>
  </si>
  <si>
    <t>竹本　哲也</t>
  </si>
  <si>
    <t>タケモト　テツヤ</t>
  </si>
  <si>
    <t>R010546332</t>
  </si>
  <si>
    <t>竹本　優希</t>
  </si>
  <si>
    <t>タケモト　ユウキ</t>
  </si>
  <si>
    <t>R010604117</t>
  </si>
  <si>
    <t>竹本　徠愛</t>
  </si>
  <si>
    <t>タケモト　リイナ</t>
  </si>
  <si>
    <t>R010546320</t>
  </si>
  <si>
    <t>田崎　大翔</t>
  </si>
  <si>
    <t>タサキ　ダイト</t>
  </si>
  <si>
    <t>R010599870</t>
  </si>
  <si>
    <t>田崎　斗翔</t>
  </si>
  <si>
    <t>タサキ　トワ</t>
  </si>
  <si>
    <t>R010583760</t>
  </si>
  <si>
    <t>田嶋　勇征</t>
  </si>
  <si>
    <t>タシマ　ユウセイ</t>
  </si>
  <si>
    <t>R010538316</t>
  </si>
  <si>
    <t>田島　李凰</t>
  </si>
  <si>
    <t>タシマ　リオウ</t>
  </si>
  <si>
    <t>R010306446</t>
  </si>
  <si>
    <t>多嶋田　尚平</t>
  </si>
  <si>
    <t>タシマダ　ショウヘイ</t>
  </si>
  <si>
    <t>R004371818</t>
  </si>
  <si>
    <t>田代　修三</t>
  </si>
  <si>
    <t>タシロ　シュウゾウ</t>
  </si>
  <si>
    <t>R010613638</t>
  </si>
  <si>
    <t>田代　真士</t>
  </si>
  <si>
    <t>タシロ　マサシ</t>
  </si>
  <si>
    <t>R010542205</t>
  </si>
  <si>
    <t>但馬　廉</t>
  </si>
  <si>
    <t>タジマ　レン</t>
  </si>
  <si>
    <t>R010604072</t>
  </si>
  <si>
    <t>田尻　智輝</t>
  </si>
  <si>
    <t>タジリ　トモキ</t>
  </si>
  <si>
    <t>R010599171</t>
  </si>
  <si>
    <t>多田　侑槻</t>
  </si>
  <si>
    <t>タダ　アツキ</t>
  </si>
  <si>
    <t>R010642039</t>
  </si>
  <si>
    <t>立川　粋人</t>
  </si>
  <si>
    <t>タツカワ　キヨト</t>
  </si>
  <si>
    <t>R010600676</t>
  </si>
  <si>
    <t>立川　拓樹</t>
  </si>
  <si>
    <t>タツカワ　ヒロキ</t>
  </si>
  <si>
    <t>R010586320</t>
  </si>
  <si>
    <t>立脇　蒼惟</t>
  </si>
  <si>
    <t>タテワキ　アオイ</t>
  </si>
  <si>
    <t>R010162985</t>
  </si>
  <si>
    <t>帯刀　悠</t>
  </si>
  <si>
    <t>タテワキ　ユウ</t>
  </si>
  <si>
    <t>R010638069</t>
  </si>
  <si>
    <t>田中　脩翔</t>
  </si>
  <si>
    <t>タナカ　シュウト</t>
  </si>
  <si>
    <t>R010586730</t>
  </si>
  <si>
    <t>田中　大雅</t>
  </si>
  <si>
    <t>タナカ　タイガ</t>
  </si>
  <si>
    <t>R010638055</t>
  </si>
  <si>
    <t>田中　誠</t>
  </si>
  <si>
    <t>タナカ　マコト</t>
  </si>
  <si>
    <t>R010576512</t>
  </si>
  <si>
    <t>田中　優佑</t>
  </si>
  <si>
    <t>R010056104</t>
  </si>
  <si>
    <t>田中　雄大</t>
  </si>
  <si>
    <t>タナカ　ユウダイ</t>
  </si>
  <si>
    <t>R010538395</t>
  </si>
  <si>
    <t>田中　悠陽</t>
  </si>
  <si>
    <t>タナカ　ユウヒ</t>
  </si>
  <si>
    <t>R010599187</t>
  </si>
  <si>
    <t>田中　裕也</t>
  </si>
  <si>
    <t>タナカ　ユウヤ</t>
  </si>
  <si>
    <t>R010546335</t>
  </si>
  <si>
    <t>田中　琉偉</t>
  </si>
  <si>
    <t>タナカ　ルイ</t>
  </si>
  <si>
    <t>R010631820</t>
  </si>
  <si>
    <t>田中　蓮華</t>
  </si>
  <si>
    <t>タナカ　レンカ</t>
  </si>
  <si>
    <t>R010576511</t>
  </si>
  <si>
    <t>田中　廉人</t>
  </si>
  <si>
    <t>タナカ　レント</t>
  </si>
  <si>
    <t>R010653164</t>
  </si>
  <si>
    <t>田部　葵空</t>
  </si>
  <si>
    <t>タナベ　キラ</t>
  </si>
  <si>
    <t>R010638046</t>
  </si>
  <si>
    <t>田邉　研昇</t>
  </si>
  <si>
    <t>タナベ　ケント</t>
  </si>
  <si>
    <t>R010538400</t>
  </si>
  <si>
    <t>田辺　逞登</t>
  </si>
  <si>
    <t>タナベ　タクト</t>
  </si>
  <si>
    <t>R010538404</t>
  </si>
  <si>
    <t>田邉　秀和</t>
  </si>
  <si>
    <t>タナベ　ヒデカズ</t>
  </si>
  <si>
    <t>R007728503</t>
  </si>
  <si>
    <t>田邊　政治</t>
  </si>
  <si>
    <t>タナベ　マサハル</t>
  </si>
  <si>
    <t>R010599181</t>
  </si>
  <si>
    <t>谷　竜之介</t>
  </si>
  <si>
    <t>タニ　リュウノスケ</t>
  </si>
  <si>
    <t>R010542175</t>
  </si>
  <si>
    <t>谷川　勝利</t>
  </si>
  <si>
    <t>タニガワ　カツトシ</t>
  </si>
  <si>
    <t>R010444515</t>
  </si>
  <si>
    <t>谷川　滉樹</t>
  </si>
  <si>
    <t>タニガワ　コウキ</t>
  </si>
  <si>
    <t>R008798484</t>
  </si>
  <si>
    <t>谷川　潤弥</t>
  </si>
  <si>
    <t>タニガワ　ジュンヤ</t>
  </si>
  <si>
    <t>R010546271</t>
  </si>
  <si>
    <t>谷口　流星心</t>
  </si>
  <si>
    <t>タニグチ　スバル</t>
  </si>
  <si>
    <t>R010540026</t>
  </si>
  <si>
    <t>谷口　大将</t>
  </si>
  <si>
    <t>タニグチ　ダイスケ</t>
  </si>
  <si>
    <t>R010601887</t>
  </si>
  <si>
    <t>谷口　凛</t>
  </si>
  <si>
    <t>タニグチ　リン</t>
  </si>
  <si>
    <t>R010214471</t>
  </si>
  <si>
    <t>田野　愛華</t>
  </si>
  <si>
    <t>タノ　アイカ</t>
  </si>
  <si>
    <t>R010167790</t>
  </si>
  <si>
    <t>田野　翔大</t>
  </si>
  <si>
    <t>タノ　ショウタ</t>
  </si>
  <si>
    <t>R010391947</t>
  </si>
  <si>
    <t>田畑　篤郎</t>
  </si>
  <si>
    <t>タバタ　アツロウ</t>
  </si>
  <si>
    <t>R010576528</t>
  </si>
  <si>
    <t>田端　大夢</t>
  </si>
  <si>
    <t>タバタ　ヒロム</t>
  </si>
  <si>
    <t>R010579157</t>
  </si>
  <si>
    <t>玉井　祐彰</t>
  </si>
  <si>
    <t>タマイ　ヨシアキ</t>
  </si>
  <si>
    <t>R010604095</t>
  </si>
  <si>
    <t>玉正　龍蒼</t>
  </si>
  <si>
    <t>タマショウ　リュウソウ</t>
  </si>
  <si>
    <t>R010600674</t>
  </si>
  <si>
    <t>玉永　史春</t>
  </si>
  <si>
    <t>タマナガ　フミハル</t>
  </si>
  <si>
    <t>R010549368</t>
  </si>
  <si>
    <t>田村　音羽</t>
  </si>
  <si>
    <t>タムラ　オトハ</t>
  </si>
  <si>
    <t>R010281809</t>
  </si>
  <si>
    <t>田村　拓也</t>
  </si>
  <si>
    <t>タムラ　タクヤ</t>
  </si>
  <si>
    <t>R010576562</t>
  </si>
  <si>
    <t>田村　莉生</t>
  </si>
  <si>
    <t>タムラ　リオ</t>
  </si>
  <si>
    <t>R010588878</t>
  </si>
  <si>
    <t>田村　蓮人</t>
  </si>
  <si>
    <t>タムラ　レント</t>
  </si>
  <si>
    <t>R001251753</t>
  </si>
  <si>
    <t>ダテ　ヨウスケ</t>
  </si>
  <si>
    <t>R010546333</t>
  </si>
  <si>
    <t>壇　直助</t>
  </si>
  <si>
    <t>ダン　ナオスケ</t>
  </si>
  <si>
    <t>R010642091</t>
  </si>
  <si>
    <t>ちぇ　ちんよる</t>
  </si>
  <si>
    <t>チェ　ヂンヨル</t>
  </si>
  <si>
    <t>R010513889</t>
  </si>
  <si>
    <t>近砂　覚志</t>
  </si>
  <si>
    <t>チカスナ　サトシ</t>
  </si>
  <si>
    <t>R010579074</t>
  </si>
  <si>
    <t>千原　天聖</t>
  </si>
  <si>
    <t>チハラ　テンセイ</t>
  </si>
  <si>
    <t>R010613613</t>
  </si>
  <si>
    <t>地原　陽斗</t>
  </si>
  <si>
    <t>チハラ　ハルト</t>
  </si>
  <si>
    <t>R010396504</t>
  </si>
  <si>
    <t>忠願寺　慶祐</t>
  </si>
  <si>
    <t>チュウガンジ　ケイスケ</t>
  </si>
  <si>
    <t>R010354820</t>
  </si>
  <si>
    <t>長木　環和</t>
  </si>
  <si>
    <t>チョウキ　カンナ</t>
  </si>
  <si>
    <t>R010546312</t>
  </si>
  <si>
    <t>通正　純之介</t>
  </si>
  <si>
    <t>ツウショウ　ジュンノスケ</t>
  </si>
  <si>
    <t>R010579156</t>
  </si>
  <si>
    <t>司城　大輝</t>
  </si>
  <si>
    <t>ツカサキ　ダイキ</t>
  </si>
  <si>
    <t>R010642085</t>
  </si>
  <si>
    <t>塚﨑　友也</t>
  </si>
  <si>
    <t>ツカザキ　トモヤ</t>
  </si>
  <si>
    <t>R010552542</t>
  </si>
  <si>
    <t>塚崎　春輝</t>
  </si>
  <si>
    <t>ツカザキ　ハルキ</t>
  </si>
  <si>
    <t>R010579062</t>
  </si>
  <si>
    <t>塚野　太心</t>
  </si>
  <si>
    <t>ツカノ　タイシン</t>
  </si>
  <si>
    <t>R010540698</t>
  </si>
  <si>
    <t>塚本　迅平</t>
  </si>
  <si>
    <t>ツカモト　ジンペイ</t>
  </si>
  <si>
    <t>R010631813</t>
  </si>
  <si>
    <t>月元　栞</t>
  </si>
  <si>
    <t>ツキモト　シオリ</t>
  </si>
  <si>
    <t>R010214610</t>
  </si>
  <si>
    <t>津崎　祐二</t>
  </si>
  <si>
    <t>ツザキ　ユウジ</t>
  </si>
  <si>
    <t>R010552563</t>
  </si>
  <si>
    <t>津崎　亮佑</t>
  </si>
  <si>
    <t>ツザキ　リョウスケ</t>
  </si>
  <si>
    <t>R010538312</t>
  </si>
  <si>
    <t>辻　翔貴</t>
  </si>
  <si>
    <t>ツジ　ショウキ</t>
  </si>
  <si>
    <t>R001258491</t>
  </si>
  <si>
    <t>辻　道弘</t>
  </si>
  <si>
    <t>ツジ　ミチヒロ</t>
  </si>
  <si>
    <t>R010093455</t>
  </si>
  <si>
    <t>津田　敬太</t>
  </si>
  <si>
    <t>ツダ　ケイタ</t>
  </si>
  <si>
    <t>R010599599</t>
  </si>
  <si>
    <t>津田　光一</t>
  </si>
  <si>
    <t>ツダ　コウイチ</t>
  </si>
  <si>
    <t>R010583801</t>
  </si>
  <si>
    <t>土屋　慶悟</t>
  </si>
  <si>
    <t>ツチヤ　ケイゴ</t>
  </si>
  <si>
    <t>R010599174</t>
  </si>
  <si>
    <t>土屋　毅留</t>
  </si>
  <si>
    <t>ツチヤ　タケル</t>
  </si>
  <si>
    <t>R010189345</t>
  </si>
  <si>
    <t>筒井　愛</t>
  </si>
  <si>
    <t>ツツイ　アイ</t>
  </si>
  <si>
    <t>R010579144</t>
  </si>
  <si>
    <t>筒井　遥斗</t>
  </si>
  <si>
    <t>ツツイ　ハルト</t>
  </si>
  <si>
    <t>R010583781</t>
  </si>
  <si>
    <t>筒井　大翔</t>
  </si>
  <si>
    <t>R008360148</t>
  </si>
  <si>
    <t>堤　哲郎</t>
  </si>
  <si>
    <t>ツツミ　テツロウ</t>
  </si>
  <si>
    <t>R010638081</t>
  </si>
  <si>
    <t>都築　宗佑</t>
  </si>
  <si>
    <t>ツヅキ　ソウスケ</t>
  </si>
  <si>
    <t>R010552566</t>
  </si>
  <si>
    <t>都築　正虎</t>
  </si>
  <si>
    <t>ツヅキ　マサトラ</t>
  </si>
  <si>
    <t>R008651794</t>
  </si>
  <si>
    <t>都竹　創</t>
  </si>
  <si>
    <t>ツヅク　ハジメ</t>
  </si>
  <si>
    <t>R005405723</t>
  </si>
  <si>
    <t>恒松　和也</t>
  </si>
  <si>
    <t>ツネマツ　カズヤ</t>
  </si>
  <si>
    <t>R006937089</t>
  </si>
  <si>
    <t>津守　翔太</t>
  </si>
  <si>
    <t>ツモリ　ショウタ</t>
  </si>
  <si>
    <t>R010538394</t>
  </si>
  <si>
    <t>鶴河　翔太</t>
  </si>
  <si>
    <t>ツルカワ　ショウタ</t>
  </si>
  <si>
    <t>R010552530</t>
  </si>
  <si>
    <t>鶴田　翔一</t>
  </si>
  <si>
    <t>ツルタ　ショウイチ</t>
  </si>
  <si>
    <t>R010538399</t>
  </si>
  <si>
    <t>鶴原　聖季</t>
  </si>
  <si>
    <t>ツルハラ　イブキ</t>
  </si>
  <si>
    <t>R010583763</t>
  </si>
  <si>
    <t>鶴原　大斗</t>
  </si>
  <si>
    <t>ツルハラ　オト</t>
  </si>
  <si>
    <t>R010444506</t>
  </si>
  <si>
    <t>鶴原　楓也</t>
  </si>
  <si>
    <t>ツルハラ　フウヤ</t>
  </si>
  <si>
    <t>R010653158</t>
  </si>
  <si>
    <t>鄭　理紗</t>
  </si>
  <si>
    <t>テイ　リサ</t>
  </si>
  <si>
    <t>R010656674</t>
  </si>
  <si>
    <t>手嶋　純也</t>
  </si>
  <si>
    <t>テシマ　ジュンヤ</t>
  </si>
  <si>
    <t>R010604074</t>
  </si>
  <si>
    <t>寺坂　玲人</t>
  </si>
  <si>
    <t>テラサカ　レオト</t>
  </si>
  <si>
    <t>R010583792</t>
  </si>
  <si>
    <t>寺田　健太郎</t>
  </si>
  <si>
    <t>テラダ　ケンタロウ</t>
  </si>
  <si>
    <t>R001258613</t>
  </si>
  <si>
    <t>出口　功</t>
  </si>
  <si>
    <t>デグチ　イサオ</t>
  </si>
  <si>
    <t>R010583759</t>
  </si>
  <si>
    <t>出口　湧也</t>
  </si>
  <si>
    <t>デグチ　ユウヤ</t>
  </si>
  <si>
    <t>R010579148</t>
  </si>
  <si>
    <t>戸井　淳太</t>
  </si>
  <si>
    <t>トイ　ジュンタ</t>
  </si>
  <si>
    <t>R010542189</t>
  </si>
  <si>
    <t>藤内　勇一朗</t>
  </si>
  <si>
    <t>トウナイ　ユイチロウ</t>
  </si>
  <si>
    <t>R010542168</t>
  </si>
  <si>
    <t>時松　辰行</t>
  </si>
  <si>
    <t>トキマツ　タツユキ</t>
  </si>
  <si>
    <t>R010093499</t>
  </si>
  <si>
    <t>徳丸　淳治</t>
  </si>
  <si>
    <t>トクマル　ジュンジ</t>
  </si>
  <si>
    <t>R010538380</t>
  </si>
  <si>
    <t>得丸　宗志</t>
  </si>
  <si>
    <t>トクマル　ソウシ</t>
  </si>
  <si>
    <t>R010255154</t>
  </si>
  <si>
    <t>得丸　拓実</t>
  </si>
  <si>
    <t>トクマル　タクミ</t>
  </si>
  <si>
    <t>R010594940</t>
  </si>
  <si>
    <t>徳丸　白空</t>
  </si>
  <si>
    <t>トクマル　ハクア</t>
  </si>
  <si>
    <t>R001258695</t>
  </si>
  <si>
    <t>徳丸　英明</t>
  </si>
  <si>
    <t>トクマル　ヒデアキ</t>
  </si>
  <si>
    <t>R010552560</t>
  </si>
  <si>
    <t>徳丸　聖人</t>
  </si>
  <si>
    <t>トクマル　マサト</t>
  </si>
  <si>
    <t>R001258686</t>
  </si>
  <si>
    <t>得丸　政徳</t>
  </si>
  <si>
    <t>トクマル　マサノリ</t>
  </si>
  <si>
    <t>R010379064</t>
  </si>
  <si>
    <t>都甲　空</t>
  </si>
  <si>
    <t>トゴウ　ソラ</t>
  </si>
  <si>
    <t>R010445854</t>
  </si>
  <si>
    <t>利光　蒼志</t>
  </si>
  <si>
    <t>トシミツ　ソウシ</t>
  </si>
  <si>
    <t>R010159150</t>
  </si>
  <si>
    <t>戸田　汐音</t>
  </si>
  <si>
    <t>トダ　シオン</t>
  </si>
  <si>
    <t>R010046512</t>
  </si>
  <si>
    <t>十時　優介</t>
  </si>
  <si>
    <t>トトキ　ユウスケ</t>
  </si>
  <si>
    <t>R010415910</t>
  </si>
  <si>
    <t>笘川　銀雅</t>
  </si>
  <si>
    <t>トマカワ　ギンガ</t>
  </si>
  <si>
    <t>R001258765</t>
  </si>
  <si>
    <t>富永　佳幸</t>
  </si>
  <si>
    <t>トミナガ　ヨシユキ</t>
  </si>
  <si>
    <t>R010576538</t>
  </si>
  <si>
    <t>友永　秀哉</t>
  </si>
  <si>
    <t>トモナガ　シュウヤ</t>
  </si>
  <si>
    <t>R010415915</t>
  </si>
  <si>
    <t>友永　弥</t>
  </si>
  <si>
    <t>トモナガ　ワタル</t>
  </si>
  <si>
    <t>R010586715</t>
  </si>
  <si>
    <t>友成　勇太朗</t>
  </si>
  <si>
    <t>トモナリ　ユウタロウ</t>
  </si>
  <si>
    <t>R010100678</t>
  </si>
  <si>
    <t>友松　誠二</t>
  </si>
  <si>
    <t>トモマツ　セイジ</t>
  </si>
  <si>
    <t>R010604767</t>
  </si>
  <si>
    <t>豊田　葵</t>
  </si>
  <si>
    <t>トヨダ　アオイ</t>
  </si>
  <si>
    <t>R010448248</t>
  </si>
  <si>
    <t>豊田　颯花</t>
  </si>
  <si>
    <t>トヨダ　サヤカ</t>
  </si>
  <si>
    <t>R003421170</t>
  </si>
  <si>
    <t>豊田　裕司</t>
  </si>
  <si>
    <t>トヨダ　ヒロシ</t>
  </si>
  <si>
    <t>R010546299</t>
  </si>
  <si>
    <t>豊永　優介</t>
  </si>
  <si>
    <t>トヨナガ　ユウスケ</t>
  </si>
  <si>
    <t>R010583766</t>
  </si>
  <si>
    <t>豊福　泰生</t>
  </si>
  <si>
    <t>トヨフク　タイキ</t>
  </si>
  <si>
    <t>R010576557</t>
  </si>
  <si>
    <t>豊本　照仁</t>
  </si>
  <si>
    <t>トヨモト　テルヒト</t>
  </si>
  <si>
    <t>R010586311</t>
  </si>
  <si>
    <t>土井　純音</t>
  </si>
  <si>
    <t>ドイ　アツキ</t>
  </si>
  <si>
    <t>R010576388</t>
  </si>
  <si>
    <t>土居　駿斗</t>
  </si>
  <si>
    <t>ドイ　シュント</t>
  </si>
  <si>
    <t>R010579078</t>
  </si>
  <si>
    <t>内藤　暖</t>
  </si>
  <si>
    <t>ナイトウ　ハル</t>
  </si>
  <si>
    <t>R010576389</t>
  </si>
  <si>
    <t>直野　優斗</t>
  </si>
  <si>
    <t>ナオノ　ユウト</t>
  </si>
  <si>
    <t>R010445845</t>
  </si>
  <si>
    <t>仲　尚樹</t>
  </si>
  <si>
    <t>ナカ　ナオキ</t>
  </si>
  <si>
    <t>R010583791</t>
  </si>
  <si>
    <t>中井　薫</t>
  </si>
  <si>
    <t>ナカイ　カオル</t>
  </si>
  <si>
    <t>R010539280</t>
  </si>
  <si>
    <t>中尾　颯太</t>
  </si>
  <si>
    <t>ナカオ　ソウタ</t>
  </si>
  <si>
    <t>R004793931</t>
  </si>
  <si>
    <t>中川　勝裕</t>
  </si>
  <si>
    <t>ナカガワ　カツヒロ</t>
  </si>
  <si>
    <t>R010579115</t>
  </si>
  <si>
    <t>中川　昂大</t>
  </si>
  <si>
    <t>ナカガワ　コウタ</t>
  </si>
  <si>
    <t>R010583776</t>
  </si>
  <si>
    <t>中川　翔天</t>
  </si>
  <si>
    <t>ナカガワ　トア</t>
  </si>
  <si>
    <t>R001258880</t>
  </si>
  <si>
    <t>中川　俊哉</t>
  </si>
  <si>
    <t>ナカガワ　トシヤ</t>
  </si>
  <si>
    <t>R010581174</t>
  </si>
  <si>
    <t>中川　雄太</t>
  </si>
  <si>
    <t>ナカガワ　ユウタ</t>
  </si>
  <si>
    <t>R010448251</t>
  </si>
  <si>
    <t>中倉　咲姫</t>
  </si>
  <si>
    <t>ナカクラ　サキ</t>
  </si>
  <si>
    <t>R010638064</t>
  </si>
  <si>
    <t>中倉　奏歌</t>
  </si>
  <si>
    <t>ナカクラ　ソウタ</t>
  </si>
  <si>
    <t>R010549363</t>
  </si>
  <si>
    <t>中倉　舞姫</t>
  </si>
  <si>
    <t>ナカクラ　マイ</t>
  </si>
  <si>
    <t>R002530329</t>
  </si>
  <si>
    <t>中島　大成</t>
  </si>
  <si>
    <t>ナカシマ　オオナリ</t>
  </si>
  <si>
    <t>R010162981</t>
  </si>
  <si>
    <t>中島　柊</t>
  </si>
  <si>
    <t>ナカシマ　シュウ</t>
  </si>
  <si>
    <t>R010613608</t>
  </si>
  <si>
    <t>中島　拓郎</t>
  </si>
  <si>
    <t>ナカシマ　タクロウ</t>
  </si>
  <si>
    <t>R010396594</t>
  </si>
  <si>
    <t>中島　忠伸</t>
  </si>
  <si>
    <t>ナカシマ　タダノブ</t>
  </si>
  <si>
    <t>R010167786</t>
  </si>
  <si>
    <t>中島　湧友</t>
  </si>
  <si>
    <t>ナカシマ　ユウト</t>
  </si>
  <si>
    <t>R010546327</t>
  </si>
  <si>
    <t>中島　陸斗</t>
  </si>
  <si>
    <t>ナカシマ　リクト</t>
  </si>
  <si>
    <t>R010579082</t>
  </si>
  <si>
    <t>中島　龍世</t>
  </si>
  <si>
    <t>ナカシマ　リュウセイ</t>
  </si>
  <si>
    <t>R010613614</t>
  </si>
  <si>
    <t>中島　凜久</t>
  </si>
  <si>
    <t>ナカシマ　リンク</t>
  </si>
  <si>
    <t>R010576516</t>
  </si>
  <si>
    <t>中島　壮</t>
  </si>
  <si>
    <t>ナカジマ　ソウ</t>
  </si>
  <si>
    <t>R001258914</t>
  </si>
  <si>
    <t>中嶋　結孝</t>
  </si>
  <si>
    <t>ナカジマ　ユウコウ</t>
  </si>
  <si>
    <t>R010579136</t>
  </si>
  <si>
    <t>中城　篤也</t>
  </si>
  <si>
    <t>ナカジョウ　アツヤ</t>
  </si>
  <si>
    <t>R010653573</t>
  </si>
  <si>
    <t>中園　釉丸</t>
  </si>
  <si>
    <t>ナカゾノ　ユウマル</t>
  </si>
  <si>
    <t>R010653572</t>
  </si>
  <si>
    <t>中園　藍丸</t>
  </si>
  <si>
    <t>ナカゾノ　ランマル</t>
  </si>
  <si>
    <t>R010642024</t>
  </si>
  <si>
    <t>中津留　正三</t>
  </si>
  <si>
    <t>ナカツル　ショウゾウ</t>
  </si>
  <si>
    <t>R010432607</t>
  </si>
  <si>
    <t>中津留　蓮</t>
  </si>
  <si>
    <t>ナカツル　レン</t>
  </si>
  <si>
    <t>R002917412</t>
  </si>
  <si>
    <t>中西　智彦</t>
  </si>
  <si>
    <t>ナカニシ　トモヒコ</t>
  </si>
  <si>
    <t>R010546313</t>
  </si>
  <si>
    <t>中根　漸</t>
  </si>
  <si>
    <t>ナカネ　ゼン</t>
  </si>
  <si>
    <t>R010642072</t>
  </si>
  <si>
    <t>中根　晴希</t>
  </si>
  <si>
    <t>ナカネ　ハルキ</t>
  </si>
  <si>
    <t>R001259038</t>
  </si>
  <si>
    <t>中根　幹雄</t>
  </si>
  <si>
    <t>ナカネ　ミキオ</t>
  </si>
  <si>
    <t>R010281799</t>
  </si>
  <si>
    <t>中野　明</t>
  </si>
  <si>
    <t>ナカノ　アキラ</t>
  </si>
  <si>
    <t>R010581162</t>
  </si>
  <si>
    <t>仲野　翔真</t>
  </si>
  <si>
    <t>ナカノ　ショウマ</t>
  </si>
  <si>
    <t>R010542202</t>
  </si>
  <si>
    <t>中野　匠</t>
  </si>
  <si>
    <t>ナカノ　タクミ</t>
  </si>
  <si>
    <t>R001259056</t>
  </si>
  <si>
    <t>中野　俊宏</t>
  </si>
  <si>
    <t>ナカノ　トシヒロ</t>
  </si>
  <si>
    <t>R010586304</t>
  </si>
  <si>
    <t>中野　友晶</t>
  </si>
  <si>
    <t>ナカノ　トモアキ</t>
  </si>
  <si>
    <t>R010093448</t>
  </si>
  <si>
    <t>中野　智博</t>
  </si>
  <si>
    <t>ナカノ　トモヒロ</t>
  </si>
  <si>
    <t>R010078598</t>
  </si>
  <si>
    <t>中野　浩志</t>
  </si>
  <si>
    <t>ナカノ　ヒロシ</t>
  </si>
  <si>
    <t>R010593968</t>
  </si>
  <si>
    <t>仲野　雅貴</t>
  </si>
  <si>
    <t>ナカノ　マサキ</t>
  </si>
  <si>
    <t>R010576574</t>
  </si>
  <si>
    <t>中野　洸嘉</t>
  </si>
  <si>
    <t>ナカノ　ミツキ</t>
  </si>
  <si>
    <t>R010281853</t>
  </si>
  <si>
    <t>中野　竜太</t>
  </si>
  <si>
    <t>ナカノ　リュウタ</t>
  </si>
  <si>
    <t>R006574394</t>
  </si>
  <si>
    <t>中畑　光宏</t>
  </si>
  <si>
    <t>ナカハタ　ミツヒロ</t>
  </si>
  <si>
    <t>R010396575</t>
  </si>
  <si>
    <t>中原　壱春</t>
  </si>
  <si>
    <t>ナカハラ　イチハル</t>
  </si>
  <si>
    <t>R010546291</t>
  </si>
  <si>
    <t>中原　笙</t>
  </si>
  <si>
    <t>ナカハラ　ショウ</t>
  </si>
  <si>
    <t>R010576527</t>
  </si>
  <si>
    <t>中原　拓海</t>
  </si>
  <si>
    <t>ナカハラ　タクミ</t>
  </si>
  <si>
    <t>R001251896</t>
  </si>
  <si>
    <t>中間　敏彦</t>
  </si>
  <si>
    <t>ナカマ　トシヒコ</t>
  </si>
  <si>
    <t>R010604118</t>
  </si>
  <si>
    <t>中溝　桃</t>
  </si>
  <si>
    <t>ナカミゾ　サオリ</t>
  </si>
  <si>
    <t>R010354814</t>
  </si>
  <si>
    <t>中溝　遥</t>
  </si>
  <si>
    <t>ナカミゾ　ハル</t>
  </si>
  <si>
    <t>R010016109</t>
  </si>
  <si>
    <t>仲村　晃和</t>
  </si>
  <si>
    <t>ナカムラ　アキト</t>
  </si>
  <si>
    <t>R010538378</t>
  </si>
  <si>
    <t>中村　海晴</t>
  </si>
  <si>
    <t>ナカムラ　カイセイ</t>
  </si>
  <si>
    <t>R010642059</t>
  </si>
  <si>
    <t>中村　紘史朗</t>
  </si>
  <si>
    <t>ナカムラ　コウシロウ</t>
  </si>
  <si>
    <t>R010586305</t>
  </si>
  <si>
    <t>中村　昊陽</t>
  </si>
  <si>
    <t>ナカムラ　コウヨウ</t>
  </si>
  <si>
    <t>R003316948</t>
  </si>
  <si>
    <t>中村　冴里</t>
  </si>
  <si>
    <t>ナカムラ　サエリ</t>
  </si>
  <si>
    <t>R010642084</t>
  </si>
  <si>
    <t>中村　昇</t>
  </si>
  <si>
    <t>ナカムラ　ショウ</t>
  </si>
  <si>
    <t>R010576524</t>
  </si>
  <si>
    <t>中村　尚英</t>
  </si>
  <si>
    <t>ナカムラ　ショウエイ</t>
  </si>
  <si>
    <t>R010467694</t>
  </si>
  <si>
    <t>中邑　惺良</t>
  </si>
  <si>
    <t>ナカムラ　セラ</t>
  </si>
  <si>
    <t>R010432643</t>
  </si>
  <si>
    <t>中村　奏太</t>
  </si>
  <si>
    <t>ナカムラ　ソウタ</t>
  </si>
  <si>
    <t>R009197585</t>
  </si>
  <si>
    <t>中村　智美</t>
  </si>
  <si>
    <t>ナカムラ　トモミ</t>
  </si>
  <si>
    <t>R010599608</t>
  </si>
  <si>
    <t>仲村　晃瑠</t>
  </si>
  <si>
    <t>ナカムラ　ヒカル</t>
  </si>
  <si>
    <t>R001251911</t>
  </si>
  <si>
    <t>中村　真彦</t>
  </si>
  <si>
    <t>ナカムラ　マサヒコ</t>
  </si>
  <si>
    <t>R010444500</t>
  </si>
  <si>
    <t>中村　洋三</t>
  </si>
  <si>
    <t>ナカムラ　ヨウゾウ</t>
  </si>
  <si>
    <t>R010576561</t>
  </si>
  <si>
    <t>中村　亮汰</t>
  </si>
  <si>
    <t>ナカムラ　リョウタ</t>
  </si>
  <si>
    <t>R010448938</t>
  </si>
  <si>
    <t>中村　怜音</t>
  </si>
  <si>
    <t>ナカムラ　レオン</t>
  </si>
  <si>
    <t>R010538407</t>
  </si>
  <si>
    <t>中谷　翔</t>
  </si>
  <si>
    <t>ナカヤ　ショウ</t>
  </si>
  <si>
    <t>R010376280</t>
  </si>
  <si>
    <t>中渡瀬　真樹</t>
  </si>
  <si>
    <t>ナカワタセ　マキ</t>
  </si>
  <si>
    <t>R010352943</t>
  </si>
  <si>
    <t>永井　秀</t>
  </si>
  <si>
    <t>ナガイ　シュウ</t>
  </si>
  <si>
    <t>R010240580</t>
  </si>
  <si>
    <t>永井　智大</t>
  </si>
  <si>
    <t>ナガイ　トモヒロ</t>
  </si>
  <si>
    <t>R010546316</t>
  </si>
  <si>
    <t>永井　陽</t>
  </si>
  <si>
    <t>ナガイ　ハル</t>
  </si>
  <si>
    <t>R010538398</t>
  </si>
  <si>
    <t>長井　瑠之介</t>
  </si>
  <si>
    <t>ナガイ　リュウノスケ</t>
  </si>
  <si>
    <t>R010214609</t>
  </si>
  <si>
    <t>長尾　浩希</t>
  </si>
  <si>
    <t>ナガオ　コウキ</t>
  </si>
  <si>
    <t>R010586725</t>
  </si>
  <si>
    <t>長尾　俊汰</t>
  </si>
  <si>
    <t>ナガオ　シュンタ</t>
  </si>
  <si>
    <t>R010281817</t>
  </si>
  <si>
    <t>永尾　透</t>
  </si>
  <si>
    <t>ナガオ　トオル</t>
  </si>
  <si>
    <t>R010581159</t>
  </si>
  <si>
    <t>永尾　美保</t>
  </si>
  <si>
    <t>ナガオ　ミホ</t>
  </si>
  <si>
    <t>R010376366</t>
  </si>
  <si>
    <t>長岡　範</t>
  </si>
  <si>
    <t>ナガオカ　ススム</t>
  </si>
  <si>
    <t>R010448231</t>
  </si>
  <si>
    <t>永岡　才拓</t>
  </si>
  <si>
    <t>ナガオカ　タカヒロ</t>
  </si>
  <si>
    <t>R010445848</t>
  </si>
  <si>
    <t>長岡　巧磨</t>
  </si>
  <si>
    <t>ナガオカ　タクマ</t>
  </si>
  <si>
    <t>R010465608</t>
  </si>
  <si>
    <t>長岡　大介</t>
  </si>
  <si>
    <t>ナガオカ　ダイスケ</t>
  </si>
  <si>
    <t>R010586309</t>
  </si>
  <si>
    <t>長瀬　陽基</t>
  </si>
  <si>
    <t>ナガセ　ハルキ</t>
  </si>
  <si>
    <t>R010642080</t>
  </si>
  <si>
    <t>長田　賢昇</t>
  </si>
  <si>
    <t>ナガタ　ケンショウ</t>
  </si>
  <si>
    <t>R010581175</t>
  </si>
  <si>
    <t>長田　昂大</t>
  </si>
  <si>
    <t>ナガタ　コウダイ</t>
  </si>
  <si>
    <t>R010586319</t>
  </si>
  <si>
    <t>長田　遥蒼</t>
  </si>
  <si>
    <t>ナガタ　トア</t>
  </si>
  <si>
    <t>R010546277</t>
  </si>
  <si>
    <t>永田　悠一郎</t>
  </si>
  <si>
    <t>ナガタ　ユウイチロウ</t>
  </si>
  <si>
    <t>R010448244</t>
  </si>
  <si>
    <t>長田　佳洋</t>
  </si>
  <si>
    <t>R010656670</t>
  </si>
  <si>
    <t>永冨　斗</t>
  </si>
  <si>
    <t>ナガトミ　トワ</t>
  </si>
  <si>
    <t>R010642033</t>
  </si>
  <si>
    <t>長友　慶一郎</t>
  </si>
  <si>
    <t>ナガトモ　ケイイチロウ</t>
  </si>
  <si>
    <t>R010538406</t>
  </si>
  <si>
    <t>長野　新</t>
  </si>
  <si>
    <t>ナガノ　アラタ</t>
  </si>
  <si>
    <t>R010631825</t>
  </si>
  <si>
    <t>長野　清瑞</t>
  </si>
  <si>
    <t>ナガノ　シスイ</t>
  </si>
  <si>
    <t>R010465597</t>
  </si>
  <si>
    <t>長野　武史</t>
  </si>
  <si>
    <t>ナガノ　タケシ</t>
  </si>
  <si>
    <t>R010653598</t>
  </si>
  <si>
    <t>長野　泰人</t>
  </si>
  <si>
    <t>ナガノ　ヤスト</t>
  </si>
  <si>
    <t>R010576542</t>
  </si>
  <si>
    <t>長濵　夢希</t>
  </si>
  <si>
    <t>ナガハマ　イブキ</t>
  </si>
  <si>
    <t>R010579114</t>
  </si>
  <si>
    <t>長濵　昇太朗</t>
  </si>
  <si>
    <t>ナガハマ　ショウタロウ</t>
  </si>
  <si>
    <t>R010259414</t>
  </si>
  <si>
    <t>永松　和寿</t>
  </si>
  <si>
    <t>ナガマツ　カズトシ</t>
  </si>
  <si>
    <t>R005528264</t>
  </si>
  <si>
    <t>永松　裕史</t>
  </si>
  <si>
    <t>ナガマツ　ヒロシ</t>
  </si>
  <si>
    <t>R010396535</t>
  </si>
  <si>
    <t>永松　正規</t>
  </si>
  <si>
    <t>ナガマツ　マサキ</t>
  </si>
  <si>
    <t>R010465582</t>
  </si>
  <si>
    <t>永松　賢俊</t>
  </si>
  <si>
    <t>ナガマツ　マサトシ</t>
  </si>
  <si>
    <t>R010613598</t>
  </si>
  <si>
    <t>長山　知輝</t>
  </si>
  <si>
    <t>ナガヤマ　トモキ</t>
  </si>
  <si>
    <t>R005527353</t>
  </si>
  <si>
    <t>永山　正樹</t>
  </si>
  <si>
    <t>ナガヤマ　マサキ</t>
  </si>
  <si>
    <t>R010193705</t>
  </si>
  <si>
    <t>長山　祐介</t>
  </si>
  <si>
    <t>ナガヤマ　ユウスケ</t>
  </si>
  <si>
    <t>R005987403</t>
  </si>
  <si>
    <t>流川　新</t>
  </si>
  <si>
    <t>ナガレカワ　アラタ</t>
  </si>
  <si>
    <t>R010604119</t>
  </si>
  <si>
    <t>奈木野　紋羽</t>
  </si>
  <si>
    <t>ナギノ　アキハ</t>
  </si>
  <si>
    <t>R010581172</t>
  </si>
  <si>
    <t>名古屋　凌大</t>
  </si>
  <si>
    <t>ナゴヤ　リョウタ</t>
  </si>
  <si>
    <t>R009072295</t>
  </si>
  <si>
    <t>奈須野　安侑里</t>
  </si>
  <si>
    <t>ナスノ　アユリ</t>
  </si>
  <si>
    <t>R010546273</t>
  </si>
  <si>
    <t>奈須野　友登</t>
  </si>
  <si>
    <t>ナスノ　ユウト</t>
  </si>
  <si>
    <t>R010602925</t>
  </si>
  <si>
    <t>ナッティング　善</t>
  </si>
  <si>
    <t>ナッティング　ゼン</t>
  </si>
  <si>
    <t>R010588879</t>
  </si>
  <si>
    <t>奈良　三志朗</t>
  </si>
  <si>
    <t>ナラ　サンシロウ</t>
  </si>
  <si>
    <t>R010538327</t>
  </si>
  <si>
    <t>成松　怜音</t>
  </si>
  <si>
    <t>ナリマツ　レオ</t>
  </si>
  <si>
    <t>R010542208</t>
  </si>
  <si>
    <t>鳴海　翔丸</t>
  </si>
  <si>
    <t>ナルミ　ショウマル</t>
  </si>
  <si>
    <t>R010538356</t>
  </si>
  <si>
    <t>縄田　遊乃亮</t>
  </si>
  <si>
    <t>ナワタ　ユウノスケ</t>
  </si>
  <si>
    <t>R010542193</t>
  </si>
  <si>
    <t>南里　仁士</t>
  </si>
  <si>
    <t>ナンリ　ヒロト</t>
  </si>
  <si>
    <t>R010579051</t>
  </si>
  <si>
    <t>新名　桜晟</t>
  </si>
  <si>
    <t>ニイナ　オウセイ</t>
  </si>
  <si>
    <t>R010583768</t>
  </si>
  <si>
    <t>新名　巧旺</t>
  </si>
  <si>
    <t>ニイナ　コオ</t>
  </si>
  <si>
    <t>R010356119</t>
  </si>
  <si>
    <t>新名　翔太</t>
  </si>
  <si>
    <t>ニイナ　ショウタ</t>
  </si>
  <si>
    <t>R010356118</t>
  </si>
  <si>
    <t>新名　拓哉</t>
  </si>
  <si>
    <t>ニイナ　タクヤ</t>
  </si>
  <si>
    <t>R010599601</t>
  </si>
  <si>
    <t>新納　彪生</t>
  </si>
  <si>
    <t>ニイノ　トラオ</t>
  </si>
  <si>
    <t>R010358010</t>
  </si>
  <si>
    <t>新納　永遠</t>
  </si>
  <si>
    <t>ニイノ　トワ</t>
  </si>
  <si>
    <t>R010604765</t>
  </si>
  <si>
    <t>西　海輝</t>
  </si>
  <si>
    <t>ニシ　カイキ</t>
  </si>
  <si>
    <t>R010599186</t>
  </si>
  <si>
    <t>西　佑太</t>
  </si>
  <si>
    <t>ニシ　ユウタ</t>
  </si>
  <si>
    <t>R010314809</t>
  </si>
  <si>
    <t>西尾　圭翔</t>
  </si>
  <si>
    <t>ニシオ　ケイト</t>
  </si>
  <si>
    <t>R010576375</t>
  </si>
  <si>
    <t>西尾　晃空</t>
  </si>
  <si>
    <t>ニシオ　コウア</t>
  </si>
  <si>
    <t>R004386023</t>
  </si>
  <si>
    <t>西尾　拓之</t>
  </si>
  <si>
    <t>ニシオ　ヒロユキ</t>
  </si>
  <si>
    <t>R001251957</t>
  </si>
  <si>
    <t>西岡　京一郎</t>
  </si>
  <si>
    <t>ニシオカ　ケイイチロウ</t>
  </si>
  <si>
    <t>R010538313</t>
  </si>
  <si>
    <t>西角　航兵</t>
  </si>
  <si>
    <t>ニシカド　コウヘイ</t>
  </si>
  <si>
    <t>R010453597</t>
  </si>
  <si>
    <t>西角　陽佑</t>
  </si>
  <si>
    <t>ニシカド　ヨウスケ</t>
  </si>
  <si>
    <t>R010653595</t>
  </si>
  <si>
    <t>西川　理希</t>
  </si>
  <si>
    <t>ニシカワ　リキ</t>
  </si>
  <si>
    <t>R010638072</t>
  </si>
  <si>
    <t>西崎　一稀</t>
  </si>
  <si>
    <t>ニシザキ　イツキ</t>
  </si>
  <si>
    <t>R010396501</t>
  </si>
  <si>
    <t>西田　翔</t>
  </si>
  <si>
    <t>ニシダ　ショウ</t>
  </si>
  <si>
    <t>R010581168</t>
  </si>
  <si>
    <t>西田　順</t>
  </si>
  <si>
    <t>ニシダ　ジュン</t>
  </si>
  <si>
    <t>R010653594</t>
  </si>
  <si>
    <t>西野　凌太朗</t>
  </si>
  <si>
    <t>ニシノ　リョウタロウ</t>
  </si>
  <si>
    <t>R010391944</t>
  </si>
  <si>
    <t>西野　凌平</t>
  </si>
  <si>
    <t>ニシノ　リョウヘイ</t>
  </si>
  <si>
    <t>R010602921</t>
  </si>
  <si>
    <t>西村　哲太</t>
  </si>
  <si>
    <t>ニシムラ　テッタ</t>
  </si>
  <si>
    <t>R010465601</t>
  </si>
  <si>
    <t>西山　純平</t>
  </si>
  <si>
    <t>ニシヤマ　ジュンペイ</t>
  </si>
  <si>
    <t>R010448937</t>
  </si>
  <si>
    <t>新田　莉生</t>
  </si>
  <si>
    <t>ニッタ　リオ</t>
  </si>
  <si>
    <t>R010261589</t>
  </si>
  <si>
    <t>二宮　慶太</t>
  </si>
  <si>
    <t>ニノミヤ　ケイタ</t>
  </si>
  <si>
    <t>R010656668</t>
  </si>
  <si>
    <t>二宮　秀一郎</t>
  </si>
  <si>
    <t>ニノミヤ　シュウイチロウ</t>
  </si>
  <si>
    <t>R010576379</t>
  </si>
  <si>
    <t>二宮　駿太</t>
  </si>
  <si>
    <t>ニノミヤ　シュンタ</t>
  </si>
  <si>
    <t>R010583782</t>
  </si>
  <si>
    <t>二宮　颯春</t>
  </si>
  <si>
    <t>ニノミヤ　ソウシュン</t>
  </si>
  <si>
    <t>R010465600</t>
  </si>
  <si>
    <t>二宮　鯛介</t>
  </si>
  <si>
    <t>ニノミヤ　タイスケ</t>
  </si>
  <si>
    <t>R010538405</t>
  </si>
  <si>
    <t>二宮　拓篤</t>
  </si>
  <si>
    <t>ニノミヤ　タクマ</t>
  </si>
  <si>
    <t>R010281837</t>
  </si>
  <si>
    <t>二宮　大己</t>
  </si>
  <si>
    <t>ニノミヤ　ダイキ</t>
  </si>
  <si>
    <t>R010096809</t>
  </si>
  <si>
    <t>二宮　大作</t>
  </si>
  <si>
    <t>ニノミヤ　ダイサク</t>
  </si>
  <si>
    <t>R004055664</t>
  </si>
  <si>
    <t>二宮　康彰</t>
  </si>
  <si>
    <t>ニノミヤ　ヤスアキ</t>
  </si>
  <si>
    <t>R010396551</t>
  </si>
  <si>
    <t>丹生　良三</t>
  </si>
  <si>
    <t>ニュウ　リョウゾウ</t>
  </si>
  <si>
    <t>R010306454</t>
  </si>
  <si>
    <t>入田　裕治</t>
  </si>
  <si>
    <t>ニュウタ　ユウジ</t>
  </si>
  <si>
    <t>R010583794</t>
  </si>
  <si>
    <t>如法寺　楓</t>
  </si>
  <si>
    <t>ニョホウジ　カエデ</t>
  </si>
  <si>
    <t>R010583793</t>
  </si>
  <si>
    <t>如法寺　遥</t>
  </si>
  <si>
    <t>ニョホウジ　ハルキ</t>
  </si>
  <si>
    <t>R010390433</t>
  </si>
  <si>
    <t>庭瀬　元希</t>
  </si>
  <si>
    <t>ニワセ　ゲンキ</t>
  </si>
  <si>
    <t>R010444496</t>
  </si>
  <si>
    <t>大戸　匠</t>
  </si>
  <si>
    <t>ネギ　タクミ</t>
  </si>
  <si>
    <t>R010376301</t>
  </si>
  <si>
    <t>野上　拳跳</t>
  </si>
  <si>
    <t>ノガミ　ケント</t>
  </si>
  <si>
    <t>R010027878</t>
  </si>
  <si>
    <t>野口　一輝</t>
  </si>
  <si>
    <t>ノグチ　カズキ</t>
  </si>
  <si>
    <t>R010579158</t>
  </si>
  <si>
    <t>野口　彗翔</t>
  </si>
  <si>
    <t>ノグチ　ケイト</t>
  </si>
  <si>
    <t>R010396600</t>
  </si>
  <si>
    <t>野口　源若</t>
  </si>
  <si>
    <t>ノグチ　ゲンワ</t>
  </si>
  <si>
    <t>R002917333</t>
  </si>
  <si>
    <t>野口　康二郎</t>
  </si>
  <si>
    <t>ノグチ　コウジロウ</t>
  </si>
  <si>
    <t>R010027885</t>
  </si>
  <si>
    <t>野口　智隆</t>
  </si>
  <si>
    <t>ノグチ　トモタカ</t>
  </si>
  <si>
    <t>R010432606</t>
  </si>
  <si>
    <t>野口　我太生</t>
  </si>
  <si>
    <t>ノグチ　ワタル</t>
  </si>
  <si>
    <t>R010579141</t>
  </si>
  <si>
    <t>野尻　憲慎</t>
  </si>
  <si>
    <t>ノジリ　ケンシン</t>
  </si>
  <si>
    <t>R010453583</t>
  </si>
  <si>
    <t>野尻　慎之助</t>
  </si>
  <si>
    <t>ノジリ　シンノスケ</t>
  </si>
  <si>
    <t>R005527830</t>
  </si>
  <si>
    <t>野尻　崇</t>
  </si>
  <si>
    <t>ノジリ　タカシ</t>
  </si>
  <si>
    <t>R010540708</t>
  </si>
  <si>
    <t>野尻　拓弥</t>
  </si>
  <si>
    <t>ノジリ　タクヤ</t>
  </si>
  <si>
    <t>R010306450</t>
  </si>
  <si>
    <t>野田　啓佑</t>
  </si>
  <si>
    <t>ノダ　ケイスケ</t>
  </si>
  <si>
    <t>R010214592</t>
  </si>
  <si>
    <t>野田　航平</t>
  </si>
  <si>
    <t>ノダ　コウヘイ</t>
  </si>
  <si>
    <t>R010638043</t>
  </si>
  <si>
    <t>野田　泰紀</t>
  </si>
  <si>
    <t>ノダ　タイキ</t>
  </si>
  <si>
    <t>R010586722</t>
  </si>
  <si>
    <t>野田　大祐</t>
  </si>
  <si>
    <t>ノダ　ダイスケ</t>
  </si>
  <si>
    <t>R010576383</t>
  </si>
  <si>
    <t>野仲　晃生</t>
  </si>
  <si>
    <t>ノナカ　コウセイ</t>
  </si>
  <si>
    <t>R010453577</t>
  </si>
  <si>
    <t>野々下　蒼斗</t>
  </si>
  <si>
    <t>ノノシタ　アオト</t>
  </si>
  <si>
    <t>R001259436</t>
  </si>
  <si>
    <t>野村　辰寿</t>
  </si>
  <si>
    <t>ノムラ　タツヒサ</t>
  </si>
  <si>
    <t>R006125736</t>
  </si>
  <si>
    <t>野村　哲也</t>
  </si>
  <si>
    <t>ノムラ　テツヤ</t>
  </si>
  <si>
    <t>R010540707</t>
  </si>
  <si>
    <t>野村　陸翔</t>
  </si>
  <si>
    <t>ノムラ　リクト</t>
  </si>
  <si>
    <t>R010653590</t>
  </si>
  <si>
    <t>野村　琉翔</t>
  </si>
  <si>
    <t>ノムラ　リュウト</t>
  </si>
  <si>
    <t>R010388042</t>
  </si>
  <si>
    <t>野依　桂</t>
  </si>
  <si>
    <t>ノヨリ　ケイ</t>
  </si>
  <si>
    <t>R006544278</t>
  </si>
  <si>
    <t>則次　祐介</t>
  </si>
  <si>
    <t>ノリツギ　ユウスケ</t>
  </si>
  <si>
    <t>R010576364</t>
  </si>
  <si>
    <t>野呂　仁人</t>
  </si>
  <si>
    <t>ノロ　ヨシト</t>
  </si>
  <si>
    <t>R004714721</t>
  </si>
  <si>
    <t>袴田　真吾</t>
  </si>
  <si>
    <t>ハカマダ　シンゴ</t>
  </si>
  <si>
    <t>R010552557</t>
  </si>
  <si>
    <t>羽迫　吏久</t>
  </si>
  <si>
    <t>ハサコ　リク</t>
  </si>
  <si>
    <t>R010352972</t>
  </si>
  <si>
    <t>間　勇翔</t>
  </si>
  <si>
    <t>ハザマ　ユウショウ</t>
  </si>
  <si>
    <t>R010396567</t>
  </si>
  <si>
    <t>狹間　優人</t>
  </si>
  <si>
    <t>ハザマ　ユウト</t>
  </si>
  <si>
    <t>R010396540</t>
  </si>
  <si>
    <t>橋本　壮旦</t>
  </si>
  <si>
    <t>ハシモト　ソウタ</t>
  </si>
  <si>
    <t>R010653561</t>
  </si>
  <si>
    <t>橋本　蹄弥</t>
  </si>
  <si>
    <t>ハシモト　ダイヤ</t>
  </si>
  <si>
    <t>R006221012</t>
  </si>
  <si>
    <t>橋本　敏邦</t>
  </si>
  <si>
    <t>ハシモト　トシクニ</t>
  </si>
  <si>
    <t>R010586328</t>
  </si>
  <si>
    <t>橋本　尚</t>
  </si>
  <si>
    <t>ハシモト　ナオ</t>
  </si>
  <si>
    <t>R010546293</t>
  </si>
  <si>
    <t>橋本　祐司</t>
  </si>
  <si>
    <t>ハシモト　ユウジ</t>
  </si>
  <si>
    <t>R007729098</t>
  </si>
  <si>
    <t>長谷　明治</t>
  </si>
  <si>
    <t>ハセ　アキハル</t>
  </si>
  <si>
    <t>R010631817</t>
  </si>
  <si>
    <t>長谷　亜雛羽</t>
  </si>
  <si>
    <t>ハセ　アスハ</t>
  </si>
  <si>
    <t>R010599584</t>
  </si>
  <si>
    <t>長谷　樹大</t>
  </si>
  <si>
    <t>ハセ　ジュヒロ</t>
  </si>
  <si>
    <t>R010656691</t>
  </si>
  <si>
    <t>長谷雄　大和</t>
  </si>
  <si>
    <t>ハセオ　ヤマト</t>
  </si>
  <si>
    <t>R010445839</t>
  </si>
  <si>
    <t>秦　碧空</t>
  </si>
  <si>
    <t>ハタ　アオイ</t>
  </si>
  <si>
    <t>R010434017</t>
  </si>
  <si>
    <t>畠中　愛未</t>
  </si>
  <si>
    <t>ハタナカ　アイミ</t>
  </si>
  <si>
    <t>R010248571</t>
  </si>
  <si>
    <t>畑中　恒輝</t>
  </si>
  <si>
    <t>ハタナカ　コウキ</t>
  </si>
  <si>
    <t>R010100679</t>
  </si>
  <si>
    <t>畑中　祝勝</t>
  </si>
  <si>
    <t>ハタナカ　ノリカツ</t>
  </si>
  <si>
    <t>R010546322</t>
  </si>
  <si>
    <t>畑中　陽介</t>
  </si>
  <si>
    <t>ハタナカ　ヨウスケ</t>
  </si>
  <si>
    <t>R010007845</t>
  </si>
  <si>
    <t>波多野　政美</t>
  </si>
  <si>
    <t>ハタノ　マサミ</t>
  </si>
  <si>
    <t>R010347358</t>
  </si>
  <si>
    <t>畑辺　康年</t>
  </si>
  <si>
    <t>ハタベ　ヤストシ</t>
  </si>
  <si>
    <t>R010542191</t>
  </si>
  <si>
    <t>羽立　智宣</t>
  </si>
  <si>
    <t>ハダテ　トモノリ</t>
  </si>
  <si>
    <t>R010544476</t>
  </si>
  <si>
    <t>羽田野　天空</t>
  </si>
  <si>
    <t>ハダノ　ソラ</t>
  </si>
  <si>
    <t>R010376287</t>
  </si>
  <si>
    <t>羽田野　裕之</t>
  </si>
  <si>
    <t>ハダノ　ヒロユキ</t>
  </si>
  <si>
    <t>R010613646</t>
  </si>
  <si>
    <t>羽田野　裕貴</t>
  </si>
  <si>
    <t>ハダノ　ユウキ</t>
  </si>
  <si>
    <t>R003421116</t>
  </si>
  <si>
    <t>波津久　雄平</t>
  </si>
  <si>
    <t>ハツク　ユウヘイ</t>
  </si>
  <si>
    <t>R010538343</t>
  </si>
  <si>
    <t>花木　賢斗</t>
  </si>
  <si>
    <t>ハナキ　ケント</t>
  </si>
  <si>
    <t>R010468361</t>
  </si>
  <si>
    <t>花田　俊介</t>
  </si>
  <si>
    <t>ハナダ　シュンスケ</t>
  </si>
  <si>
    <t>R010386809</t>
  </si>
  <si>
    <t>花宮　うの</t>
  </si>
  <si>
    <t>ハナミヤ　ウノ</t>
  </si>
  <si>
    <t>R010468353</t>
  </si>
  <si>
    <t>花宮　龍之介</t>
  </si>
  <si>
    <t>ハナミヤ　リュウノスケ</t>
  </si>
  <si>
    <t>R010579137</t>
  </si>
  <si>
    <t>花宮　蓮</t>
  </si>
  <si>
    <t>ハナミヤ　レン</t>
  </si>
  <si>
    <t>R010576553</t>
  </si>
  <si>
    <t>濱浦　翔</t>
  </si>
  <si>
    <t>ハマウラ　ショウ</t>
  </si>
  <si>
    <t>R010653584</t>
  </si>
  <si>
    <t>濱岡　奏也</t>
  </si>
  <si>
    <t>ハマオカ　ソウヤ</t>
  </si>
  <si>
    <t>R001259579</t>
  </si>
  <si>
    <t>濱崎　賢一</t>
  </si>
  <si>
    <t>ハマサキ　ケンイチ</t>
  </si>
  <si>
    <t>R010390420</t>
  </si>
  <si>
    <t>浜崎　颯太</t>
  </si>
  <si>
    <t>ハマサキ　ソウタ</t>
  </si>
  <si>
    <t>R010352977</t>
  </si>
  <si>
    <t>濱砂　樹</t>
  </si>
  <si>
    <t>ハマスナ　イツキ</t>
  </si>
  <si>
    <t>R010093435</t>
  </si>
  <si>
    <t>濱田　尚希</t>
  </si>
  <si>
    <t>ハマダ　ナオキ</t>
  </si>
  <si>
    <t>R006221100</t>
  </si>
  <si>
    <t>浜町　隆蒔</t>
  </si>
  <si>
    <t>ハママチ　リュウジ</t>
  </si>
  <si>
    <t>R010540706</t>
  </si>
  <si>
    <t>早木　悠登</t>
  </si>
  <si>
    <t>ハヤキ　ユウト</t>
  </si>
  <si>
    <t>R010579064</t>
  </si>
  <si>
    <t>林　明輝</t>
  </si>
  <si>
    <t>ハヤシ　アキテル</t>
  </si>
  <si>
    <t>R010453586</t>
  </si>
  <si>
    <t>林　勇陽</t>
  </si>
  <si>
    <t>ハヤシ　ユウヒ</t>
  </si>
  <si>
    <t>R010576576</t>
  </si>
  <si>
    <t>林　流夏</t>
  </si>
  <si>
    <t>ハヤシ　ルカ</t>
  </si>
  <si>
    <t>R010396503</t>
  </si>
  <si>
    <t>林田　健太</t>
  </si>
  <si>
    <t>ハヤシダ　ケンタ</t>
  </si>
  <si>
    <t>R010613636</t>
  </si>
  <si>
    <t>早見　裕基</t>
  </si>
  <si>
    <t>ハヤミ　ユウキ</t>
  </si>
  <si>
    <t>R008626965</t>
  </si>
  <si>
    <t>原　海斗</t>
  </si>
  <si>
    <t>ハラ　カイト</t>
  </si>
  <si>
    <t>R009528800</t>
  </si>
  <si>
    <t>原　和将</t>
  </si>
  <si>
    <t>ハラ　カズマサ</t>
  </si>
  <si>
    <t>R006937113</t>
  </si>
  <si>
    <t>原　大恭</t>
  </si>
  <si>
    <t>ハラ　ダイスケ</t>
  </si>
  <si>
    <t>R006220095</t>
  </si>
  <si>
    <t>原　正佳</t>
  </si>
  <si>
    <t>ハラ　マサヨシ</t>
  </si>
  <si>
    <t>R010586317</t>
  </si>
  <si>
    <t>原田　煌也</t>
  </si>
  <si>
    <t>ハラダ　オウヤ</t>
  </si>
  <si>
    <t>R010638093</t>
  </si>
  <si>
    <t>原田　康佑</t>
  </si>
  <si>
    <t>ハラダ　コウスケ</t>
  </si>
  <si>
    <t>R010259430</t>
  </si>
  <si>
    <t>原田　光清</t>
  </si>
  <si>
    <t>ハラダ　コウセイ</t>
  </si>
  <si>
    <t>R010579117</t>
  </si>
  <si>
    <t>原田　幸汰</t>
  </si>
  <si>
    <t>ハラダ　コウタ</t>
  </si>
  <si>
    <t>R010601879</t>
  </si>
  <si>
    <t>原田　滉大</t>
  </si>
  <si>
    <t>ハラダ　コウダイ</t>
  </si>
  <si>
    <t>R010642094</t>
  </si>
  <si>
    <t>原田　慎也</t>
  </si>
  <si>
    <t>ハラダ　シンヤ</t>
  </si>
  <si>
    <t>R010583780</t>
  </si>
  <si>
    <t>原田　高虎</t>
  </si>
  <si>
    <t>ハラダ　タカトラ</t>
  </si>
  <si>
    <t>R010594944</t>
  </si>
  <si>
    <t>原田　知哉</t>
  </si>
  <si>
    <t>ハラダ　トモヤ</t>
  </si>
  <si>
    <t>R010189330</t>
  </si>
  <si>
    <t>原田　裕規</t>
  </si>
  <si>
    <t>ハラダ　ユウキ</t>
  </si>
  <si>
    <t>R010552578</t>
  </si>
  <si>
    <t>針宮　孝典</t>
  </si>
  <si>
    <t>ハリミヤ　タカノリ</t>
  </si>
  <si>
    <t>R010540705</t>
  </si>
  <si>
    <t>馬場　晴大</t>
  </si>
  <si>
    <t>R004111605</t>
  </si>
  <si>
    <t>馬場　睦紀</t>
  </si>
  <si>
    <t>ババ　ムツキ</t>
  </si>
  <si>
    <t>R010604070</t>
  </si>
  <si>
    <t>馬場　悠士郎</t>
  </si>
  <si>
    <t>ババ　ユウシロウ</t>
  </si>
  <si>
    <t>R010601878</t>
  </si>
  <si>
    <t>日浦　慶至</t>
  </si>
  <si>
    <t>ヒウラ　ケイシ</t>
  </si>
  <si>
    <t>R010576572</t>
  </si>
  <si>
    <t>東　健翔</t>
  </si>
  <si>
    <t>ヒガシ　ケンショウ</t>
  </si>
  <si>
    <t>R010576579</t>
  </si>
  <si>
    <t>東創也　創也</t>
  </si>
  <si>
    <t>ヒガシ　ソウヤ</t>
  </si>
  <si>
    <t>R010376345</t>
  </si>
  <si>
    <t>東　大晟</t>
  </si>
  <si>
    <t>ヒガシ　タイセイ</t>
  </si>
  <si>
    <t>R010546334</t>
  </si>
  <si>
    <t>東　拓海</t>
  </si>
  <si>
    <t>ヒガシ　タクミ</t>
  </si>
  <si>
    <t>R010613642</t>
  </si>
  <si>
    <t>東　拓史</t>
  </si>
  <si>
    <t>R010453600</t>
  </si>
  <si>
    <t>東　喜礼</t>
  </si>
  <si>
    <t>ヒガシ　ハルノリ</t>
  </si>
  <si>
    <t>R010604124</t>
  </si>
  <si>
    <t>東　美月</t>
  </si>
  <si>
    <t>ヒガシ　ミヅキ</t>
  </si>
  <si>
    <t>R010586292</t>
  </si>
  <si>
    <t>東　侑平</t>
  </si>
  <si>
    <t>ヒガシ　ユウヘイ</t>
  </si>
  <si>
    <t>R010538330</t>
  </si>
  <si>
    <t>疋田　和正</t>
  </si>
  <si>
    <t>ヒキタ　カズマサ</t>
  </si>
  <si>
    <t>R010468362</t>
  </si>
  <si>
    <t>疋田　真吾</t>
  </si>
  <si>
    <t>ヒキダ　シンゴ</t>
  </si>
  <si>
    <t>R010546331</t>
  </si>
  <si>
    <t>樋口　咲哉</t>
  </si>
  <si>
    <t>ヒグチ　サクヤ</t>
  </si>
  <si>
    <t>R010586731</t>
  </si>
  <si>
    <t>樋口　温</t>
  </si>
  <si>
    <t>ヒグチ　ハル</t>
  </si>
  <si>
    <t>R010613630</t>
  </si>
  <si>
    <t>樋口　睦己</t>
  </si>
  <si>
    <t>ヒグチ　ムツキ</t>
  </si>
  <si>
    <t>R010376333</t>
  </si>
  <si>
    <t>日隈　駿</t>
  </si>
  <si>
    <t>ヒグマ　シュン</t>
  </si>
  <si>
    <t>R010579076</t>
  </si>
  <si>
    <t>日隈　琳鳳</t>
  </si>
  <si>
    <t>ヒグマ　リオ</t>
  </si>
  <si>
    <t>R010542201</t>
  </si>
  <si>
    <t>肥後　克匡</t>
  </si>
  <si>
    <t>ヒゴ　カツマサ</t>
  </si>
  <si>
    <t>R010593965</t>
  </si>
  <si>
    <t>日坂　春翔</t>
  </si>
  <si>
    <t>ヒサカ　ハルト</t>
  </si>
  <si>
    <t>R010313751</t>
  </si>
  <si>
    <t>日坂　仁哉</t>
  </si>
  <si>
    <t>ヒサカ　マサヤ</t>
  </si>
  <si>
    <t>R010448934</t>
  </si>
  <si>
    <t>久恒　碧哉</t>
  </si>
  <si>
    <t>ヒサツネ　リクヤ</t>
  </si>
  <si>
    <t>R010638056</t>
  </si>
  <si>
    <t>日高　聖也</t>
  </si>
  <si>
    <t>ヒダカ　セイヤ</t>
  </si>
  <si>
    <t>R010576573</t>
  </si>
  <si>
    <t>日高　堪斗</t>
  </si>
  <si>
    <t>ヒダカ　タユト</t>
  </si>
  <si>
    <t>R010538346</t>
  </si>
  <si>
    <t>日野　一平</t>
  </si>
  <si>
    <t>ヒノ　イッペイ</t>
  </si>
  <si>
    <t>R010576551</t>
  </si>
  <si>
    <t>日野　海土</t>
  </si>
  <si>
    <t>ヒノ　カイト</t>
  </si>
  <si>
    <t>R010583790</t>
  </si>
  <si>
    <t>日野　天翔</t>
  </si>
  <si>
    <t>ヒノ　テンショウ</t>
  </si>
  <si>
    <t>R010576367</t>
  </si>
  <si>
    <t>日野　那音</t>
  </si>
  <si>
    <t>ヒノ　ナオト</t>
  </si>
  <si>
    <t>R010189332</t>
  </si>
  <si>
    <t>姫野　賢吾</t>
  </si>
  <si>
    <t>ヒメノ　ケンゴ</t>
  </si>
  <si>
    <t>R010642030</t>
  </si>
  <si>
    <t>姫野　浩司</t>
  </si>
  <si>
    <t>ヒメノ　コウジ</t>
  </si>
  <si>
    <t>R010352969</t>
  </si>
  <si>
    <t>姫野　聖也</t>
  </si>
  <si>
    <t>ヒメノ　セイヤ</t>
  </si>
  <si>
    <t>R010243665</t>
  </si>
  <si>
    <t>姫野　青空</t>
  </si>
  <si>
    <t>ヒメノ　ソラ</t>
  </si>
  <si>
    <t>R010449907</t>
  </si>
  <si>
    <t>姫野　太一</t>
  </si>
  <si>
    <t>ヒメノ　タイチ</t>
  </si>
  <si>
    <t>R007959194</t>
  </si>
  <si>
    <t>姫野　貴裕</t>
  </si>
  <si>
    <t>ヒメノ　タカヒロ</t>
  </si>
  <si>
    <t>R010027875</t>
  </si>
  <si>
    <t>姫野　太輔</t>
  </si>
  <si>
    <t>ヒメノ　ダイスケ</t>
  </si>
  <si>
    <t>R010579049</t>
  </si>
  <si>
    <t>姫野　陽斗</t>
  </si>
  <si>
    <t>ヒメノ　ハルト</t>
  </si>
  <si>
    <t>R010376279</t>
  </si>
  <si>
    <t>姫野　雅俊</t>
  </si>
  <si>
    <t>ヒメノ　マサトシ</t>
  </si>
  <si>
    <t>R010453580</t>
  </si>
  <si>
    <t>姫野　雄太</t>
  </si>
  <si>
    <t>ヒメノ　ユウタ</t>
  </si>
  <si>
    <t>R010542187</t>
  </si>
  <si>
    <t>兵頭　哲也</t>
  </si>
  <si>
    <t>ヒョウドウ　テツヤ</t>
  </si>
  <si>
    <t>R010642077</t>
  </si>
  <si>
    <t>平井　桜晴</t>
  </si>
  <si>
    <t>ヒライ　オウセイ</t>
  </si>
  <si>
    <t>R010396576</t>
  </si>
  <si>
    <t>平井　康寛</t>
  </si>
  <si>
    <t>ヒライ　ヤスヒロ</t>
  </si>
  <si>
    <t>R010642074</t>
  </si>
  <si>
    <t>平井　喜暁</t>
  </si>
  <si>
    <t>ヒライ　ヨシアキ</t>
  </si>
  <si>
    <t>R010588867</t>
  </si>
  <si>
    <t>平石　祥梧</t>
  </si>
  <si>
    <t>ヒライシ　ユウコ</t>
  </si>
  <si>
    <t>R010631811</t>
  </si>
  <si>
    <t>平尾　美空</t>
  </si>
  <si>
    <t>ヒラオ　ミソラ</t>
  </si>
  <si>
    <t>R010601875</t>
  </si>
  <si>
    <t>平川　開土</t>
  </si>
  <si>
    <t>ヒラカワ　カイト</t>
  </si>
  <si>
    <t>R010579066</t>
  </si>
  <si>
    <t>平川　幹大</t>
  </si>
  <si>
    <t>ヒラカワ　カンタ</t>
  </si>
  <si>
    <t>R010259426</t>
  </si>
  <si>
    <t>平川　功ニ</t>
  </si>
  <si>
    <t>ヒラカワ　コウジ</t>
  </si>
  <si>
    <t>R001259898</t>
  </si>
  <si>
    <t>平川　孝幸</t>
  </si>
  <si>
    <t>ヒラカワ　タカユキ</t>
  </si>
  <si>
    <t>R010601885</t>
  </si>
  <si>
    <t>平川　結偉</t>
  </si>
  <si>
    <t>ヒラカワ　ユウイ</t>
  </si>
  <si>
    <t>R010444519</t>
  </si>
  <si>
    <t>平川　龍大</t>
  </si>
  <si>
    <t>ヒラカワ　リョウタ</t>
  </si>
  <si>
    <t>R010613605</t>
  </si>
  <si>
    <t>平島　直哉</t>
  </si>
  <si>
    <t>ヒラジマ　ナオヤ</t>
  </si>
  <si>
    <t>R010432600</t>
  </si>
  <si>
    <t>平沼　鉄生</t>
  </si>
  <si>
    <t>ヒラヌマ　テッセイ</t>
  </si>
  <si>
    <t>R008174064</t>
  </si>
  <si>
    <t>平野　道弘</t>
  </si>
  <si>
    <t>ヒラノ　ミチヒロ</t>
  </si>
  <si>
    <t>R010376335</t>
  </si>
  <si>
    <t>平野　泰寛</t>
  </si>
  <si>
    <t>ヒラノ　ヤスヒロ</t>
  </si>
  <si>
    <t>R004386193</t>
  </si>
  <si>
    <t>平畠　数大</t>
  </si>
  <si>
    <t>ヒラハタ　カズヒロ</t>
  </si>
  <si>
    <t>R010214604</t>
  </si>
  <si>
    <t>平林　昭二</t>
  </si>
  <si>
    <t>ヒラバヤシ　ショウジ</t>
  </si>
  <si>
    <t>R010352938</t>
  </si>
  <si>
    <t>平林　拓朗</t>
  </si>
  <si>
    <t>ヒラバヤシ　タクロウ</t>
  </si>
  <si>
    <t>R001260016</t>
  </si>
  <si>
    <t>平原　晃</t>
  </si>
  <si>
    <t>ヒラバラ　アキラ</t>
  </si>
  <si>
    <t>R008797953</t>
  </si>
  <si>
    <t>平原　悟</t>
  </si>
  <si>
    <t>ヒラバラ　サトル</t>
  </si>
  <si>
    <t>R010159158</t>
  </si>
  <si>
    <t>平松　孝汰朗</t>
  </si>
  <si>
    <t>ヒラマツ　コウタロウ</t>
  </si>
  <si>
    <t>R010542207</t>
  </si>
  <si>
    <t>平松　敬章</t>
  </si>
  <si>
    <t>ヒラマツ　タカアキ</t>
  </si>
  <si>
    <t>R010450133</t>
  </si>
  <si>
    <t>平山　雄太</t>
  </si>
  <si>
    <t>R010579140</t>
  </si>
  <si>
    <t>平山　大雅</t>
  </si>
  <si>
    <t>ヒラヤマ　タイガ</t>
  </si>
  <si>
    <t>R010376295</t>
  </si>
  <si>
    <t>平山　鷹也</t>
  </si>
  <si>
    <t>ヒラヤマ　タカヤ</t>
  </si>
  <si>
    <t>R010638071</t>
  </si>
  <si>
    <t>平山　龍</t>
  </si>
  <si>
    <t>ヒラヤマ　リュウ</t>
  </si>
  <si>
    <t>R010588861</t>
  </si>
  <si>
    <t>廣川　敬太</t>
  </si>
  <si>
    <t>ヒロカワ　ケイタ</t>
  </si>
  <si>
    <t>R010262652</t>
  </si>
  <si>
    <t>廣瀬　長治</t>
  </si>
  <si>
    <t>ヒロセ　タケハル</t>
  </si>
  <si>
    <t>R010390436</t>
  </si>
  <si>
    <t>廣瀬　丈倖</t>
  </si>
  <si>
    <t>ヒロセ　トモユキ</t>
  </si>
  <si>
    <t>R010069886</t>
  </si>
  <si>
    <t>廣瀬　直軌</t>
  </si>
  <si>
    <t>ヒロセ　ナオキ</t>
  </si>
  <si>
    <t>R008798253</t>
  </si>
  <si>
    <t>廣瀬　尚人</t>
  </si>
  <si>
    <t>ヒロセ　ナオト</t>
  </si>
  <si>
    <t>R010653575</t>
  </si>
  <si>
    <t>廣瀬　帆斗</t>
  </si>
  <si>
    <t>ヒロセ　ハント</t>
  </si>
  <si>
    <t>R006872296</t>
  </si>
  <si>
    <t>廣瀬　光雄</t>
  </si>
  <si>
    <t>ヒロセ　ミツオ</t>
  </si>
  <si>
    <t>R010552575</t>
  </si>
  <si>
    <t>廣瀬　亮</t>
  </si>
  <si>
    <t>ヒロセ　リョウ</t>
  </si>
  <si>
    <t>R010642068</t>
  </si>
  <si>
    <t>廣田　智納</t>
  </si>
  <si>
    <t>ヒロタ　トモナリ</t>
  </si>
  <si>
    <t>R010538365</t>
  </si>
  <si>
    <t>廣田　琉我</t>
  </si>
  <si>
    <t>ヒロタ　リュウガ</t>
  </si>
  <si>
    <t>R010576545</t>
  </si>
  <si>
    <t>廣戸　大樹</t>
  </si>
  <si>
    <t>ヒロト　ダイキ</t>
  </si>
  <si>
    <t>R010552539</t>
  </si>
  <si>
    <t>廣峯　功一</t>
  </si>
  <si>
    <t>ヒロミネ　コウイチ</t>
  </si>
  <si>
    <t>R010538370</t>
  </si>
  <si>
    <t>深田　勝弥</t>
  </si>
  <si>
    <t>フカタ　カツヤ</t>
  </si>
  <si>
    <t>R010601883</t>
  </si>
  <si>
    <t>深田　航汰</t>
  </si>
  <si>
    <t>フカタ　コウタ</t>
  </si>
  <si>
    <t>R010593969</t>
  </si>
  <si>
    <t>深田　豪</t>
  </si>
  <si>
    <t>フカタ　ゴウ</t>
  </si>
  <si>
    <t>R010093449</t>
  </si>
  <si>
    <t>深見　精二</t>
  </si>
  <si>
    <t>フカミ　セイジ</t>
  </si>
  <si>
    <t>R010653608</t>
  </si>
  <si>
    <t>福島　愛司</t>
  </si>
  <si>
    <t>フクシマ　アイジ</t>
  </si>
  <si>
    <t>R010583787</t>
  </si>
  <si>
    <t>福島　瞳也</t>
  </si>
  <si>
    <t>フクシマ　トウヤ</t>
  </si>
  <si>
    <t>R010394158</t>
  </si>
  <si>
    <t>福島　莉聖</t>
  </si>
  <si>
    <t>フクシマ　リセ</t>
  </si>
  <si>
    <t>R010465622</t>
  </si>
  <si>
    <t>福田　航陽</t>
  </si>
  <si>
    <t>フクダ　コウヨウ</t>
  </si>
  <si>
    <t>R010638059</t>
  </si>
  <si>
    <t>福田　ここな</t>
  </si>
  <si>
    <t>フクダ　ココナ</t>
  </si>
  <si>
    <t>R010653597</t>
  </si>
  <si>
    <t>福田　虎志郎</t>
  </si>
  <si>
    <t>フクダ　コジロウ</t>
  </si>
  <si>
    <t>R010281831</t>
  </si>
  <si>
    <t>福田　紫月</t>
  </si>
  <si>
    <t>フクダ　シヅキ</t>
  </si>
  <si>
    <t>R010444513</t>
  </si>
  <si>
    <t>福田　瑞樹</t>
  </si>
  <si>
    <t>フクダ　ミズキ</t>
  </si>
  <si>
    <t>R010391917</t>
  </si>
  <si>
    <t>福田　芳樹</t>
  </si>
  <si>
    <t>フクダ　ヨシキ</t>
  </si>
  <si>
    <t>R010576548</t>
  </si>
  <si>
    <t>福永　楽人</t>
  </si>
  <si>
    <t>フクナガ　ガクト</t>
  </si>
  <si>
    <t>R010453589</t>
  </si>
  <si>
    <t>福永　大起</t>
  </si>
  <si>
    <t>フクナガ　ダイキ</t>
  </si>
  <si>
    <t>R010656686</t>
  </si>
  <si>
    <t>伏野　洸希</t>
  </si>
  <si>
    <t>フシノ　コウキ</t>
  </si>
  <si>
    <t>R010214568</t>
  </si>
  <si>
    <t>藤井　俊輔</t>
  </si>
  <si>
    <t>フジイ　シュンスケ</t>
  </si>
  <si>
    <t>R010642040</t>
  </si>
  <si>
    <t>藤井　俊之</t>
  </si>
  <si>
    <t>フジイ　トシユキ</t>
  </si>
  <si>
    <t>R010599610</t>
  </si>
  <si>
    <t>藤井　智也</t>
  </si>
  <si>
    <t>フジイ　トモヤ</t>
  </si>
  <si>
    <t>R009408825</t>
  </si>
  <si>
    <t>藤井　康之</t>
  </si>
  <si>
    <t>フジイ　ヤスユキ</t>
  </si>
  <si>
    <t>R010352952</t>
  </si>
  <si>
    <t>藤岡　典之</t>
  </si>
  <si>
    <t>フジオカ　ノリユキ</t>
  </si>
  <si>
    <t>R010653576</t>
  </si>
  <si>
    <t>藤澤　楠</t>
  </si>
  <si>
    <t>フジサワ　ダン</t>
  </si>
  <si>
    <t>R008173667</t>
  </si>
  <si>
    <t>藤末　学</t>
  </si>
  <si>
    <t>フジスエ　マナブ</t>
  </si>
  <si>
    <t>R010352946</t>
  </si>
  <si>
    <t>藤田　翔</t>
  </si>
  <si>
    <t>フジタ　カケル</t>
  </si>
  <si>
    <t>R010444499</t>
  </si>
  <si>
    <t>藤田　恭輔</t>
  </si>
  <si>
    <t>フジタ　キョウスケ</t>
  </si>
  <si>
    <t>R010656682</t>
  </si>
  <si>
    <t>藤田　京佑</t>
  </si>
  <si>
    <t>R010638074</t>
  </si>
  <si>
    <t>藤田　淳也</t>
  </si>
  <si>
    <t>フジタ　ジュンヤ</t>
  </si>
  <si>
    <t>R010358014</t>
  </si>
  <si>
    <t>藤田　聖也</t>
  </si>
  <si>
    <t>フジタ　セイヤ</t>
  </si>
  <si>
    <t>R010432652</t>
  </si>
  <si>
    <t>藤田　大幹</t>
  </si>
  <si>
    <t>フジタ　タイキ</t>
  </si>
  <si>
    <t>R010579139</t>
  </si>
  <si>
    <t>藤戸　瑛太</t>
  </si>
  <si>
    <t>フジト　エイタ</t>
  </si>
  <si>
    <t>R006123862</t>
  </si>
  <si>
    <t>藤並　敬大</t>
  </si>
  <si>
    <t>フジナミ　タカヒロ</t>
  </si>
  <si>
    <t>R010396574</t>
  </si>
  <si>
    <t>藤野　聖也</t>
  </si>
  <si>
    <t>フジノ　セイヤ</t>
  </si>
  <si>
    <t>R010396505</t>
  </si>
  <si>
    <t>藤野　哲哉</t>
  </si>
  <si>
    <t>フジノ　テツヤ</t>
  </si>
  <si>
    <t>R010642069</t>
  </si>
  <si>
    <t>藤野　晴帆</t>
  </si>
  <si>
    <t>フジノ　ハルホ</t>
  </si>
  <si>
    <t>R007090941</t>
  </si>
  <si>
    <t>藤野　誠</t>
  </si>
  <si>
    <t>フジノ　マコト</t>
  </si>
  <si>
    <t>R010396545</t>
  </si>
  <si>
    <t>藤松　秀那</t>
  </si>
  <si>
    <t>フジマツ　シュウナ</t>
  </si>
  <si>
    <t>R003351233</t>
  </si>
  <si>
    <t>藤松　竜也</t>
  </si>
  <si>
    <t>フジマツ　タツヤ</t>
  </si>
  <si>
    <t>R010214617</t>
  </si>
  <si>
    <t>藤本　宏平</t>
  </si>
  <si>
    <t>フジモト　コウヘイ</t>
  </si>
  <si>
    <t>R010613599</t>
  </si>
  <si>
    <t>藤本　貴裕</t>
  </si>
  <si>
    <t>フジモト　タカヒロ</t>
  </si>
  <si>
    <t>R010303865</t>
  </si>
  <si>
    <t>藤本　諒哉</t>
  </si>
  <si>
    <t>フジモト　リョウヤ</t>
  </si>
  <si>
    <t>R010642078</t>
  </si>
  <si>
    <t>藤山　優斗</t>
  </si>
  <si>
    <t>フジヤマ　ユウト</t>
  </si>
  <si>
    <t>R010552572</t>
  </si>
  <si>
    <t>藤原　昌</t>
  </si>
  <si>
    <t>フジワラ　アキラ</t>
  </si>
  <si>
    <t>R010586299</t>
  </si>
  <si>
    <t>藤原　巧惺</t>
  </si>
  <si>
    <t>フジワラ　コウセイ</t>
  </si>
  <si>
    <t>R010421581</t>
  </si>
  <si>
    <t>藤原　翔大</t>
  </si>
  <si>
    <t>フジワラ　ショウタ</t>
  </si>
  <si>
    <t>R010448931</t>
  </si>
  <si>
    <t>藤原　迅</t>
  </si>
  <si>
    <t>フジワラ　ジン</t>
  </si>
  <si>
    <t>R005467945</t>
  </si>
  <si>
    <t>藤原　妙子</t>
  </si>
  <si>
    <t>フジワラ　タエコ</t>
  </si>
  <si>
    <t>R010281867</t>
  </si>
  <si>
    <t>藤原　茅花紗</t>
  </si>
  <si>
    <t>フジワラ　ツバサ</t>
  </si>
  <si>
    <t>R010653165</t>
  </si>
  <si>
    <t>藤原　那月</t>
  </si>
  <si>
    <t>フジワラ　ナツキ</t>
  </si>
  <si>
    <t>R010352967</t>
  </si>
  <si>
    <t>藤原　遥斗</t>
  </si>
  <si>
    <t>フジワラ　ハルト</t>
  </si>
  <si>
    <t>R007959547</t>
  </si>
  <si>
    <t>藤原　宏</t>
  </si>
  <si>
    <t>フジワラ　ヒロシ</t>
  </si>
  <si>
    <t>R010376304</t>
  </si>
  <si>
    <t>渕上　力輝</t>
  </si>
  <si>
    <t>フチガミ　リキ</t>
  </si>
  <si>
    <t>R010599604</t>
  </si>
  <si>
    <t>淵野　日向</t>
  </si>
  <si>
    <t>フチノ　ヒナタ</t>
  </si>
  <si>
    <t>R010539285</t>
  </si>
  <si>
    <t>冨米野　祐輔</t>
  </si>
  <si>
    <t>フメノ　ユウスケ</t>
  </si>
  <si>
    <t>R010656689</t>
  </si>
  <si>
    <t>冬田　佑輔</t>
  </si>
  <si>
    <t>フユタ　ユウスケ</t>
  </si>
  <si>
    <t>R010599177</t>
  </si>
  <si>
    <t>古門　倖太</t>
  </si>
  <si>
    <t>フルカド　コウタ</t>
  </si>
  <si>
    <t>R010588863</t>
  </si>
  <si>
    <t>古川　士道</t>
  </si>
  <si>
    <t>フルカワ　シドウ</t>
  </si>
  <si>
    <t>R010586327</t>
  </si>
  <si>
    <t>古川　修士</t>
  </si>
  <si>
    <t>フルカワ　シュウト</t>
  </si>
  <si>
    <t>R010243661</t>
  </si>
  <si>
    <t>古川　大翔</t>
  </si>
  <si>
    <t>フルカワ　ヒロト</t>
  </si>
  <si>
    <t>R010538352</t>
  </si>
  <si>
    <t>古代　峻也</t>
  </si>
  <si>
    <t>フルシロ　シュンヤ</t>
  </si>
  <si>
    <t>R010468338</t>
  </si>
  <si>
    <t>古田　健悟</t>
  </si>
  <si>
    <t>フルタ　ケンゴ</t>
  </si>
  <si>
    <t>R010576544</t>
  </si>
  <si>
    <t>古田　智暉</t>
  </si>
  <si>
    <t>フルタ　トモキ</t>
  </si>
  <si>
    <t>R010432642</t>
  </si>
  <si>
    <t>古寺　明日架</t>
  </si>
  <si>
    <t>フルテラ　アスカ</t>
  </si>
  <si>
    <t>R001260405</t>
  </si>
  <si>
    <t>古畑　親治</t>
  </si>
  <si>
    <t>フルハタ　シンジ</t>
  </si>
  <si>
    <t>R010639576</t>
  </si>
  <si>
    <t>豊東　龍司</t>
  </si>
  <si>
    <t>ブンドウ　リュウジ</t>
  </si>
  <si>
    <t>R010576568</t>
  </si>
  <si>
    <t>白　太琥</t>
  </si>
  <si>
    <t>ペク　テホ</t>
  </si>
  <si>
    <t>R002678009</t>
  </si>
  <si>
    <t>保明　栄治</t>
  </si>
  <si>
    <t>ホアキ　エイジ</t>
  </si>
  <si>
    <t>R010214547</t>
  </si>
  <si>
    <t>帆足　大</t>
  </si>
  <si>
    <t>ホアシ　ダイ</t>
  </si>
  <si>
    <t>R010576374</t>
  </si>
  <si>
    <t>帆足　陽向</t>
  </si>
  <si>
    <t>ホアシ　ヒナタ</t>
  </si>
  <si>
    <t>R010314803</t>
  </si>
  <si>
    <t>帆足　優莉</t>
  </si>
  <si>
    <t>ホアシ　ユウリ</t>
  </si>
  <si>
    <t>R010604120</t>
  </si>
  <si>
    <t>宝珠　咲羽</t>
  </si>
  <si>
    <t>ホウス　サワ</t>
  </si>
  <si>
    <t>R010347384</t>
  </si>
  <si>
    <t>宝珠　史洋</t>
  </si>
  <si>
    <t>ホウス　フミヒロ</t>
  </si>
  <si>
    <t>R010444504</t>
  </si>
  <si>
    <t>法野　功太郎</t>
  </si>
  <si>
    <t>ホウノ　コウタロウ</t>
  </si>
  <si>
    <t>R010586307</t>
  </si>
  <si>
    <t>外園　湊心</t>
  </si>
  <si>
    <t>ホカゾノ　ソウタ</t>
  </si>
  <si>
    <t>R010579044</t>
  </si>
  <si>
    <t>外薗　澪</t>
  </si>
  <si>
    <t>ホカゾノ　リョウ</t>
  </si>
  <si>
    <t>R009484728</t>
  </si>
  <si>
    <t>星野　嵐</t>
  </si>
  <si>
    <t>ホシノ　ラン</t>
  </si>
  <si>
    <t>R010638073</t>
  </si>
  <si>
    <t>保月　信司</t>
  </si>
  <si>
    <t>ホヅキ　シンジ</t>
  </si>
  <si>
    <t>R010542174</t>
  </si>
  <si>
    <t>邉　拓哉</t>
  </si>
  <si>
    <t>ホトリ　タクヤ</t>
  </si>
  <si>
    <t>R010653577</t>
  </si>
  <si>
    <t>堀　愛歩</t>
  </si>
  <si>
    <t>ホリ　マナブ</t>
  </si>
  <si>
    <t>R010444520</t>
  </si>
  <si>
    <t>堀　悠佑</t>
  </si>
  <si>
    <t>ホリ　ユウスケ</t>
  </si>
  <si>
    <t>R010604763</t>
  </si>
  <si>
    <t>堀田　信斗</t>
  </si>
  <si>
    <t>ホリタ　アキト</t>
  </si>
  <si>
    <t>R010586718</t>
  </si>
  <si>
    <t>堀田　詞音</t>
  </si>
  <si>
    <t>ホリタ　シオン</t>
  </si>
  <si>
    <t>R010538385</t>
  </si>
  <si>
    <t>堀田　東寿</t>
  </si>
  <si>
    <t>ホリタ　トウシュウ</t>
  </si>
  <si>
    <t>R010586727</t>
  </si>
  <si>
    <t>堀田　姫花</t>
  </si>
  <si>
    <t>ホリタ　ヒメカ</t>
  </si>
  <si>
    <t>R010642089</t>
  </si>
  <si>
    <t>堀之内　唯人</t>
  </si>
  <si>
    <t>ホリノウチ　ユイト</t>
  </si>
  <si>
    <t>R010448636</t>
  </si>
  <si>
    <t>本郷　魁正</t>
  </si>
  <si>
    <t>ホンゴウ　カイセイ</t>
  </si>
  <si>
    <t>R010354651</t>
  </si>
  <si>
    <t>本城　瑛翔</t>
  </si>
  <si>
    <t>ホンジョウ　アキト</t>
  </si>
  <si>
    <t>R010552533</t>
  </si>
  <si>
    <t>本田　敬恭</t>
  </si>
  <si>
    <t>ホンダ　ケイスケ</t>
  </si>
  <si>
    <t>R001258899</t>
  </si>
  <si>
    <t>本田　淳仁</t>
  </si>
  <si>
    <t>ホンダ　ジュンジ</t>
  </si>
  <si>
    <t>R010586293</t>
  </si>
  <si>
    <t>本田　大誠</t>
  </si>
  <si>
    <t>ホンダ　タイセイ</t>
  </si>
  <si>
    <t>R010613593</t>
  </si>
  <si>
    <t>本田　光宣</t>
  </si>
  <si>
    <t>ホンダ　ミツノブ</t>
  </si>
  <si>
    <t>R010583758</t>
  </si>
  <si>
    <t>本田　郁恭</t>
  </si>
  <si>
    <t>ホンダ　ユウスケ</t>
  </si>
  <si>
    <t>R010604116</t>
  </si>
  <si>
    <t>本田　麗奈</t>
  </si>
  <si>
    <t>ホンダ　レナ</t>
  </si>
  <si>
    <t>R010602922</t>
  </si>
  <si>
    <t>前田　健吾</t>
  </si>
  <si>
    <t>マエダ　ケンゴ</t>
  </si>
  <si>
    <t>R006220192</t>
  </si>
  <si>
    <t>前田　貴浩</t>
  </si>
  <si>
    <t>マエダ　タカヒロ</t>
  </si>
  <si>
    <t>R010597284</t>
  </si>
  <si>
    <t>前田　優希</t>
  </si>
  <si>
    <t>マエダ　ユウキ</t>
  </si>
  <si>
    <t>R010432653</t>
  </si>
  <si>
    <t>マガリェンス　アルナウド</t>
  </si>
  <si>
    <t>R010656669</t>
  </si>
  <si>
    <t>牧　耕成</t>
  </si>
  <si>
    <t>マキ　コウセイ</t>
  </si>
  <si>
    <t>R010657459</t>
  </si>
  <si>
    <t>牧　宗汰</t>
  </si>
  <si>
    <t>マキ　ソウタ</t>
  </si>
  <si>
    <t>R010093496</t>
  </si>
  <si>
    <t>牧　大佑</t>
  </si>
  <si>
    <t>マキ　ダイスケ</t>
  </si>
  <si>
    <t>R010538362</t>
  </si>
  <si>
    <t>牧　優空</t>
  </si>
  <si>
    <t>マキ　ユラ</t>
  </si>
  <si>
    <t>R010653601</t>
  </si>
  <si>
    <t>牧野　透青</t>
  </si>
  <si>
    <t>マキノ　トア</t>
  </si>
  <si>
    <t>R010642065</t>
  </si>
  <si>
    <t>増田　和磨</t>
  </si>
  <si>
    <t>マスダ　カズマ</t>
  </si>
  <si>
    <t>R010576539</t>
  </si>
  <si>
    <t>益田　寛治</t>
  </si>
  <si>
    <t>マスダ　カンチ</t>
  </si>
  <si>
    <t>R010449558</t>
  </si>
  <si>
    <t>桝永　真斗</t>
  </si>
  <si>
    <t>マスナガ　マナト</t>
  </si>
  <si>
    <t>R010214601</t>
  </si>
  <si>
    <t>増野　凌雅</t>
  </si>
  <si>
    <t>マスノ　リョウガ</t>
  </si>
  <si>
    <t>R010581183</t>
  </si>
  <si>
    <t>鱒村侑土　ますむらゆうと</t>
  </si>
  <si>
    <t>マスムラ　ユウト</t>
  </si>
  <si>
    <t>R010613623</t>
  </si>
  <si>
    <t>松井　悠斗</t>
  </si>
  <si>
    <t>マツイ　ユウト</t>
  </si>
  <si>
    <t>R007753660</t>
  </si>
  <si>
    <t>松尾　和文</t>
  </si>
  <si>
    <t>マツオ　カズフミ</t>
  </si>
  <si>
    <t>R005528097</t>
  </si>
  <si>
    <t>松尾　国洋</t>
  </si>
  <si>
    <t>マツオ　クニヒロ</t>
  </si>
  <si>
    <t>R007334951</t>
  </si>
  <si>
    <t>松尾　賢一</t>
  </si>
  <si>
    <t>マツオ　ケンイチ</t>
  </si>
  <si>
    <t>R010601881</t>
  </si>
  <si>
    <t>松尾　彩希</t>
  </si>
  <si>
    <t>マツオ　サイキ</t>
  </si>
  <si>
    <t>R010444487</t>
  </si>
  <si>
    <t>松尾　征吾</t>
  </si>
  <si>
    <t>マツオ　セイゴ</t>
  </si>
  <si>
    <t>R010638085</t>
  </si>
  <si>
    <t>松尾　叶輝優</t>
  </si>
  <si>
    <t>マツオ　トキウ</t>
  </si>
  <si>
    <t>R010448941</t>
  </si>
  <si>
    <t>松尾　晴登</t>
  </si>
  <si>
    <t>マツオ　ハルト</t>
  </si>
  <si>
    <t>R010465583</t>
  </si>
  <si>
    <t>松岡　辰倫</t>
  </si>
  <si>
    <t>マツオカ　タツノリ</t>
  </si>
  <si>
    <t>R010604077</t>
  </si>
  <si>
    <t>松岡　祐太</t>
  </si>
  <si>
    <t>マツオカ　ユウタ</t>
  </si>
  <si>
    <t>R010465616</t>
  </si>
  <si>
    <t>松川　貴大</t>
  </si>
  <si>
    <t>マツカワ　タカヒロ</t>
  </si>
  <si>
    <t>R010604778</t>
  </si>
  <si>
    <t>松木　優飛</t>
  </si>
  <si>
    <t>マツキ　ユウビ</t>
  </si>
  <si>
    <t>R010415908</t>
  </si>
  <si>
    <t>松坂　童夢</t>
  </si>
  <si>
    <t>マツザカ　ドウム</t>
  </si>
  <si>
    <t>R010538334</t>
  </si>
  <si>
    <t>松崎　朱音</t>
  </si>
  <si>
    <t>マツザキ　アヤネ</t>
  </si>
  <si>
    <t>R010546314</t>
  </si>
  <si>
    <t>松崎　壮悟</t>
  </si>
  <si>
    <t>マツザキ　ショウゴ</t>
  </si>
  <si>
    <t>R010396597</t>
  </si>
  <si>
    <t>松﨑　裕太郎</t>
  </si>
  <si>
    <t>マツザキ　ユウタロウ</t>
  </si>
  <si>
    <t>R010390425</t>
  </si>
  <si>
    <t>松下　昂玄</t>
  </si>
  <si>
    <t>マツシタ　アキハル</t>
  </si>
  <si>
    <t>R010546338</t>
  </si>
  <si>
    <t>松下　琴春</t>
  </si>
  <si>
    <t>マツシタ　コハル</t>
  </si>
  <si>
    <t>R010613601</t>
  </si>
  <si>
    <t>松下　絢也</t>
  </si>
  <si>
    <t>マツシタ　ジュンヤ</t>
  </si>
  <si>
    <t>R007959723</t>
  </si>
  <si>
    <t>松下　立夫</t>
  </si>
  <si>
    <t>マツシタ　タテオ</t>
  </si>
  <si>
    <t>R010583762</t>
  </si>
  <si>
    <t>松下　未来翔</t>
  </si>
  <si>
    <t>マツシタ　ミクト</t>
  </si>
  <si>
    <t>R010642066</t>
  </si>
  <si>
    <t>松下　侑矢</t>
  </si>
  <si>
    <t>マツシタ　ユウヤ</t>
  </si>
  <si>
    <t>R010579116</t>
  </si>
  <si>
    <t>松添　大輝</t>
  </si>
  <si>
    <t>マツゾエ　ダイキ</t>
  </si>
  <si>
    <t>R010448936</t>
  </si>
  <si>
    <t>松高　蓮</t>
  </si>
  <si>
    <t>マツタカ　レン</t>
  </si>
  <si>
    <t>R010579154</t>
  </si>
  <si>
    <t>松田　翔空</t>
  </si>
  <si>
    <t>マツダ　トア</t>
  </si>
  <si>
    <t>R010311808</t>
  </si>
  <si>
    <t>松田　信行</t>
  </si>
  <si>
    <t>マツダ　ノブユキ</t>
  </si>
  <si>
    <t>R010539288</t>
  </si>
  <si>
    <t>松田　晴輝</t>
  </si>
  <si>
    <t>マツダ　ハルキ</t>
  </si>
  <si>
    <t>R010214585</t>
  </si>
  <si>
    <t>松胴　敦</t>
  </si>
  <si>
    <t>マツドウ　アツシ</t>
  </si>
  <si>
    <t>R010604769</t>
  </si>
  <si>
    <t>松胴　煌</t>
  </si>
  <si>
    <t>マツドウ　コウ</t>
  </si>
  <si>
    <t>R010613617</t>
  </si>
  <si>
    <t>松永　康汰</t>
  </si>
  <si>
    <t>マツナガ　コウタ</t>
  </si>
  <si>
    <t>R010579153</t>
  </si>
  <si>
    <t>松場　次元</t>
  </si>
  <si>
    <t>マツバ　ジゲン</t>
  </si>
  <si>
    <t>R010552549</t>
  </si>
  <si>
    <t>松原　樹</t>
  </si>
  <si>
    <t>マツバラ　イツキ</t>
  </si>
  <si>
    <t>R010376327</t>
  </si>
  <si>
    <t>松原　舜</t>
  </si>
  <si>
    <t>マツバラ　シュン</t>
  </si>
  <si>
    <t>R010432598</t>
  </si>
  <si>
    <t>松原　巧</t>
  </si>
  <si>
    <t>マツバラ　タクミ</t>
  </si>
  <si>
    <t>R010642061</t>
  </si>
  <si>
    <t>松原　大</t>
  </si>
  <si>
    <t>マツバラ　ダイ</t>
  </si>
  <si>
    <t>R010143937</t>
  </si>
  <si>
    <t>松原　仁</t>
  </si>
  <si>
    <t>マツバラ　ヒトシ</t>
  </si>
  <si>
    <t>R007002991</t>
  </si>
  <si>
    <t>松原　広幸</t>
  </si>
  <si>
    <t>マツバラ　ヒロユキ</t>
  </si>
  <si>
    <t>R004714970</t>
  </si>
  <si>
    <t>松原　政司</t>
  </si>
  <si>
    <t>マツバラ　マサシ</t>
  </si>
  <si>
    <t>R010347359</t>
  </si>
  <si>
    <t>松原　唯衣</t>
  </si>
  <si>
    <t>マツバラ　ユイ</t>
  </si>
  <si>
    <t>R010354652</t>
  </si>
  <si>
    <t>松村　晟直</t>
  </si>
  <si>
    <t>マツムラ　セイマ</t>
  </si>
  <si>
    <t>R010416214</t>
  </si>
  <si>
    <t>松村　未来</t>
  </si>
  <si>
    <t>マツムラ　ミク</t>
  </si>
  <si>
    <t>R010653154</t>
  </si>
  <si>
    <t>松村　夢生</t>
  </si>
  <si>
    <t>マツムラ　メイ</t>
  </si>
  <si>
    <t>R010542165</t>
  </si>
  <si>
    <t>松村　優希</t>
  </si>
  <si>
    <t>マツムラ　ユウキ</t>
  </si>
  <si>
    <t>R010579056</t>
  </si>
  <si>
    <t>松本　明大</t>
  </si>
  <si>
    <t>マツモト　アキヒロ</t>
  </si>
  <si>
    <t>R010653596</t>
  </si>
  <si>
    <t>松本　快理</t>
  </si>
  <si>
    <t>マツモト　カイリ</t>
  </si>
  <si>
    <t>R010093445</t>
  </si>
  <si>
    <t>松本　侑樹</t>
  </si>
  <si>
    <t>マツモト　ユウキ</t>
  </si>
  <si>
    <t>R004793940</t>
  </si>
  <si>
    <t>松本　祐輔</t>
  </si>
  <si>
    <t>マツモト　ユウスケ</t>
  </si>
  <si>
    <t>R010653582</t>
  </si>
  <si>
    <t>松本　凌茉</t>
  </si>
  <si>
    <t>マツモト　リョウマ</t>
  </si>
  <si>
    <t>R010602912</t>
  </si>
  <si>
    <t>松本　蓮</t>
  </si>
  <si>
    <t>マツモト　レン</t>
  </si>
  <si>
    <t>R010546270</t>
  </si>
  <si>
    <t>松山　琉維</t>
  </si>
  <si>
    <t>マツヤマ　ルイ</t>
  </si>
  <si>
    <t>R010451954</t>
  </si>
  <si>
    <t>松雪　浩俊</t>
  </si>
  <si>
    <t>マツユキ　ヒロトシ</t>
  </si>
  <si>
    <t>R010007817</t>
  </si>
  <si>
    <t>松吉　宏剛</t>
  </si>
  <si>
    <t>マツヨシ　ヒロマサ</t>
  </si>
  <si>
    <t>R010576531</t>
  </si>
  <si>
    <t>眞鍋　瑛士</t>
  </si>
  <si>
    <t>マナベ　エイシ</t>
  </si>
  <si>
    <t>R010358003</t>
  </si>
  <si>
    <t>三浦　櫂斗</t>
  </si>
  <si>
    <t>ミウラ　カイト</t>
  </si>
  <si>
    <t>R010604768</t>
  </si>
  <si>
    <t>三浦　雅斗</t>
  </si>
  <si>
    <t>ミウラ　ガクト</t>
  </si>
  <si>
    <t>R008634283</t>
  </si>
  <si>
    <t>三浦　憲太郎</t>
  </si>
  <si>
    <t>ミウラ　ケンタロウ</t>
  </si>
  <si>
    <t>R010281804</t>
  </si>
  <si>
    <t>三浦　建人</t>
  </si>
  <si>
    <t>ミウラ　ケント</t>
  </si>
  <si>
    <t>R010376286</t>
  </si>
  <si>
    <t>三浦　弘大</t>
  </si>
  <si>
    <t>ミウラ　コウダイ</t>
  </si>
  <si>
    <t>R010593961</t>
  </si>
  <si>
    <t>三浦　蒼羽</t>
  </si>
  <si>
    <t>ミウラ　ソウ</t>
  </si>
  <si>
    <t>R010120131</t>
  </si>
  <si>
    <t>三浦　哲郎</t>
  </si>
  <si>
    <t>ミウラ　テツロウ</t>
  </si>
  <si>
    <t>R010538321</t>
  </si>
  <si>
    <t>三浦　朋尚</t>
  </si>
  <si>
    <t>ミウラ　トモヒサ</t>
  </si>
  <si>
    <t>R010432617</t>
  </si>
  <si>
    <t>三浦　永遠</t>
  </si>
  <si>
    <t>ミウラ　トワ</t>
  </si>
  <si>
    <t>R010445836</t>
  </si>
  <si>
    <t>三浦　隼</t>
  </si>
  <si>
    <t>ミウラ　ハヤト</t>
  </si>
  <si>
    <t>R010516222</t>
  </si>
  <si>
    <t>三浦　瑞生</t>
  </si>
  <si>
    <t>ミウラ　ミズキ</t>
  </si>
  <si>
    <t>R006932437</t>
  </si>
  <si>
    <t>三浦　雄大</t>
  </si>
  <si>
    <t>ミウラ　ユウダイ</t>
  </si>
  <si>
    <t>R010638088</t>
  </si>
  <si>
    <t>三浦　優真</t>
  </si>
  <si>
    <t>ミウラ　ユウマ</t>
  </si>
  <si>
    <t>R010538372</t>
  </si>
  <si>
    <t>三浦　吏琥</t>
  </si>
  <si>
    <t>R010579100</t>
  </si>
  <si>
    <t>三浦　琉誠</t>
  </si>
  <si>
    <t>R006125772</t>
  </si>
  <si>
    <t>三重野　英人</t>
  </si>
  <si>
    <t>ミエノ　ヒデト</t>
  </si>
  <si>
    <t>R008523181</t>
  </si>
  <si>
    <t>三木　慎博</t>
  </si>
  <si>
    <t>ミキ　ノリヒロ</t>
  </si>
  <si>
    <t>R010542192</t>
  </si>
  <si>
    <t>右田　茂之</t>
  </si>
  <si>
    <t>ミギタ　シゲユキ</t>
  </si>
  <si>
    <t>R005987582</t>
  </si>
  <si>
    <t>三代　義彦</t>
  </si>
  <si>
    <t>ミシロ　ヨシヒコ</t>
  </si>
  <si>
    <t>R004060374</t>
  </si>
  <si>
    <t>水島　義規</t>
  </si>
  <si>
    <t>ミズシマ　ヨシノリ</t>
  </si>
  <si>
    <t>R010539946</t>
  </si>
  <si>
    <t>水城　莉緒斗</t>
  </si>
  <si>
    <t>ミズシロ　リオト</t>
  </si>
  <si>
    <t>R010465615</t>
  </si>
  <si>
    <t>水野　裕通</t>
  </si>
  <si>
    <t>ミズノ　ヒロミチ</t>
  </si>
  <si>
    <t>R010613627</t>
  </si>
  <si>
    <t>水本　純平</t>
  </si>
  <si>
    <t>ミズモト　ジュンペイ</t>
  </si>
  <si>
    <t>R010449908</t>
  </si>
  <si>
    <t>溝辺　哲也</t>
  </si>
  <si>
    <t>ミゾベ　テツヤ</t>
  </si>
  <si>
    <t>R010538363</t>
  </si>
  <si>
    <t>溝邉　陸馬</t>
  </si>
  <si>
    <t>ミゾベ　リクマ</t>
  </si>
  <si>
    <t>R010638079</t>
  </si>
  <si>
    <t>御手洗　真</t>
  </si>
  <si>
    <t>ミタライ　シン</t>
  </si>
  <si>
    <t>R004794073</t>
  </si>
  <si>
    <t>御手洗　佑太</t>
  </si>
  <si>
    <t>ミタライ　ユウタ</t>
  </si>
  <si>
    <t>R010386812</t>
  </si>
  <si>
    <t>道久　絵理</t>
  </si>
  <si>
    <t>ミチヒサ　エリ</t>
  </si>
  <si>
    <t>R010542196</t>
  </si>
  <si>
    <t>道脇　陽介</t>
  </si>
  <si>
    <t>ミチワキ　ヨウスケ</t>
  </si>
  <si>
    <t>R010376283</t>
  </si>
  <si>
    <t>三井　雄大</t>
  </si>
  <si>
    <t>ミツイ　ユウダイ</t>
  </si>
  <si>
    <t>R010465590</t>
  </si>
  <si>
    <t>満永　啓祐</t>
  </si>
  <si>
    <t>ミツナガ　ケイスケ</t>
  </si>
  <si>
    <t>R010546295</t>
  </si>
  <si>
    <t>光長　好男</t>
  </si>
  <si>
    <t>ミツナガ　ヨシオ</t>
  </si>
  <si>
    <t>R002917494</t>
  </si>
  <si>
    <t>三笘　晋也</t>
  </si>
  <si>
    <t>ミトマ　シンヤ</t>
  </si>
  <si>
    <t>R001261060</t>
  </si>
  <si>
    <t>三苫　靖</t>
  </si>
  <si>
    <t>ミトマ　ヤスシ</t>
  </si>
  <si>
    <t>R010350225</t>
  </si>
  <si>
    <t>南　佳織</t>
  </si>
  <si>
    <t>ミナミ　カオリ</t>
  </si>
  <si>
    <t>R010552554</t>
  </si>
  <si>
    <t>南　煌大</t>
  </si>
  <si>
    <t>ミナミ　コウダイ</t>
  </si>
  <si>
    <t>R010467693</t>
  </si>
  <si>
    <t>南　創太</t>
  </si>
  <si>
    <t>ミナミ　ソウタ</t>
  </si>
  <si>
    <t>R010599185</t>
  </si>
  <si>
    <t>峰田　雅人</t>
  </si>
  <si>
    <t>ミネダ　マサト</t>
  </si>
  <si>
    <t>R003677432</t>
  </si>
  <si>
    <t>三原　将弥</t>
  </si>
  <si>
    <t>ミハラ　マサヤ</t>
  </si>
  <si>
    <t>R010376288</t>
  </si>
  <si>
    <t>三股　正直</t>
  </si>
  <si>
    <t>ミマタ　タダナオ</t>
  </si>
  <si>
    <t>R010376890</t>
  </si>
  <si>
    <t>宮井　翔太</t>
  </si>
  <si>
    <t>ミヤイ　ショウタ</t>
  </si>
  <si>
    <t>R010594955</t>
  </si>
  <si>
    <t>宮垣　康次郎</t>
  </si>
  <si>
    <t>ミヤガキ　コウジロウ</t>
  </si>
  <si>
    <t>R010468360</t>
  </si>
  <si>
    <t>宮迫　悟</t>
  </si>
  <si>
    <t>ミヤサコ　サトル</t>
  </si>
  <si>
    <t>R010576546</t>
  </si>
  <si>
    <t>宮崎　康晴</t>
  </si>
  <si>
    <t>ミヤザキ　コウセイ</t>
  </si>
  <si>
    <t>R004793852</t>
  </si>
  <si>
    <t>宮崎　友雅</t>
  </si>
  <si>
    <t>ミヤザキ　トモマサ</t>
  </si>
  <si>
    <t>R010465624</t>
  </si>
  <si>
    <t>宮崎　裕司</t>
  </si>
  <si>
    <t>ミヤザキ　ユウジ</t>
  </si>
  <si>
    <t>R010396588</t>
  </si>
  <si>
    <t>宮里　直太郎</t>
  </si>
  <si>
    <t>ミヤザト　ナオタロウ</t>
  </si>
  <si>
    <t>R010538357</t>
  </si>
  <si>
    <t>宮成　亨治</t>
  </si>
  <si>
    <t>ミヤナリ　コウジ</t>
  </si>
  <si>
    <t>R010579098</t>
  </si>
  <si>
    <t>宮野　倖希</t>
  </si>
  <si>
    <t>ミヤノ　コウキ</t>
  </si>
  <si>
    <t>R010402786</t>
  </si>
  <si>
    <t>宮房　舞太朗</t>
  </si>
  <si>
    <t>ミヤフサ　ブンタロウ</t>
  </si>
  <si>
    <t>R010653562</t>
  </si>
  <si>
    <t>宮本　空弥</t>
  </si>
  <si>
    <t>ミヤモト　クウヤ</t>
  </si>
  <si>
    <t>R010465579</t>
  </si>
  <si>
    <t>宮本　圭一郎</t>
  </si>
  <si>
    <t>ミヤモト　ケイイチロウ</t>
  </si>
  <si>
    <t>R010390429</t>
  </si>
  <si>
    <t>宮本　晄汰</t>
  </si>
  <si>
    <t>ミヤモト　コウタ</t>
  </si>
  <si>
    <t>R010356116</t>
  </si>
  <si>
    <t>宮本　崇史</t>
  </si>
  <si>
    <t>ミヤモト　タカシ</t>
  </si>
  <si>
    <t>R010579111</t>
  </si>
  <si>
    <t>宮本　凪</t>
  </si>
  <si>
    <t>ミヤモト　ナギ</t>
  </si>
  <si>
    <t>R010576508</t>
  </si>
  <si>
    <t>宮本　規央</t>
  </si>
  <si>
    <t>ミヤモト　ノリヒロ</t>
  </si>
  <si>
    <t>R010354797</t>
  </si>
  <si>
    <t>宮本　陽紀</t>
  </si>
  <si>
    <t>ミヤモト　ハルキ</t>
  </si>
  <si>
    <t>R010653605</t>
  </si>
  <si>
    <t>宮本　陽向</t>
  </si>
  <si>
    <t>ミヤモト　ヒナタ</t>
  </si>
  <si>
    <t>R010415889</t>
  </si>
  <si>
    <t>宮本　遼一</t>
  </si>
  <si>
    <t>ミヤモト　リョウイチ</t>
  </si>
  <si>
    <t>R010546285</t>
  </si>
  <si>
    <t>宮本　怜旺</t>
  </si>
  <si>
    <t>ミヤモト　レオ</t>
  </si>
  <si>
    <t>R010538328</t>
  </si>
  <si>
    <t>宮脇　大芽</t>
  </si>
  <si>
    <t>ミヤワキ　タイガ</t>
  </si>
  <si>
    <t>R010604762</t>
  </si>
  <si>
    <t>向井　夕真</t>
  </si>
  <si>
    <t>ムカイ　ユウマ</t>
  </si>
  <si>
    <t>R010576526</t>
  </si>
  <si>
    <t>牟田　風太</t>
  </si>
  <si>
    <t>ムタ　フウタ</t>
  </si>
  <si>
    <t>R010538333</t>
  </si>
  <si>
    <t>武藤　匠海</t>
  </si>
  <si>
    <t>ムトウ　タクミ</t>
  </si>
  <si>
    <t>R004793755</t>
  </si>
  <si>
    <t>宗岡　亮次</t>
  </si>
  <si>
    <t>ムナオカ　リョウジ</t>
  </si>
  <si>
    <t>R010354655</t>
  </si>
  <si>
    <t>村岡　拓海</t>
  </si>
  <si>
    <t>ムラオカ　タクミ</t>
  </si>
  <si>
    <t>R010214582</t>
  </si>
  <si>
    <t>村上　叶恋</t>
  </si>
  <si>
    <t>ムラカミ　カレン</t>
  </si>
  <si>
    <t>R010314806</t>
  </si>
  <si>
    <t>村上　煌誠</t>
  </si>
  <si>
    <t>ムラカミ　コウセイ</t>
  </si>
  <si>
    <t>R010313763</t>
  </si>
  <si>
    <t>村上　瑳彩</t>
  </si>
  <si>
    <t>ムラカミ　サアヤ</t>
  </si>
  <si>
    <t>R010347370</t>
  </si>
  <si>
    <t>村上　紫叶</t>
  </si>
  <si>
    <t>ムラカミ　シド</t>
  </si>
  <si>
    <t>R010579061</t>
  </si>
  <si>
    <t>村上　泰基</t>
  </si>
  <si>
    <t>ムラカミ　タイキ</t>
  </si>
  <si>
    <t>R010642073</t>
  </si>
  <si>
    <t>村上　駿斗</t>
  </si>
  <si>
    <t>ムラカミ　ハヤト</t>
  </si>
  <si>
    <t>R010579150</t>
  </si>
  <si>
    <t>村上　温俊</t>
  </si>
  <si>
    <t>R001261237</t>
  </si>
  <si>
    <t>村上　康哉</t>
  </si>
  <si>
    <t>ムラカミ　ヤスヤ</t>
  </si>
  <si>
    <t>R001737174</t>
  </si>
  <si>
    <t>村上　洋平</t>
  </si>
  <si>
    <t>ムラカミ　ヨウヘイ</t>
  </si>
  <si>
    <t>R010604121</t>
  </si>
  <si>
    <t>村上　凜果</t>
  </si>
  <si>
    <t>ムラカミ　リンカ</t>
  </si>
  <si>
    <t>R010546325</t>
  </si>
  <si>
    <t>村田　龍二</t>
  </si>
  <si>
    <t>ムラタ　リュウジ</t>
  </si>
  <si>
    <t>R010162976</t>
  </si>
  <si>
    <t>村本　輝</t>
  </si>
  <si>
    <t>ムラモト　ヒカル</t>
  </si>
  <si>
    <t>R010613633</t>
  </si>
  <si>
    <t>村守　拓己</t>
  </si>
  <si>
    <t>ムラモリ　タクミ</t>
  </si>
  <si>
    <t>R008797908</t>
  </si>
  <si>
    <t>村谷　祐一</t>
  </si>
  <si>
    <t>ムラヤ　ユウイチ</t>
  </si>
  <si>
    <t>R010214562</t>
  </si>
  <si>
    <t>村山　武志</t>
  </si>
  <si>
    <t>ムラヤマ　タケシ</t>
  </si>
  <si>
    <t>R010468355</t>
  </si>
  <si>
    <t>室　元樹</t>
  </si>
  <si>
    <t>ムロ　ゲンキ</t>
  </si>
  <si>
    <t>R010586302</t>
  </si>
  <si>
    <t>室谷　優心</t>
  </si>
  <si>
    <t>ムロタニ　ユウシン</t>
  </si>
  <si>
    <t>R010314810</t>
  </si>
  <si>
    <t>用松　聖登</t>
  </si>
  <si>
    <t>モチマツ　マサト</t>
  </si>
  <si>
    <t>R010306448</t>
  </si>
  <si>
    <t>元木　勇太</t>
  </si>
  <si>
    <t>モトキ　ユウタ</t>
  </si>
  <si>
    <t>R003421684</t>
  </si>
  <si>
    <t>本野　秀貴</t>
  </si>
  <si>
    <t>モトノ　ヒデタカ</t>
  </si>
  <si>
    <t>R010576513</t>
  </si>
  <si>
    <t>本室　匠翔</t>
  </si>
  <si>
    <t>モトムロ　タクト</t>
  </si>
  <si>
    <t>R010638087</t>
  </si>
  <si>
    <t>桃田　偉吹</t>
  </si>
  <si>
    <t>モモタ　イブキ</t>
  </si>
  <si>
    <t>R010546272</t>
  </si>
  <si>
    <t>百田　凌基</t>
  </si>
  <si>
    <t>モモタ　リョウキ</t>
  </si>
  <si>
    <t>R010642026</t>
  </si>
  <si>
    <t>森　一将</t>
  </si>
  <si>
    <t>モリ　カズマサ</t>
  </si>
  <si>
    <t>R010214605</t>
  </si>
  <si>
    <t>森　恭子</t>
  </si>
  <si>
    <t>モリ　キョウコ</t>
  </si>
  <si>
    <t>R010390423</t>
  </si>
  <si>
    <t>森　健太朗</t>
  </si>
  <si>
    <t>モリ　ケンタロウ</t>
  </si>
  <si>
    <t>R010538340</t>
  </si>
  <si>
    <t>森　弦世</t>
  </si>
  <si>
    <t>モリ　ゲンセイ</t>
  </si>
  <si>
    <t>R010465588</t>
  </si>
  <si>
    <t>森　秀太</t>
  </si>
  <si>
    <t>モリ　シュウタ</t>
  </si>
  <si>
    <t>R010579077</t>
  </si>
  <si>
    <t>森　脩人</t>
  </si>
  <si>
    <t>モリ　シュント</t>
  </si>
  <si>
    <t>R010604084</t>
  </si>
  <si>
    <t>森　瞬平</t>
  </si>
  <si>
    <t>モリ　シュンペイ</t>
  </si>
  <si>
    <t>R010553464</t>
  </si>
  <si>
    <t>森　寛希</t>
  </si>
  <si>
    <t>モリ　ヒロキ</t>
  </si>
  <si>
    <t>R010538303</t>
  </si>
  <si>
    <t>R010214606</t>
  </si>
  <si>
    <t>森　凛人</t>
  </si>
  <si>
    <t>モリ　リト</t>
  </si>
  <si>
    <t>R010281811</t>
  </si>
  <si>
    <t>森崎　敬三</t>
  </si>
  <si>
    <t>モリサキ　ケイゾウ</t>
  </si>
  <si>
    <t>R010540702</t>
  </si>
  <si>
    <t>森崎　陽輝</t>
  </si>
  <si>
    <t>モリサキ　ハルキ</t>
  </si>
  <si>
    <t>R010448918</t>
  </si>
  <si>
    <t>森崎　瑠聖</t>
  </si>
  <si>
    <t>モリサキ　リュウセイ</t>
  </si>
  <si>
    <t>R010421575</t>
  </si>
  <si>
    <t>森崎　瑠菜</t>
  </si>
  <si>
    <t>モリサキ　ルナ</t>
  </si>
  <si>
    <t>R010261595</t>
  </si>
  <si>
    <t>森迫　遥希</t>
  </si>
  <si>
    <t>モリサコ　ハルキ</t>
  </si>
  <si>
    <t>R010415902</t>
  </si>
  <si>
    <t>森下　柊飛</t>
  </si>
  <si>
    <t>モリシタ　シュウト</t>
  </si>
  <si>
    <t>R010069888</t>
  </si>
  <si>
    <t>森下　晴悟</t>
  </si>
  <si>
    <t>モリシタ　セイゴ</t>
  </si>
  <si>
    <t>R010546286</t>
  </si>
  <si>
    <t>森下　春翔</t>
  </si>
  <si>
    <t>モリシタ　ハルト</t>
  </si>
  <si>
    <t>R009547081</t>
  </si>
  <si>
    <t>森田　章吾</t>
  </si>
  <si>
    <t>モリタ　ショウゴ</t>
  </si>
  <si>
    <t>R010546280</t>
  </si>
  <si>
    <t>盛田　柚九</t>
  </si>
  <si>
    <t>モリタ　ユズキ</t>
  </si>
  <si>
    <t>R010576386</t>
  </si>
  <si>
    <t>森永　一輝</t>
  </si>
  <si>
    <t>モリナガ　イッキ</t>
  </si>
  <si>
    <t>R010259432</t>
  </si>
  <si>
    <t>森永　和彦</t>
  </si>
  <si>
    <t>モリナガ　カズヒコ</t>
  </si>
  <si>
    <t>R010538339</t>
  </si>
  <si>
    <t>森永　悠太</t>
  </si>
  <si>
    <t>モリナガ　ユウタ</t>
  </si>
  <si>
    <t>R010415904</t>
  </si>
  <si>
    <t>森光　皇介</t>
  </si>
  <si>
    <t>モリミツ　オウスケ</t>
  </si>
  <si>
    <t>R010576533</t>
  </si>
  <si>
    <t>森本　祥晃</t>
  </si>
  <si>
    <t>モリモト　ヨシアキ</t>
  </si>
  <si>
    <t>R010538310</t>
  </si>
  <si>
    <t>森山　藍琉</t>
  </si>
  <si>
    <t>モリヤマ　アイル</t>
  </si>
  <si>
    <t>R010416219</t>
  </si>
  <si>
    <t>森山　敦能</t>
  </si>
  <si>
    <t>モリヤマ　アツヒサ</t>
  </si>
  <si>
    <t>R010588860</t>
  </si>
  <si>
    <t>諸永　徠斗</t>
  </si>
  <si>
    <t>モロナガ　ライト</t>
  </si>
  <si>
    <t>R010465599</t>
  </si>
  <si>
    <t>薬師寺　康平</t>
  </si>
  <si>
    <t>ヤクシジ　コウヘイ</t>
  </si>
  <si>
    <t>R010352985</t>
  </si>
  <si>
    <t>薬師寺　章伊</t>
  </si>
  <si>
    <t>ヤクシジ　ショウイ</t>
  </si>
  <si>
    <t>R010638062</t>
  </si>
  <si>
    <t>薬師寺　悠貴</t>
  </si>
  <si>
    <t>ヤクシジ　ユウキ</t>
  </si>
  <si>
    <t>R009554735</t>
  </si>
  <si>
    <t>八坂　直輝</t>
  </si>
  <si>
    <t>ヤサカ　ナオキ</t>
  </si>
  <si>
    <t>R009460472</t>
  </si>
  <si>
    <t>八坂　秀青</t>
  </si>
  <si>
    <t>ヤサカ　ヒデハル</t>
  </si>
  <si>
    <t>R010396581</t>
  </si>
  <si>
    <t>矢治　弘志郎</t>
  </si>
  <si>
    <t>ヤジ　コウシロウ</t>
  </si>
  <si>
    <t>R010653588</t>
  </si>
  <si>
    <t>矢治　雅弘</t>
  </si>
  <si>
    <t>ヤジ　マサヒロ</t>
  </si>
  <si>
    <t>R010579107</t>
  </si>
  <si>
    <t>安永　瑛翔</t>
  </si>
  <si>
    <t>ヤスナガ　エイト</t>
  </si>
  <si>
    <t>R010093501</t>
  </si>
  <si>
    <t>安波　俊英</t>
  </si>
  <si>
    <t>ヤスナミ　トシヒデ</t>
  </si>
  <si>
    <t>R010376892</t>
  </si>
  <si>
    <t>安久　克也</t>
  </si>
  <si>
    <t>ヤスヒサ　カツヤ</t>
  </si>
  <si>
    <t>R010100689</t>
  </si>
  <si>
    <t>保本　忠広</t>
  </si>
  <si>
    <t>ヤスモト　タダヒロ</t>
  </si>
  <si>
    <t>R010314816</t>
  </si>
  <si>
    <t>矢田　彩都</t>
  </si>
  <si>
    <t>ヤダ　アヤト</t>
  </si>
  <si>
    <t>R010603058</t>
  </si>
  <si>
    <t>八田　凉冴</t>
  </si>
  <si>
    <t>ヤツダ　リョウゴ</t>
  </si>
  <si>
    <t>R010642048</t>
  </si>
  <si>
    <t>柳井　研人</t>
  </si>
  <si>
    <t>ヤナイ　ケント</t>
  </si>
  <si>
    <t>R010467577</t>
  </si>
  <si>
    <t>矢内　蒼丸</t>
  </si>
  <si>
    <t>ヤナイ　ソウマ</t>
  </si>
  <si>
    <t>R010604094</t>
  </si>
  <si>
    <t>柳井　秀斗</t>
  </si>
  <si>
    <t>ヤナイ　ヒデト</t>
  </si>
  <si>
    <t>R010538290</t>
  </si>
  <si>
    <t>柳井　雅貴</t>
  </si>
  <si>
    <t>ヤナイ　マサタカ</t>
  </si>
  <si>
    <t>R010579083</t>
  </si>
  <si>
    <t>栁本　楓</t>
  </si>
  <si>
    <t>ヤナギモト　カエデ</t>
  </si>
  <si>
    <t>R010453584</t>
  </si>
  <si>
    <t>柳本　龍成</t>
  </si>
  <si>
    <t>ヤナモト　リュウセイ</t>
  </si>
  <si>
    <t>R010604775</t>
  </si>
  <si>
    <t>矢野　晃也</t>
  </si>
  <si>
    <t>ヤノ　アキヤ</t>
  </si>
  <si>
    <t>R010538389</t>
  </si>
  <si>
    <t>矢野　伊織</t>
  </si>
  <si>
    <t>ヤノ　イオリ</t>
  </si>
  <si>
    <t>R010579108</t>
  </si>
  <si>
    <t>矢野　草隼</t>
  </si>
  <si>
    <t>ヤノ　ソウジュン</t>
  </si>
  <si>
    <t>R010281882</t>
  </si>
  <si>
    <t>矢野　巽也</t>
  </si>
  <si>
    <t>ヤノ　タツヤ</t>
  </si>
  <si>
    <t>R010579072</t>
  </si>
  <si>
    <t>矢野　達也</t>
  </si>
  <si>
    <t>R010255171</t>
  </si>
  <si>
    <t>矢野　十央南</t>
  </si>
  <si>
    <t>ヤノ　トオナ</t>
  </si>
  <si>
    <t>R010445840</t>
  </si>
  <si>
    <t>矢野　虎乃介</t>
  </si>
  <si>
    <t>ヤノ　トラノスケ</t>
  </si>
  <si>
    <t>R010542185</t>
  </si>
  <si>
    <t>矢野　裕</t>
  </si>
  <si>
    <t>ヤノ　ユウ</t>
  </si>
  <si>
    <t>R010281830</t>
  </si>
  <si>
    <t>矢野　譲</t>
  </si>
  <si>
    <t>ヤノ　ユズル</t>
  </si>
  <si>
    <t>R010388051</t>
  </si>
  <si>
    <t>矢野　陵太</t>
  </si>
  <si>
    <t>ヤノ　リョウタ</t>
  </si>
  <si>
    <t>R010593959</t>
  </si>
  <si>
    <t>矢野　廉士</t>
  </si>
  <si>
    <t>ヤノ　レンシ</t>
  </si>
  <si>
    <t>R010579080</t>
  </si>
  <si>
    <t>矢羽田　大夢</t>
  </si>
  <si>
    <t>ヤハタ　ヒロム</t>
  </si>
  <si>
    <t>R010352990</t>
  </si>
  <si>
    <t>矢部　泰史</t>
  </si>
  <si>
    <t>ヤベ　タイシ</t>
  </si>
  <si>
    <t>R010579093</t>
  </si>
  <si>
    <t>山内　利彦</t>
  </si>
  <si>
    <t>ヤマウチ　トシヒコ</t>
  </si>
  <si>
    <t>R010159134</t>
  </si>
  <si>
    <t>山岡　航大</t>
  </si>
  <si>
    <t>ヤマオカ　コウダイ</t>
  </si>
  <si>
    <t>R010354810</t>
  </si>
  <si>
    <t>山岸　琥生</t>
  </si>
  <si>
    <t>ヤマギシ　コウ</t>
  </si>
  <si>
    <t>R010588855</t>
  </si>
  <si>
    <t>山岸　秀彰</t>
  </si>
  <si>
    <t>ヤマギシ　ヒデアキ</t>
  </si>
  <si>
    <t>R010538379</t>
  </si>
  <si>
    <t>山口　翔大</t>
  </si>
  <si>
    <t>ヤマグチ　ショウタ</t>
  </si>
  <si>
    <t>R010553465</t>
  </si>
  <si>
    <t>山口　優希翔</t>
  </si>
  <si>
    <t>ヤマグチ　ユキト</t>
  </si>
  <si>
    <t>R010579106</t>
  </si>
  <si>
    <t>山﨑　櫂</t>
  </si>
  <si>
    <t>ヤマサキ　カイ</t>
  </si>
  <si>
    <t>R010586728</t>
  </si>
  <si>
    <t>山﨑　康大</t>
  </si>
  <si>
    <t>R010601888</t>
  </si>
  <si>
    <t>山﨑　世大</t>
  </si>
  <si>
    <t>ヤマサキ　セオ</t>
  </si>
  <si>
    <t>R008174338</t>
  </si>
  <si>
    <t>山﨑　爽暉</t>
  </si>
  <si>
    <t>ヤマサキ　ソウキ</t>
  </si>
  <si>
    <t>R010599577</t>
  </si>
  <si>
    <t>山崎　大希</t>
  </si>
  <si>
    <t>ヤマサキ　タイキ</t>
  </si>
  <si>
    <t>R006220873</t>
  </si>
  <si>
    <t>山崎　武志</t>
  </si>
  <si>
    <t>ヤマサキ　タケシ</t>
  </si>
  <si>
    <t>R010656687</t>
  </si>
  <si>
    <t>山崎　発</t>
  </si>
  <si>
    <t>ヤマサキ　ハツ</t>
  </si>
  <si>
    <t>R010553468</t>
  </si>
  <si>
    <t>山崎　博文</t>
  </si>
  <si>
    <t>ヤマサキ　ヒロフミ</t>
  </si>
  <si>
    <t>R010440455</t>
  </si>
  <si>
    <t>山﨑　彩永</t>
  </si>
  <si>
    <t>ヤマザキ　サエ</t>
  </si>
  <si>
    <t>R010466473</t>
  </si>
  <si>
    <t>山崎　哲也</t>
  </si>
  <si>
    <t>ヤマザキ　テツヤ</t>
  </si>
  <si>
    <t>R010638082</t>
  </si>
  <si>
    <t>山下　和輝</t>
  </si>
  <si>
    <t>ヤマシタ　カズキ</t>
  </si>
  <si>
    <t>R010579359</t>
  </si>
  <si>
    <t>山下　一浩</t>
  </si>
  <si>
    <t>ヤマシタ　カズヒロ</t>
  </si>
  <si>
    <t>R010248576</t>
  </si>
  <si>
    <t>山下　瞬亮</t>
  </si>
  <si>
    <t>ヤマシタ　シュンスケ</t>
  </si>
  <si>
    <t>R010656698</t>
  </si>
  <si>
    <t>山下　太陽</t>
  </si>
  <si>
    <t>ヤマシタ　タイヨウ</t>
  </si>
  <si>
    <t>R010599578</t>
  </si>
  <si>
    <t>山下　貴弘</t>
  </si>
  <si>
    <t>ヤマシタ　タカヒロ</t>
  </si>
  <si>
    <t>R010642090</t>
  </si>
  <si>
    <t>山下　大地</t>
  </si>
  <si>
    <t>ヤマシタ　ダイチ</t>
  </si>
  <si>
    <t>R007090792</t>
  </si>
  <si>
    <t>山下　寛明</t>
  </si>
  <si>
    <t>ヤマシタ　ヒロアキ</t>
  </si>
  <si>
    <t>R010376893</t>
  </si>
  <si>
    <t>山下　靖之</t>
  </si>
  <si>
    <t>ヤマシタ　ヤスユキ</t>
  </si>
  <si>
    <t>R010396554</t>
  </si>
  <si>
    <t>山下　勇翔</t>
  </si>
  <si>
    <t>ヤマシタ　ユウト</t>
  </si>
  <si>
    <t>R010376896</t>
  </si>
  <si>
    <t>山下　竜二</t>
  </si>
  <si>
    <t>ヤマシタ　リュウジ</t>
  </si>
  <si>
    <t>R010604771</t>
  </si>
  <si>
    <t>山下　玲和</t>
  </si>
  <si>
    <t>ヤマシタ　レイオ</t>
  </si>
  <si>
    <t>R010638057</t>
  </si>
  <si>
    <t>山住　広輝</t>
  </si>
  <si>
    <t>ヤマズミ　ヒロキ</t>
  </si>
  <si>
    <t>R010593957</t>
  </si>
  <si>
    <t>山添　央晴</t>
  </si>
  <si>
    <t>ヤマゾエ　オウセイ</t>
  </si>
  <si>
    <t>R010602924</t>
  </si>
  <si>
    <t>山田　晴斗</t>
  </si>
  <si>
    <t>ヤマダ　ハルト</t>
  </si>
  <si>
    <t>R010214542</t>
  </si>
  <si>
    <t>山田　宏和</t>
  </si>
  <si>
    <t>ヤマダ　ヒロカズ</t>
  </si>
  <si>
    <t>R010653160</t>
  </si>
  <si>
    <t>山田　心結</t>
  </si>
  <si>
    <t>ヤマダ　ミユウ</t>
  </si>
  <si>
    <t>R010396544</t>
  </si>
  <si>
    <t>山田　結和</t>
  </si>
  <si>
    <t>ヤマダ　ユウト</t>
  </si>
  <si>
    <t>R010593960</t>
  </si>
  <si>
    <t>山中　栄樟</t>
  </si>
  <si>
    <t>ヤマナカ　エイショウ</t>
  </si>
  <si>
    <t>R010586312</t>
  </si>
  <si>
    <t>山根　蒼詩</t>
  </si>
  <si>
    <t>ヤマネ　ソウタ</t>
  </si>
  <si>
    <t>R006220101</t>
  </si>
  <si>
    <t>山根　雄治</t>
  </si>
  <si>
    <t>ヤマネ　ユウジ</t>
  </si>
  <si>
    <t>R010390428</t>
  </si>
  <si>
    <t>山村　一聡</t>
  </si>
  <si>
    <t>ヤマムラ　イッソウ</t>
  </si>
  <si>
    <t>R010546339</t>
  </si>
  <si>
    <t>山村　千代花</t>
  </si>
  <si>
    <t>ヤマムラ　チヨカ</t>
  </si>
  <si>
    <t>R010538311</t>
  </si>
  <si>
    <t>山村　悠己</t>
  </si>
  <si>
    <t>ヤマムラ　ユウキ</t>
  </si>
  <si>
    <t>R010445843</t>
  </si>
  <si>
    <t>山本　海璃</t>
  </si>
  <si>
    <t>ヤマモト　カイリ</t>
  </si>
  <si>
    <t>R006872612</t>
  </si>
  <si>
    <t>ヤマモト　一夫</t>
  </si>
  <si>
    <t>ヤマモト　カズオ</t>
  </si>
  <si>
    <t>R006125639</t>
  </si>
  <si>
    <t>山本　一広</t>
  </si>
  <si>
    <t>ヤマモト　カズヒロ</t>
  </si>
  <si>
    <t>R010642063</t>
  </si>
  <si>
    <t>山元　幹太</t>
  </si>
  <si>
    <t>ヤマモト　カンタ</t>
  </si>
  <si>
    <t>R010579097</t>
  </si>
  <si>
    <t>山本　希龍</t>
  </si>
  <si>
    <t>ヤマモト　キリュウ</t>
  </si>
  <si>
    <t>R010538335</t>
  </si>
  <si>
    <t>山本　恵太郎</t>
  </si>
  <si>
    <t>ヤマモト　ケイタロウ</t>
  </si>
  <si>
    <t>R005603228</t>
  </si>
  <si>
    <t>山本　康平</t>
  </si>
  <si>
    <t>ヤマモト　コウヘイ</t>
  </si>
  <si>
    <t>R010586723</t>
  </si>
  <si>
    <t>山本　耕平</t>
  </si>
  <si>
    <t>R010576550</t>
  </si>
  <si>
    <t>山本　祥領</t>
  </si>
  <si>
    <t>ヤマモト　ショウリ</t>
  </si>
  <si>
    <t>R010189317</t>
  </si>
  <si>
    <t>山本　純平</t>
  </si>
  <si>
    <t>ヤマモト　ジュンペイ</t>
  </si>
  <si>
    <t>R010638061</t>
  </si>
  <si>
    <t>山本　蒼太</t>
  </si>
  <si>
    <t>R010542530</t>
  </si>
  <si>
    <t>山本　太郎</t>
  </si>
  <si>
    <t>ヤマモト　タロウ</t>
  </si>
  <si>
    <t>R010594943</t>
  </si>
  <si>
    <t>山本　大智</t>
  </si>
  <si>
    <t>ヤマモト　ダイチ</t>
  </si>
  <si>
    <t>R010613600</t>
  </si>
  <si>
    <t>山本　光彦</t>
  </si>
  <si>
    <t>ヤマモト　テルヒコ</t>
  </si>
  <si>
    <t>R010538381</t>
  </si>
  <si>
    <t>山本　成彦</t>
  </si>
  <si>
    <t>ヤマモト　ノリヒコ</t>
  </si>
  <si>
    <t>R010400187</t>
  </si>
  <si>
    <t>山本　隼斗</t>
  </si>
  <si>
    <t>ヤマモト　ハヤト</t>
  </si>
  <si>
    <t>R010539284</t>
  </si>
  <si>
    <t>山本　成人</t>
  </si>
  <si>
    <t>ヤマモト　マサト</t>
  </si>
  <si>
    <t>R010642093</t>
  </si>
  <si>
    <t>山本　祐翔</t>
  </si>
  <si>
    <t>ヤマモト　ユウト</t>
  </si>
  <si>
    <t>R010546337</t>
  </si>
  <si>
    <t>山本　獅王</t>
  </si>
  <si>
    <t>ヤマモト　レオ</t>
  </si>
  <si>
    <t>R010214619</t>
  </si>
  <si>
    <t>山矢　修冬</t>
  </si>
  <si>
    <t>ヤマヤ　シュウト</t>
  </si>
  <si>
    <t>R005164312</t>
  </si>
  <si>
    <t>矢幡　裕一</t>
  </si>
  <si>
    <t>ヤワタ　ユウイチ</t>
  </si>
  <si>
    <t>R010169045</t>
  </si>
  <si>
    <t>湯浅　翼</t>
  </si>
  <si>
    <t>ユアサ　ツバサ</t>
  </si>
  <si>
    <t>R010448921</t>
  </si>
  <si>
    <t>湯浅　諒</t>
  </si>
  <si>
    <t>ユアサ　リョウ</t>
  </si>
  <si>
    <t>R010599605</t>
  </si>
  <si>
    <t>幸　大貴</t>
  </si>
  <si>
    <t>ユキ　ダイキ</t>
  </si>
  <si>
    <t>R010638068</t>
  </si>
  <si>
    <t>幸　大翔</t>
  </si>
  <si>
    <t>ユキ　ヒロト</t>
  </si>
  <si>
    <t>R010653571</t>
  </si>
  <si>
    <t>幸　洋太</t>
  </si>
  <si>
    <t>ユキ　ヨウタ</t>
  </si>
  <si>
    <t>R010604087</t>
  </si>
  <si>
    <t>幸重　頼人</t>
  </si>
  <si>
    <t>ユキシゲ　ライト</t>
  </si>
  <si>
    <t>R010214620</t>
  </si>
  <si>
    <t>雪野　知花</t>
  </si>
  <si>
    <t>ユキノ　チカ</t>
  </si>
  <si>
    <t>R010602919</t>
  </si>
  <si>
    <t>行船　琉生</t>
  </si>
  <si>
    <t>ユキフネ　リュウ</t>
  </si>
  <si>
    <t>R010631819</t>
  </si>
  <si>
    <t>弓削　ひらり</t>
  </si>
  <si>
    <t>ユゲ　ヒラリ</t>
  </si>
  <si>
    <t>R010352958</t>
  </si>
  <si>
    <t>油野　陣大</t>
  </si>
  <si>
    <t>ユノ　ジンタ</t>
  </si>
  <si>
    <t>R010261479</t>
  </si>
  <si>
    <t>柚木　貴博</t>
  </si>
  <si>
    <t>ユノキ　タカヒロ</t>
  </si>
  <si>
    <t>R010583802</t>
  </si>
  <si>
    <t>由利　倖大</t>
  </si>
  <si>
    <t>ユリ　コウダイ</t>
  </si>
  <si>
    <t>R010546330</t>
  </si>
  <si>
    <t>用正　蓮歩</t>
  </si>
  <si>
    <t>ヨウショウ　レアル</t>
  </si>
  <si>
    <t>R010632671</t>
  </si>
  <si>
    <t>與倉　萌生</t>
  </si>
  <si>
    <t>ヨクラ　メイ</t>
  </si>
  <si>
    <t>R010604068</t>
  </si>
  <si>
    <t>横井　希星</t>
  </si>
  <si>
    <t>ヨコイ　キラ</t>
  </si>
  <si>
    <t>R010576376</t>
  </si>
  <si>
    <t>横江　恒瑛</t>
  </si>
  <si>
    <t>ヨコエ　コウヨウ</t>
  </si>
  <si>
    <t>R010214553</t>
  </si>
  <si>
    <t>横尾　茂</t>
  </si>
  <si>
    <t>ヨコオ　シゲル</t>
  </si>
  <si>
    <t>R010354817</t>
  </si>
  <si>
    <t>横尾　夏希</t>
  </si>
  <si>
    <t>ヨコオ　ナツキ</t>
  </si>
  <si>
    <t>R010376889</t>
  </si>
  <si>
    <t>横尾　侑磨</t>
  </si>
  <si>
    <t>ヨコオ　ユウマ</t>
  </si>
  <si>
    <t>R010586316</t>
  </si>
  <si>
    <t>横田　啓</t>
  </si>
  <si>
    <t>ヨコタ　ケイ</t>
  </si>
  <si>
    <t>R010653604</t>
  </si>
  <si>
    <t>横田　大河</t>
  </si>
  <si>
    <t>ヨコタ　タイガ</t>
  </si>
  <si>
    <t>R010538392</t>
  </si>
  <si>
    <t>横飛　明</t>
  </si>
  <si>
    <t>ヨコトビ　アキラ</t>
  </si>
  <si>
    <t>R010396519</t>
  </si>
  <si>
    <t>横野　陸斗</t>
  </si>
  <si>
    <t>ヨコノ　リクト</t>
  </si>
  <si>
    <t>R010391956</t>
  </si>
  <si>
    <t>横道　俊輔</t>
  </si>
  <si>
    <t>ヨコミチ　シュンスケ</t>
  </si>
  <si>
    <t>R010546315</t>
  </si>
  <si>
    <t>吉井　琉輝斗</t>
  </si>
  <si>
    <t>ヨシイ　ルキト</t>
  </si>
  <si>
    <t>R010593124</t>
  </si>
  <si>
    <t>吉岡　歩夢</t>
  </si>
  <si>
    <t>ヨシオカ　アユム</t>
  </si>
  <si>
    <t>R010553467</t>
  </si>
  <si>
    <t>吉岡　大河</t>
  </si>
  <si>
    <t>ヨシオカ　タイガ</t>
  </si>
  <si>
    <t>R010581157</t>
  </si>
  <si>
    <t>吉岡　佑人</t>
  </si>
  <si>
    <t>ヨシオカ　ユウト</t>
  </si>
  <si>
    <t>R010601872</t>
  </si>
  <si>
    <t>由川　琥大郎</t>
  </si>
  <si>
    <t>ヨシカワ　コタロウ</t>
  </si>
  <si>
    <t>R010281855</t>
  </si>
  <si>
    <t>吉川　哲平</t>
  </si>
  <si>
    <t>ヨシカワ　テッペイ</t>
  </si>
  <si>
    <t>R010588877</t>
  </si>
  <si>
    <t>吉川　豹生</t>
  </si>
  <si>
    <t>ヨシカワ　ヒョウム</t>
  </si>
  <si>
    <t>R009430268</t>
  </si>
  <si>
    <t>吉川　美里</t>
  </si>
  <si>
    <t>ヨシカワ　ミサト</t>
  </si>
  <si>
    <t>R010642051</t>
  </si>
  <si>
    <t>吉賀　汐音</t>
  </si>
  <si>
    <t>ヨシガ　シオン</t>
  </si>
  <si>
    <t>R003421480</t>
  </si>
  <si>
    <t>吉武　毅</t>
  </si>
  <si>
    <t>ヨシタケ　ツヨシ</t>
  </si>
  <si>
    <t>R010604088</t>
  </si>
  <si>
    <t>吉武　東里</t>
  </si>
  <si>
    <t>ヨシタケ　トウリ</t>
  </si>
  <si>
    <t>R010390427</t>
  </si>
  <si>
    <t>吉田　蒼威</t>
  </si>
  <si>
    <t>ヨシダ　アオイ</t>
  </si>
  <si>
    <t>R010653610</t>
  </si>
  <si>
    <t>吉田　綾斗</t>
  </si>
  <si>
    <t>ヨシダ　アヤト</t>
  </si>
  <si>
    <t>R010542528</t>
  </si>
  <si>
    <t>吉田　光騎</t>
  </si>
  <si>
    <t>R010538401</t>
  </si>
  <si>
    <t>吉田　光</t>
  </si>
  <si>
    <t>ヨシダ　ヒカル</t>
  </si>
  <si>
    <t>R010579155</t>
  </si>
  <si>
    <t>吉田　彪雅</t>
  </si>
  <si>
    <t>ヨシダ　ヒュウガ</t>
  </si>
  <si>
    <t>R010586323</t>
  </si>
  <si>
    <t>吉田　白夜</t>
  </si>
  <si>
    <t>ヨシダ　ビャクヤ</t>
  </si>
  <si>
    <t>R010553466</t>
  </si>
  <si>
    <t>吉田　将志</t>
  </si>
  <si>
    <t>ヨシダ　マサシ</t>
  </si>
  <si>
    <t>R010546341</t>
  </si>
  <si>
    <t>吉田　桃花</t>
  </si>
  <si>
    <t>ヨシダ　モモカ</t>
  </si>
  <si>
    <t>R010576510</t>
  </si>
  <si>
    <t>吉永　縁心</t>
  </si>
  <si>
    <t>ヨシナガ　エニシ</t>
  </si>
  <si>
    <t>R010600677</t>
  </si>
  <si>
    <t>吉永　健太郎</t>
  </si>
  <si>
    <t>ヨシナガ　ケンタロウ</t>
  </si>
  <si>
    <t>R010579085</t>
  </si>
  <si>
    <t>吉野　可亜斗</t>
  </si>
  <si>
    <t>ヨシノ　カアト</t>
  </si>
  <si>
    <t>R010576360</t>
  </si>
  <si>
    <t>吉野　峨流</t>
  </si>
  <si>
    <t>ヨシノ　ガリュウ</t>
  </si>
  <si>
    <t>R005603875</t>
  </si>
  <si>
    <t>吉野　公司</t>
  </si>
  <si>
    <t>ヨシノ　コウジ</t>
  </si>
  <si>
    <t>R010448917</t>
  </si>
  <si>
    <t>吉野　大峨</t>
  </si>
  <si>
    <t>ヨシノ　タイガ</t>
  </si>
  <si>
    <t>R008798466</t>
  </si>
  <si>
    <t>吉原　喬樹</t>
  </si>
  <si>
    <t>ヨシハラ　タカキ</t>
  </si>
  <si>
    <t>R010642070</t>
  </si>
  <si>
    <t>吉原　大翔</t>
  </si>
  <si>
    <t>ヨシハラ　ヒロト</t>
  </si>
  <si>
    <t>R010396508</t>
  </si>
  <si>
    <t>吉弘　周平</t>
  </si>
  <si>
    <t>ヨシヒロ　シュウヘイ</t>
  </si>
  <si>
    <t>R010579084</t>
  </si>
  <si>
    <t>吉弘　瑠唯</t>
  </si>
  <si>
    <t>ヨシヒロ　ルイ</t>
  </si>
  <si>
    <t>R010546294</t>
  </si>
  <si>
    <t>吉松　敬次郎</t>
  </si>
  <si>
    <t>ヨシマツ　ケイジロウ</t>
  </si>
  <si>
    <t>R001261918</t>
  </si>
  <si>
    <t>吉松　健</t>
  </si>
  <si>
    <t>ヨシマツ　タケシ</t>
  </si>
  <si>
    <t>R010600682</t>
  </si>
  <si>
    <t>吉松　赳士</t>
  </si>
  <si>
    <t>R010604079</t>
  </si>
  <si>
    <t>吉水　遥大</t>
  </si>
  <si>
    <t>ヨシミズ　ハルト</t>
  </si>
  <si>
    <t>R010642041</t>
  </si>
  <si>
    <t>吉村　心冴</t>
  </si>
  <si>
    <t>ヨシムラ　シンゴ</t>
  </si>
  <si>
    <t>R010538338</t>
  </si>
  <si>
    <t>吉村　純平</t>
  </si>
  <si>
    <t>ヨシムラ　ジュンペイ</t>
  </si>
  <si>
    <t>R010189303</t>
  </si>
  <si>
    <t>吉村　一</t>
  </si>
  <si>
    <t>ヨシムラ　ハジメ</t>
  </si>
  <si>
    <t>R010579131</t>
  </si>
  <si>
    <t>吉元　俊輔</t>
  </si>
  <si>
    <t>ヨシモト　シュンスケ</t>
  </si>
  <si>
    <t>R001261936</t>
  </si>
  <si>
    <t>佳元　省三</t>
  </si>
  <si>
    <t>ヨシモト　ショウゾウ</t>
  </si>
  <si>
    <t>R010653609</t>
  </si>
  <si>
    <t>吉本　陽向</t>
  </si>
  <si>
    <t>ヨシモト　ヒナタ</t>
  </si>
  <si>
    <t>R010579102</t>
  </si>
  <si>
    <t>依田　勇誠</t>
  </si>
  <si>
    <t>ヨダ　ユウセイ</t>
  </si>
  <si>
    <t>R010599582</t>
  </si>
  <si>
    <t>米倉　佳宏</t>
  </si>
  <si>
    <t>ヨネクラ　ヨシヒロ</t>
  </si>
  <si>
    <t>R010396542</t>
  </si>
  <si>
    <t>米澤　邦彦</t>
  </si>
  <si>
    <t>ヨネザワ　クニヒコ</t>
  </si>
  <si>
    <t>R001261972</t>
  </si>
  <si>
    <t>米田　尚司</t>
  </si>
  <si>
    <t>ヨネダ　ショウジ</t>
  </si>
  <si>
    <t>R010538376</t>
  </si>
  <si>
    <t>米丸　碧</t>
  </si>
  <si>
    <t>ヨネマル　アオ</t>
  </si>
  <si>
    <t>R010653583</t>
  </si>
  <si>
    <t>米村　洸音</t>
  </si>
  <si>
    <t>ヨネムラ　ヒロト</t>
  </si>
  <si>
    <t>R010642086</t>
  </si>
  <si>
    <t>龍　勇大</t>
  </si>
  <si>
    <t>リュウ　ユウダイ</t>
  </si>
  <si>
    <t>R010162992</t>
  </si>
  <si>
    <t>若林　歩夢</t>
  </si>
  <si>
    <t>ワカバヤシ　アユム</t>
  </si>
  <si>
    <t>R010281870</t>
  </si>
  <si>
    <t>若林　大暉</t>
  </si>
  <si>
    <t>ワカバヤシ　ダイキ</t>
  </si>
  <si>
    <t>R010642064</t>
  </si>
  <si>
    <t>涌井　航大</t>
  </si>
  <si>
    <t>ワクイ　コウダイ</t>
  </si>
  <si>
    <t>R010579125</t>
  </si>
  <si>
    <t>渡辺　碧海</t>
  </si>
  <si>
    <t>ワタナベ　アオア</t>
  </si>
  <si>
    <t>R010538344</t>
  </si>
  <si>
    <t>渡辺　佳歩</t>
  </si>
  <si>
    <t>ワタナベ　カホ</t>
  </si>
  <si>
    <t>R010538318</t>
  </si>
  <si>
    <t>渡辺　敢太</t>
  </si>
  <si>
    <t>ワタナベ　カンタ</t>
  </si>
  <si>
    <t>R010638070</t>
  </si>
  <si>
    <t>R010600679</t>
  </si>
  <si>
    <t>渡辺　俊介</t>
  </si>
  <si>
    <t>ワタナベ　シュンスケ</t>
  </si>
  <si>
    <t>R010638075</t>
  </si>
  <si>
    <t>渡辺　晶子</t>
  </si>
  <si>
    <t>ワタナベ　ショウコ</t>
  </si>
  <si>
    <t>R010638045</t>
  </si>
  <si>
    <t>渡邉　千博</t>
  </si>
  <si>
    <t>ワタナベ　チヒロ</t>
  </si>
  <si>
    <t>R010444491</t>
  </si>
  <si>
    <t>渡邉　直耶</t>
  </si>
  <si>
    <t>ワタナベ　ナオヤ</t>
  </si>
  <si>
    <t>R010586291</t>
  </si>
  <si>
    <t>渡邊　陽星</t>
  </si>
  <si>
    <t>ワタナベ　ハル</t>
  </si>
  <si>
    <t>R010538382</t>
  </si>
  <si>
    <t>渡辺　陽斗</t>
  </si>
  <si>
    <t>ワタナベ　ヒナト</t>
  </si>
  <si>
    <t>R010189289</t>
  </si>
  <si>
    <t>渡邉　優憲</t>
  </si>
  <si>
    <t>ワタナベ　マサノリ</t>
  </si>
  <si>
    <t>R010656699</t>
  </si>
  <si>
    <t>渡邊　大登</t>
  </si>
  <si>
    <t>ワタナベ　ヤマト</t>
  </si>
  <si>
    <t>R010538297</t>
  </si>
  <si>
    <t>渡邉　優太</t>
  </si>
  <si>
    <t>ワタナベ　ユウタ</t>
  </si>
  <si>
    <t>R010538341</t>
  </si>
  <si>
    <t>渡辺　吉紀</t>
  </si>
  <si>
    <t>ワタナベ　ヨシノリ</t>
  </si>
  <si>
    <t>R010653838</t>
  </si>
  <si>
    <t>渡邉　陸斗</t>
  </si>
  <si>
    <t>ワタナベ　リクト</t>
  </si>
  <si>
    <t>R010576534</t>
  </si>
  <si>
    <t>和田　泰輝</t>
  </si>
  <si>
    <t>ワダ　ヒロキ</t>
  </si>
  <si>
    <t>R010542529</t>
  </si>
  <si>
    <t>輪田　真理</t>
  </si>
  <si>
    <t>ワダ　マリ</t>
  </si>
  <si>
    <t>R010576559</t>
  </si>
  <si>
    <t>和田　道之心</t>
  </si>
  <si>
    <t>ワダ　ミチノシン</t>
  </si>
  <si>
    <t>R010306435</t>
  </si>
  <si>
    <t>和田　優作</t>
  </si>
  <si>
    <t>ワダ　ユウサク</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</si>
</sst>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Red]&quot;¥&quot;\-#,##0"/>
    <numFmt numFmtId="176" formatCode="mm/dd;@"/>
    <numFmt numFmtId="177" formatCode="0.0_ "/>
  </numFmts>
  <fonts count="83">
    <font>
      <sz val="11"/>
      <color theme="1"/>
      <name val="ＭＳ Ｐゴシック"/>
      <family val="2"/>
    </font>
    <font>
      <sz val="10"/>
      <name val="Arial"/>
      <family val="2"/>
    </font>
    <font>
      <sz val="12"/>
      <name val="ＭＳ Ｐゴシック"/>
      <family val="3"/>
    </font>
    <font>
      <u val="single"/>
      <sz val="8.5"/>
      <color rgb="FF0000D4"/>
      <name val="ＭＳ 明朝"/>
      <family val="1"/>
    </font>
    <font>
      <u val="single"/>
      <sz val="11"/>
      <color rgb="FF0000D4"/>
      <name val="ＭＳ Ｐゴシック"/>
      <family val="3"/>
    </font>
    <font>
      <sz val="11"/>
      <name val="ＭＳ Ｐゴシック"/>
      <family val="3"/>
    </font>
    <font>
      <b/>
      <sz val="12"/>
      <name val="ＭＳ Ｐゴシック"/>
      <family val="3"/>
    </font>
    <font>
      <sz val="11"/>
      <color theme="1"/>
      <name val="Calibri"/>
      <family val="2"/>
      <scheme val="minor"/>
    </font>
    <font>
      <sz val="8.5"/>
      <name val="ＭＳ 明朝"/>
      <family val="1"/>
    </font>
    <font>
      <sz val="12"/>
      <name val="ＭＳ 明朝"/>
      <family val="1"/>
    </font>
    <font>
      <sz val="12"/>
      <color indexed="60"/>
      <name val="ＭＳ Ｐゴシック"/>
      <family val="3"/>
    </font>
    <font>
      <sz val="11"/>
      <name val="Meiryo UI"/>
      <family val="3"/>
    </font>
    <font>
      <sz val="14"/>
      <name val="Meiryo UI"/>
      <family val="3"/>
    </font>
    <font>
      <sz val="11"/>
      <color theme="1"/>
      <name val="Meiryo UI"/>
      <family val="3"/>
    </font>
    <font>
      <b/>
      <sz val="10"/>
      <name val="Meiryo UI"/>
      <family val="3"/>
    </font>
    <font>
      <sz val="12"/>
      <name val="Meiryo UI"/>
      <family val="3"/>
    </font>
    <font>
      <sz val="12"/>
      <color theme="1"/>
      <name val="Meiryo UI"/>
      <family val="3"/>
    </font>
    <font>
      <b/>
      <sz val="11"/>
      <name val="Meiryo UI"/>
      <family val="3"/>
    </font>
    <font>
      <sz val="11"/>
      <color indexed="10"/>
      <name val="Meiryo UI"/>
      <family val="3"/>
    </font>
    <font>
      <sz val="10"/>
      <name val="ＭＳ Ｐゴシック"/>
      <family val="3"/>
    </font>
    <font>
      <u val="single"/>
      <sz val="12"/>
      <name val="ＭＳ Ｐゴシック"/>
      <family val="3"/>
    </font>
    <font>
      <u val="single"/>
      <sz val="10"/>
      <name val="ＭＳ Ｐゴシック"/>
      <family val="3"/>
    </font>
    <font>
      <sz val="10"/>
      <color indexed="10"/>
      <name val="ＭＳ Ｐゴシック"/>
      <family val="3"/>
    </font>
    <font>
      <b/>
      <sz val="10"/>
      <name val="ＭＳ Ｐゴシック"/>
      <family val="3"/>
    </font>
    <font>
      <sz val="9"/>
      <name val="ＭＳ Ｐゴシック"/>
      <family val="3"/>
    </font>
    <font>
      <b/>
      <sz val="10"/>
      <color indexed="10"/>
      <name val="ＭＳ Ｐゴシック"/>
      <family val="3"/>
    </font>
    <font>
      <sz val="8"/>
      <color theme="1"/>
      <name val="Meiryo UI"/>
      <family val="3"/>
    </font>
    <font>
      <sz val="14"/>
      <color theme="1"/>
      <name val="Meiryo UI"/>
      <family val="3"/>
    </font>
    <font>
      <b/>
      <sz val="20"/>
      <color theme="1"/>
      <name val="Meiryo UI"/>
      <family val="3"/>
    </font>
    <font>
      <b/>
      <sz val="14"/>
      <color theme="1"/>
      <name val="Meiryo UI"/>
      <family val="3"/>
    </font>
    <font>
      <b/>
      <sz val="12"/>
      <color theme="1"/>
      <name val="Meiryo UI"/>
      <family val="3"/>
    </font>
    <font>
      <b/>
      <sz val="16"/>
      <color theme="1"/>
      <name val="Meiryo UI"/>
      <family val="3"/>
    </font>
    <font>
      <b/>
      <sz val="11"/>
      <color theme="1"/>
      <name val="Meiryo UI"/>
      <family val="3"/>
    </font>
    <font>
      <sz val="11"/>
      <name val="HG丸ｺﾞｼｯｸM-PRO"/>
      <family val="3"/>
    </font>
    <font>
      <b/>
      <sz val="11"/>
      <name val="HG丸ｺﾞｼｯｸM-PRO"/>
      <family val="3"/>
    </font>
    <font>
      <b/>
      <u val="single"/>
      <sz val="18"/>
      <name val="ＭＳ Ｐゴシック"/>
      <family val="3"/>
    </font>
    <font>
      <b/>
      <sz val="14"/>
      <name val="ＭＳ Ｐゴシック"/>
      <family val="3"/>
    </font>
    <font>
      <b/>
      <sz val="12"/>
      <name val="HG丸ｺﾞｼｯｸM-PRO"/>
      <family val="3"/>
    </font>
    <font>
      <sz val="12"/>
      <name val="HGP創英角ｺﾞｼｯｸUB"/>
      <family val="3"/>
    </font>
    <font>
      <b/>
      <sz val="11"/>
      <name val="ＭＳ Ｐゴシック"/>
      <family val="3"/>
    </font>
    <font>
      <sz val="9"/>
      <name val="HG丸ｺﾞｼｯｸM-PRO"/>
      <family val="3"/>
    </font>
    <font>
      <b/>
      <sz val="9"/>
      <name val="HG丸ｺﾞｼｯｸM-PRO"/>
      <family val="3"/>
    </font>
    <font>
      <sz val="10"/>
      <color indexed="10"/>
      <name val="HG丸ｺﾞｼｯｸM-PRO"/>
      <family val="3"/>
    </font>
    <font>
      <sz val="10"/>
      <name val="HG丸ｺﾞｼｯｸM-PRO"/>
      <family val="3"/>
    </font>
    <font>
      <sz val="6"/>
      <name val="HG丸ｺﾞｼｯｸM-PRO"/>
      <family val="3"/>
    </font>
    <font>
      <sz val="12"/>
      <name val="HG丸ｺﾞｼｯｸM-PRO"/>
      <family val="3"/>
    </font>
    <font>
      <sz val="9"/>
      <name val="Meiryo UI"/>
      <family val="3"/>
    </font>
    <font>
      <b/>
      <sz val="12"/>
      <name val="Meiryo UI"/>
      <family val="3"/>
    </font>
    <font>
      <sz val="14"/>
      <color indexed="10"/>
      <name val="Meiryo UI"/>
      <family val="3"/>
    </font>
    <font>
      <sz val="20"/>
      <color theme="1"/>
      <name val="Meiryo UI"/>
      <family val="3"/>
    </font>
    <font>
      <b/>
      <sz val="24"/>
      <color theme="1"/>
      <name val="Meiryo UI"/>
      <family val="3"/>
    </font>
    <font>
      <b/>
      <sz val="18"/>
      <color theme="1"/>
      <name val="Meiryo UI"/>
      <family val="3"/>
    </font>
    <font>
      <sz val="9"/>
      <color theme="1"/>
      <name val="Meiryo UI"/>
      <family val="3"/>
    </font>
    <font>
      <sz val="22"/>
      <color theme="1"/>
      <name val="Meiryo UI"/>
      <family val="3"/>
    </font>
    <font>
      <sz val="18"/>
      <color theme="1"/>
      <name val="Meiryo UI"/>
      <family val="3"/>
    </font>
    <font>
      <sz val="16"/>
      <color theme="1"/>
      <name val="Meiryo UI"/>
      <family val="3"/>
    </font>
    <font>
      <sz val="10"/>
      <color theme="1"/>
      <name val="Meiryo UI"/>
      <family val="3"/>
    </font>
    <font>
      <sz val="12"/>
      <color theme="0" tint="-0.24997000396251678"/>
      <name val="Meiryo UI"/>
      <family val="3"/>
    </font>
    <font>
      <b/>
      <sz val="12"/>
      <color theme="0" tint="-0.24997000396251678"/>
      <name val="Meiryo UI"/>
      <family val="3"/>
    </font>
    <font>
      <b/>
      <sz val="20"/>
      <color indexed="10"/>
      <name val="Meiryo UI"/>
      <family val="3"/>
    </font>
    <font>
      <sz val="16"/>
      <color theme="1"/>
      <name val="ＭＳ Ｐゴシック"/>
      <family val="3"/>
    </font>
    <font>
      <b/>
      <sz val="16"/>
      <color theme="1"/>
      <name val="ＭＳ Ｐゴシック"/>
      <family val="3"/>
    </font>
    <font>
      <b/>
      <sz val="11"/>
      <color theme="1"/>
      <name val="ＭＳ Ｐゴシック"/>
      <family val="3"/>
    </font>
    <font>
      <sz val="18"/>
      <color theme="1"/>
      <name val="ＭＳ Ｐゴシック"/>
      <family val="3"/>
    </font>
    <font>
      <b/>
      <sz val="11"/>
      <color indexed="10"/>
      <name val="Meiryo UI"/>
      <family val="3"/>
    </font>
    <font>
      <b/>
      <sz val="20"/>
      <name val="ＭＳ Ｐゴシック"/>
      <family val="3"/>
    </font>
    <font>
      <sz val="20"/>
      <name val="ＭＳ Ｐゴシック"/>
      <family val="3"/>
    </font>
    <font>
      <sz val="14"/>
      <color theme="1"/>
      <name val="ＭＳ Ｐゴシック"/>
      <family val="3"/>
    </font>
    <font>
      <sz val="12"/>
      <color theme="1"/>
      <name val="ＭＳ Ｐゴシック"/>
      <family val="3"/>
    </font>
    <font>
      <sz val="14"/>
      <name val="ＭＳ Ｐゴシック"/>
      <family val="3"/>
    </font>
    <font>
      <b/>
      <sz val="18"/>
      <name val="ＭＳ Ｐゴシック"/>
      <family val="3"/>
    </font>
    <font>
      <sz val="14"/>
      <name val="Arial"/>
      <family val="2"/>
    </font>
    <font>
      <sz val="16"/>
      <name val="ＭＳ Ｐゴシック"/>
      <family val="3"/>
    </font>
    <font>
      <sz val="9"/>
      <color theme="1"/>
      <name val="Calibri"/>
      <family val="2"/>
      <scheme val="minor"/>
    </font>
    <font>
      <b/>
      <u val="single"/>
      <sz val="11"/>
      <name val="Meiryo UI"/>
      <family val="3"/>
    </font>
    <font>
      <u val="single"/>
      <sz val="11"/>
      <name val="Meiryo UI"/>
      <family val="3"/>
    </font>
    <font>
      <b/>
      <u val="single"/>
      <sz val="12"/>
      <color theme="1"/>
      <name val="Meiryo UI"/>
      <family val="3"/>
    </font>
    <font>
      <sz val="6"/>
      <name val="ＭＳ Ｐゴシック"/>
      <family val="3"/>
    </font>
    <font>
      <sz val="11"/>
      <color theme="0"/>
      <name val="Arial"/>
      <family val="2"/>
    </font>
    <font>
      <b/>
      <sz val="11"/>
      <color theme="0"/>
      <name val="Meiryo UI"/>
      <family val="2"/>
    </font>
    <font>
      <sz val="11"/>
      <color rgb="FFFFFFFF"/>
      <name val="Calibri"/>
      <family val="2"/>
    </font>
    <font>
      <sz val="11"/>
      <color theme="0"/>
      <name val="ＭＳ Ｐゴシック"/>
      <family val="2"/>
      <scheme val="minor"/>
    </font>
    <font>
      <sz val="11"/>
      <color theme="1"/>
      <name val="ＭＳ Ｐゴシック"/>
      <family val="2"/>
      <scheme val="minor"/>
    </font>
  </fonts>
  <fills count="18">
    <fill>
      <patternFill/>
    </fill>
    <fill>
      <patternFill patternType="gray125"/>
    </fill>
    <fill>
      <patternFill patternType="solid">
        <fgColor indexed="65"/>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theme="0"/>
        <bgColor indexed="64"/>
      </patternFill>
    </fill>
    <fill>
      <patternFill patternType="solid">
        <fgColor theme="0" tint="-0.1499900072813034"/>
        <bgColor indexed="64"/>
      </patternFill>
    </fill>
    <fill>
      <patternFill patternType="solid">
        <fgColor indexed="42"/>
        <bgColor indexed="64"/>
      </patternFill>
    </fill>
    <fill>
      <patternFill patternType="solid">
        <fgColor indexed="45"/>
        <bgColor indexed="64"/>
      </patternFill>
    </fill>
    <fill>
      <patternFill patternType="solid">
        <fgColor indexed="13"/>
        <bgColor indexed="64"/>
      </patternFill>
    </fill>
    <fill>
      <patternFill patternType="solid">
        <fgColor theme="0" tint="-0.24997000396251678"/>
        <bgColor indexed="64"/>
      </patternFill>
    </fill>
    <fill>
      <patternFill patternType="solid">
        <fgColor theme="0" tint="-0.4999699890613556"/>
        <bgColor indexed="64"/>
      </patternFill>
    </fill>
  </fills>
  <borders count="171">
    <border>
      <left/>
      <right/>
      <top/>
      <bottom/>
      <diagonal/>
    </border>
    <border>
      <left/>
      <right/>
      <top style="thin">
        <color indexed="49"/>
      </top>
      <bottom style="double">
        <color indexed="49"/>
      </bottom>
    </border>
    <border>
      <left style="medium"/>
      <right style="thin"/>
      <top style="medium"/>
      <bottom style="medium"/>
    </border>
    <border>
      <left style="thin"/>
      <right style="thin"/>
      <top style="medium"/>
      <bottom style="medium"/>
    </border>
    <border>
      <left/>
      <right style="thin"/>
      <top style="medium"/>
      <bottom style="medium"/>
    </border>
    <border>
      <left style="thin"/>
      <right/>
      <top style="medium"/>
      <bottom style="medium"/>
    </border>
    <border>
      <left style="thin"/>
      <right style="medium"/>
      <top style="medium"/>
      <bottom style="medium"/>
    </border>
    <border>
      <left style="thin"/>
      <right style="thin"/>
      <top/>
      <bottom style="thin"/>
    </border>
    <border>
      <left style="thin"/>
      <right/>
      <top/>
      <bottom style="thin"/>
    </border>
    <border>
      <left style="thin"/>
      <right style="medium"/>
      <top/>
      <bottom style="thin"/>
    </border>
    <border>
      <left/>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thin"/>
      <right style="thin"/>
      <top style="thin"/>
      <bottom style="thin"/>
    </border>
    <border>
      <left style="thin"/>
      <right/>
      <top style="thin"/>
      <bottom style="thin"/>
    </border>
    <border>
      <left style="thin"/>
      <right style="medium"/>
      <top style="thin"/>
      <bottom style="thin"/>
    </border>
    <border>
      <left/>
      <right style="thin"/>
      <top style="thin"/>
      <bottom style="thin"/>
    </border>
    <border>
      <left/>
      <right style="thin"/>
      <top style="thin"/>
      <bottom style="medium"/>
    </border>
    <border>
      <left style="thin"/>
      <right style="thin"/>
      <top style="thin"/>
      <bottom style="medium"/>
    </border>
    <border>
      <left style="thin"/>
      <right/>
      <top style="thin"/>
      <bottom style="medium"/>
    </border>
    <border>
      <left style="thin"/>
      <right style="medium"/>
      <top style="thin"/>
      <bottom style="medium"/>
    </border>
    <border>
      <left/>
      <right/>
      <top style="medium"/>
      <bottom style="thin"/>
    </border>
    <border>
      <left/>
      <right/>
      <top style="thin"/>
      <bottom style="medium"/>
    </border>
    <border>
      <left style="medium"/>
      <right/>
      <top/>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style="medium"/>
      <top style="thin"/>
      <bottom style="medium"/>
    </border>
    <border>
      <left style="medium"/>
      <right style="thin"/>
      <top style="thin"/>
      <bottom style="thin"/>
    </border>
    <border>
      <left style="medium"/>
      <right style="thin"/>
      <top style="thin"/>
      <bottom style="medium"/>
    </border>
    <border>
      <left/>
      <right/>
      <top/>
      <bottom style="dotted"/>
    </border>
    <border>
      <left style="hair"/>
      <right style="hair"/>
      <top style="hair"/>
      <bottom style="hair"/>
    </border>
    <border>
      <left/>
      <right style="hair"/>
      <top style="hair"/>
      <bottom style="hair"/>
    </border>
    <border>
      <left/>
      <right/>
      <top/>
      <bottom style="thin"/>
    </border>
    <border>
      <left/>
      <right/>
      <top/>
      <bottom style="medium"/>
    </border>
    <border>
      <left style="medium"/>
      <right/>
      <top style="medium"/>
      <bottom style="medium"/>
    </border>
    <border>
      <left/>
      <right/>
      <top style="medium"/>
      <bottom style="medium"/>
    </border>
    <border>
      <left/>
      <right style="medium"/>
      <top style="medium"/>
      <bottom style="medium"/>
    </border>
    <border>
      <left style="medium"/>
      <right/>
      <top/>
      <bottom/>
    </border>
    <border>
      <left/>
      <right style="medium"/>
      <top/>
      <bottom/>
    </border>
    <border>
      <left style="medium"/>
      <right style="hair"/>
      <top style="medium"/>
      <bottom style="medium"/>
    </border>
    <border>
      <left style="hair"/>
      <right style="hair"/>
      <top style="medium"/>
      <bottom style="medium"/>
    </border>
    <border>
      <left style="hair"/>
      <right style="medium"/>
      <top style="medium"/>
      <bottom style="medium"/>
    </border>
    <border>
      <left style="medium"/>
      <right/>
      <top style="medium"/>
      <bottom/>
    </border>
    <border>
      <left style="thin"/>
      <right style="thin"/>
      <top style="thin"/>
      <bottom/>
    </border>
    <border>
      <left/>
      <right style="double"/>
      <top/>
      <bottom/>
    </border>
    <border>
      <left/>
      <right style="double"/>
      <top/>
      <bottom style="medium"/>
    </border>
    <border>
      <left/>
      <right style="thin"/>
      <top/>
      <bottom/>
    </border>
    <border>
      <left/>
      <right/>
      <top style="medium"/>
      <bottom style="dotted"/>
    </border>
    <border>
      <left/>
      <right/>
      <top style="dotted"/>
      <bottom style="medium"/>
    </border>
    <border>
      <left/>
      <right/>
      <top style="medium"/>
      <bottom/>
    </border>
    <border>
      <left/>
      <right style="thin"/>
      <top style="medium"/>
      <bottom/>
    </border>
    <border>
      <left style="thin"/>
      <right/>
      <top style="medium"/>
      <bottom style="dotted"/>
    </border>
    <border>
      <left/>
      <right style="thin"/>
      <top style="medium"/>
      <bottom style="dotted"/>
    </border>
    <border>
      <left/>
      <right style="thin"/>
      <top/>
      <bottom style="thin"/>
    </border>
    <border>
      <left/>
      <right/>
      <top style="dotted"/>
      <bottom style="thin"/>
    </border>
    <border>
      <left style="medium"/>
      <right/>
      <top style="thin"/>
      <bottom style="dotted"/>
    </border>
    <border>
      <left/>
      <right/>
      <top style="thin"/>
      <bottom style="dotted"/>
    </border>
    <border>
      <left/>
      <right style="thin"/>
      <top style="thin"/>
      <bottom style="dotted"/>
    </border>
    <border>
      <left style="thin"/>
      <right/>
      <top style="thin"/>
      <bottom/>
    </border>
    <border>
      <left/>
      <right/>
      <top style="thin"/>
      <bottom/>
    </border>
    <border>
      <left/>
      <right style="thin"/>
      <top style="thin"/>
      <bottom/>
    </border>
    <border>
      <left style="thin"/>
      <right/>
      <top style="thin"/>
      <bottom style="dotted"/>
    </border>
    <border>
      <left style="medium"/>
      <right/>
      <top/>
      <bottom style="medium"/>
    </border>
    <border>
      <left/>
      <right style="thin"/>
      <top/>
      <bottom style="medium"/>
    </border>
    <border>
      <left style="thin"/>
      <right/>
      <top/>
      <bottom style="medium"/>
    </border>
    <border>
      <left style="thin"/>
      <right style="hair"/>
      <top style="thin"/>
      <bottom style="hair"/>
    </border>
    <border>
      <left style="thin"/>
      <right style="hair"/>
      <top style="hair"/>
      <bottom style="hair"/>
    </border>
    <border>
      <left style="thin"/>
      <right style="hair"/>
      <top style="hair"/>
      <bottom style="thin"/>
    </border>
    <border>
      <left/>
      <right/>
      <top/>
      <bottom style="double"/>
    </border>
    <border>
      <left style="medium"/>
      <right/>
      <top style="double"/>
      <bottom style="hair"/>
    </border>
    <border>
      <left/>
      <right/>
      <top style="double"/>
      <bottom style="hair"/>
    </border>
    <border>
      <left style="hair"/>
      <right style="hair"/>
      <top style="double"/>
      <bottom/>
    </border>
    <border>
      <left/>
      <right style="medium"/>
      <top style="double"/>
      <bottom style="hair"/>
    </border>
    <border>
      <left style="medium"/>
      <right/>
      <top/>
      <bottom style="hair"/>
    </border>
    <border>
      <left/>
      <right/>
      <top/>
      <bottom style="hair"/>
    </border>
    <border>
      <left style="hair"/>
      <right style="hair"/>
      <top/>
      <bottom/>
    </border>
    <border>
      <left/>
      <right style="medium"/>
      <top/>
      <bottom style="hair"/>
    </border>
    <border>
      <left style="hair"/>
      <right style="hair"/>
      <top/>
      <bottom style="medium"/>
    </border>
    <border>
      <left/>
      <right style="medium"/>
      <top/>
      <bottom style="medium"/>
    </border>
    <border>
      <left style="medium"/>
      <right/>
      <top style="hair"/>
      <bottom style="hair"/>
    </border>
    <border>
      <left/>
      <right/>
      <top style="hair"/>
      <bottom style="hair"/>
    </border>
    <border>
      <left/>
      <right style="medium"/>
      <top style="hair"/>
      <bottom style="hair"/>
    </border>
    <border>
      <left style="medium"/>
      <right/>
      <top style="hair"/>
      <bottom style="medium"/>
    </border>
    <border>
      <left/>
      <right/>
      <top style="hair"/>
      <bottom style="medium"/>
    </border>
    <border>
      <left/>
      <right style="medium"/>
      <top style="hair"/>
      <bottom style="medium"/>
    </border>
    <border>
      <left/>
      <right style="thick">
        <color indexed="10"/>
      </right>
      <top style="thin"/>
      <bottom style="thin"/>
    </border>
    <border>
      <left/>
      <right style="medium"/>
      <top style="medium"/>
      <bottom/>
    </border>
    <border>
      <left/>
      <right/>
      <top/>
      <bottom style="thick">
        <color indexed="10"/>
      </bottom>
    </border>
    <border>
      <left/>
      <right style="thick">
        <color indexed="10"/>
      </right>
      <top/>
      <bottom style="thick">
        <color indexed="10"/>
      </bottom>
    </border>
    <border>
      <left style="thick">
        <color indexed="10"/>
      </left>
      <right/>
      <top/>
      <bottom/>
    </border>
    <border>
      <left/>
      <right style="thick">
        <color indexed="10"/>
      </right>
      <top style="thin"/>
      <bottom/>
    </border>
    <border>
      <left/>
      <right style="thick">
        <color indexed="10"/>
      </right>
      <top/>
      <bottom style="thin"/>
    </border>
    <border>
      <left style="thick">
        <color indexed="10"/>
      </left>
      <right/>
      <top style="thin"/>
      <bottom style="thin"/>
    </border>
    <border>
      <left/>
      <right style="thick">
        <color indexed="10"/>
      </right>
      <top/>
      <bottom/>
    </border>
    <border>
      <left style="thick">
        <color indexed="10"/>
      </left>
      <right/>
      <top style="thin"/>
      <bottom style="thick">
        <color indexed="10"/>
      </bottom>
    </border>
    <border>
      <left style="thin"/>
      <right/>
      <top/>
      <bottom/>
    </border>
    <border>
      <left style="thick">
        <color indexed="10"/>
      </left>
      <right/>
      <top/>
      <bottom style="thin"/>
    </border>
    <border>
      <left/>
      <right/>
      <top style="thick">
        <color indexed="10"/>
      </top>
      <bottom/>
    </border>
    <border>
      <left style="medium"/>
      <right/>
      <top style="hair"/>
      <bottom style="double"/>
    </border>
    <border>
      <left/>
      <right/>
      <top style="hair"/>
      <bottom style="double"/>
    </border>
    <border>
      <left style="hair"/>
      <right style="hair"/>
      <top/>
      <bottom style="double"/>
    </border>
    <border>
      <left/>
      <right style="medium"/>
      <top style="hair"/>
      <bottom style="double"/>
    </border>
    <border>
      <left style="medium"/>
      <right style="thin"/>
      <top/>
      <bottom/>
    </border>
    <border>
      <left style="medium"/>
      <right style="thin"/>
      <top/>
      <bottom style="medium"/>
    </border>
    <border>
      <left style="medium"/>
      <right style="thin"/>
      <top style="medium"/>
      <bottom/>
    </border>
    <border>
      <left style="thin"/>
      <right/>
      <top style="medium"/>
      <bottom/>
    </border>
    <border>
      <left style="thin"/>
      <right style="thin"/>
      <top/>
      <bottom style="medium"/>
    </border>
    <border>
      <left style="medium"/>
      <right/>
      <top style="medium"/>
      <bottom style="thin"/>
    </border>
    <border>
      <left style="medium"/>
      <right style="thin"/>
      <top style="medium"/>
      <bottom style="thin"/>
    </border>
    <border diagonalUp="1">
      <left/>
      <right/>
      <top/>
      <bottom/>
      <diagonal style="thin"/>
    </border>
    <border diagonalUp="1">
      <left/>
      <right/>
      <top/>
      <bottom style="thin"/>
      <diagonal style="thin"/>
    </border>
    <border diagonalDown="1">
      <left/>
      <right/>
      <top/>
      <bottom/>
      <diagonal style="thin"/>
    </border>
    <border>
      <left style="thin"/>
      <right style="medium"/>
      <top style="thin"/>
      <bottom/>
    </border>
    <border>
      <left style="thin"/>
      <right style="medium"/>
      <top/>
      <bottom style="medium"/>
    </border>
    <border>
      <left style="medium"/>
      <right style="thin"/>
      <top style="thin"/>
      <bottom/>
    </border>
    <border>
      <left style="medium"/>
      <right/>
      <top style="thin"/>
      <bottom/>
    </border>
    <border>
      <left/>
      <right style="medium"/>
      <top style="thin"/>
      <bottom/>
    </border>
    <border>
      <left/>
      <right style="medium"/>
      <top/>
      <bottom style="thin"/>
    </border>
    <border>
      <left style="medium"/>
      <right style="thin"/>
      <top/>
      <bottom style="thin"/>
    </border>
    <border>
      <left style="thin"/>
      <right style="medium"/>
      <top/>
      <bottom/>
    </border>
    <border>
      <left style="thin"/>
      <right style="thin"/>
      <top/>
      <bottom/>
    </border>
    <border>
      <left style="thin"/>
      <right style="thin"/>
      <top style="medium"/>
      <bottom/>
    </border>
    <border>
      <left style="thin"/>
      <right style="thin"/>
      <top style="medium"/>
      <bottom style="dotted"/>
    </border>
    <border>
      <left style="medium"/>
      <right/>
      <top style="dashed"/>
      <bottom style="medium"/>
    </border>
    <border>
      <left/>
      <right style="thin"/>
      <top style="dashed"/>
      <bottom style="medium"/>
    </border>
    <border>
      <left style="thin"/>
      <right/>
      <top style="dotted"/>
      <bottom style="medium"/>
    </border>
    <border>
      <left/>
      <right style="thin"/>
      <top style="dotted"/>
      <bottom style="medium"/>
    </border>
    <border>
      <left/>
      <right/>
      <top style="dashed"/>
      <bottom style="medium"/>
    </border>
    <border>
      <left style="medium"/>
      <right/>
      <top style="medium"/>
      <bottom style="dashed"/>
    </border>
    <border>
      <left/>
      <right style="thin"/>
      <top style="medium"/>
      <bottom style="dashed"/>
    </border>
    <border>
      <left/>
      <right style="double"/>
      <top style="medium"/>
      <bottom/>
    </border>
    <border>
      <left/>
      <right/>
      <top style="medium"/>
      <bottom style="dashed"/>
    </border>
    <border>
      <left/>
      <right style="double"/>
      <top style="medium"/>
      <bottom style="thin"/>
    </border>
    <border>
      <left style="thin"/>
      <right style="double"/>
      <top style="thin"/>
      <bottom style="thin"/>
    </border>
    <border>
      <left/>
      <right style="double"/>
      <top style="thin"/>
      <bottom style="thin"/>
    </border>
    <border>
      <left style="thin"/>
      <right style="double"/>
      <top/>
      <bottom style="thin"/>
    </border>
    <border>
      <left/>
      <right style="double"/>
      <top/>
      <bottom style="thin"/>
    </border>
    <border>
      <left style="thin"/>
      <right style="double"/>
      <top style="thin"/>
      <bottom style="medium"/>
    </border>
    <border>
      <left/>
      <right style="double"/>
      <top style="thin"/>
      <bottom style="medium"/>
    </border>
    <border>
      <left style="thin"/>
      <right style="double"/>
      <top style="medium"/>
      <bottom style="medium"/>
    </border>
    <border>
      <left style="medium"/>
      <right/>
      <top/>
      <bottom style="double"/>
    </border>
    <border>
      <left/>
      <right style="medium"/>
      <top/>
      <bottom style="double"/>
    </border>
    <border>
      <left style="hair"/>
      <right style="thin"/>
      <top style="hair"/>
      <bottom style="hair"/>
    </border>
    <border>
      <left style="hair"/>
      <right style="hair"/>
      <top style="hair"/>
      <bottom style="thin"/>
    </border>
    <border>
      <left style="hair"/>
      <right style="thin"/>
      <top style="hair"/>
      <bottom style="thin"/>
    </border>
    <border>
      <left style="hair"/>
      <right style="hair"/>
      <top style="thin"/>
      <bottom style="hair"/>
    </border>
    <border>
      <left style="hair"/>
      <right style="thin"/>
      <top style="thin"/>
      <bottom style="hair"/>
    </border>
    <border>
      <left style="hair"/>
      <right/>
      <top style="medium"/>
      <bottom/>
    </border>
    <border>
      <left style="hair"/>
      <right/>
      <top/>
      <bottom style="thin"/>
    </border>
    <border>
      <left style="hair"/>
      <right/>
      <top/>
      <bottom/>
    </border>
    <border>
      <left style="hair"/>
      <right/>
      <top style="thin"/>
      <bottom style="thin"/>
    </border>
    <border>
      <left style="thin"/>
      <right style="hair"/>
      <top style="thin"/>
      <bottom/>
    </border>
    <border>
      <left/>
      <right style="hair"/>
      <top style="thin"/>
      <bottom style="thin"/>
    </border>
    <border>
      <left style="hair"/>
      <right style="hair"/>
      <top style="thin"/>
      <bottom style="thin"/>
    </border>
    <border>
      <left style="hair"/>
      <right style="thin"/>
      <top style="thin"/>
      <bottom style="thin"/>
    </border>
    <border>
      <left style="hair"/>
      <right/>
      <top style="thin"/>
      <bottom style="hair"/>
    </border>
    <border>
      <left/>
      <right style="thin"/>
      <top style="thin"/>
      <bottom style="hair"/>
    </border>
    <border>
      <left/>
      <right style="hair"/>
      <top style="thin"/>
      <bottom/>
    </border>
    <border>
      <left style="hair"/>
      <right/>
      <top style="thin"/>
      <bottom/>
    </border>
    <border>
      <left style="thin"/>
      <right style="hair"/>
      <top/>
      <bottom/>
    </border>
    <border>
      <left style="hair"/>
      <right/>
      <top style="hair"/>
      <bottom style="hair"/>
    </border>
    <border>
      <left/>
      <right style="thin"/>
      <top style="hair"/>
      <bottom style="hair"/>
    </border>
    <border>
      <left/>
      <right style="hair"/>
      <top/>
      <bottom/>
    </border>
    <border>
      <left style="thin"/>
      <right style="hair"/>
      <top/>
      <bottom style="thin"/>
    </border>
    <border>
      <left style="hair"/>
      <right/>
      <top style="hair"/>
      <bottom style="thin"/>
    </border>
    <border>
      <left/>
      <right style="thin"/>
      <top style="hair"/>
      <bottom style="thin"/>
    </border>
    <border>
      <left/>
      <right style="hair"/>
      <top/>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Protection="0">
      <alignment/>
    </xf>
    <xf numFmtId="0" fontId="2" fillId="3" borderId="0" applyNumberFormat="0" applyBorder="0" applyProtection="0">
      <alignment/>
    </xf>
    <xf numFmtId="0" fontId="2" fillId="4" borderId="0" applyNumberFormat="0" applyBorder="0" applyProtection="0">
      <alignment/>
    </xf>
    <xf numFmtId="0" fontId="2" fillId="2" borderId="0" applyNumberFormat="0" applyBorder="0" applyProtection="0">
      <alignment/>
    </xf>
    <xf numFmtId="0" fontId="2" fillId="5" borderId="0" applyNumberFormat="0" applyBorder="0" applyProtection="0">
      <alignment/>
    </xf>
    <xf numFmtId="0" fontId="2" fillId="3" borderId="0" applyNumberFormat="0" applyBorder="0" applyProtection="0">
      <alignment/>
    </xf>
    <xf numFmtId="0" fontId="2" fillId="6"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6" borderId="0" applyNumberFormat="0" applyBorder="0" applyProtection="0">
      <alignment/>
    </xf>
    <xf numFmtId="0" fontId="2" fillId="9" borderId="0" applyNumberFormat="0" applyBorder="0" applyProtection="0">
      <alignment/>
    </xf>
    <xf numFmtId="0" fontId="2" fillId="3" borderId="0" applyNumberFormat="0" applyBorder="0" applyProtection="0">
      <alignment/>
    </xf>
    <xf numFmtId="0" fontId="2" fillId="10" borderId="0" applyNumberFormat="0" applyBorder="0" applyProtection="0">
      <alignment/>
    </xf>
    <xf numFmtId="0" fontId="2" fillId="7" borderId="0" applyNumberFormat="0" applyBorder="0" applyProtection="0">
      <alignment/>
    </xf>
    <xf numFmtId="0" fontId="2" fillId="8" borderId="0" applyNumberFormat="0" applyBorder="0" applyProtection="0">
      <alignment/>
    </xf>
    <xf numFmtId="0" fontId="2" fillId="6" borderId="0" applyNumberFormat="0" applyBorder="0" applyProtection="0">
      <alignment/>
    </xf>
    <xf numFmtId="0" fontId="2" fillId="10" borderId="0" applyNumberFormat="0" applyBorder="0" applyProtection="0">
      <alignment/>
    </xf>
    <xf numFmtId="0" fontId="2" fillId="3" borderId="0" applyNumberFormat="0" applyBorder="0" applyProtection="0">
      <alignment/>
    </xf>
    <xf numFmtId="0" fontId="3" fillId="0" borderId="0" applyNumberFormat="0" applyFill="0" applyBorder="0">
      <alignment vertical="top"/>
      <protection locked="0"/>
    </xf>
    <xf numFmtId="0" fontId="4" fillId="0" borderId="0" applyNumberFormat="0" applyFill="0" applyBorder="0">
      <alignment vertical="top"/>
      <protection locked="0"/>
    </xf>
    <xf numFmtId="38" fontId="5" fillId="0" borderId="0" applyFont="0" applyFill="0" applyBorder="0" applyProtection="0">
      <alignment vertical="center"/>
    </xf>
    <xf numFmtId="0" fontId="6" fillId="0" borderId="1" applyNumberFormat="0" applyFill="0" applyProtection="0">
      <alignment/>
    </xf>
    <xf numFmtId="6" fontId="5" fillId="0" borderId="0" applyFont="0" applyFill="0" applyBorder="0" applyProtection="0">
      <alignment vertical="center"/>
    </xf>
    <xf numFmtId="0" fontId="7" fillId="0" borderId="0">
      <alignment vertical="center"/>
      <protection/>
    </xf>
    <xf numFmtId="0" fontId="7" fillId="0" borderId="0">
      <alignment vertical="center"/>
      <protection/>
    </xf>
    <xf numFmtId="0" fontId="5" fillId="0" borderId="0">
      <alignment vertical="center"/>
      <protection/>
    </xf>
    <xf numFmtId="0" fontId="5" fillId="0" borderId="0">
      <alignment/>
      <protection/>
    </xf>
    <xf numFmtId="0" fontId="7"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7" fillId="0" borderId="0">
      <alignment vertical="center"/>
      <protection/>
    </xf>
    <xf numFmtId="0" fontId="5" fillId="0" borderId="0">
      <alignment vertical="center"/>
      <protection/>
    </xf>
    <xf numFmtId="0" fontId="5" fillId="0" borderId="0">
      <alignment vertical="center"/>
      <protection/>
    </xf>
    <xf numFmtId="0" fontId="5" fillId="0" borderId="0">
      <alignment vertical="center"/>
      <protection/>
    </xf>
    <xf numFmtId="0" fontId="5" fillId="0" borderId="0">
      <alignment/>
      <protection/>
    </xf>
    <xf numFmtId="0" fontId="7" fillId="0" borderId="0">
      <alignment vertical="center"/>
      <protection/>
    </xf>
    <xf numFmtId="0" fontId="8" fillId="0" borderId="0">
      <alignment/>
      <protection/>
    </xf>
    <xf numFmtId="0" fontId="9" fillId="0" borderId="0">
      <alignment/>
      <protection/>
    </xf>
    <xf numFmtId="0" fontId="5" fillId="0" borderId="0">
      <alignment vertical="center"/>
      <protection/>
    </xf>
    <xf numFmtId="0" fontId="5" fillId="0" borderId="0">
      <alignment/>
      <protection/>
    </xf>
    <xf numFmtId="0" fontId="5" fillId="0" borderId="0">
      <alignment vertical="center"/>
      <protection/>
    </xf>
    <xf numFmtId="0" fontId="5" fillId="0" borderId="0">
      <alignment vertical="center"/>
      <protection/>
    </xf>
    <xf numFmtId="0" fontId="10" fillId="8" borderId="0" applyNumberFormat="0" applyBorder="0" applyProtection="0">
      <alignment/>
    </xf>
  </cellStyleXfs>
  <cellXfs count="1097">
    <xf numFmtId="0" fontId="0" fillId="0" borderId="0" xfId="0"/>
    <xf numFmtId="0" fontId="11" fillId="0" borderId="0" xfId="0" applyFont="1" applyAlignme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2" fillId="0" borderId="0" xfId="0" applyFont="1" applyAlignment="1">
      <alignment vertical="center"/>
    </xf>
    <xf numFmtId="0" fontId="13" fillId="0" borderId="0" xfId="0" applyFont="1" applyAlignment="1" quotePrefix="1">
      <alignment vertical="center"/>
    </xf>
    <xf numFmtId="0" fontId="13" fillId="0" borderId="0" xfId="0" applyFont="1" applyAlignment="1">
      <alignment vertical="center"/>
    </xf>
    <xf numFmtId="0" fontId="11" fillId="0" borderId="0" xfId="0" applyFont="1" applyAlignment="1" quotePrefix="1">
      <alignment vertical="center"/>
    </xf>
    <xf numFmtId="0" fontId="14" fillId="0" borderId="0" xfId="0" applyFont="1" applyAlignment="1">
      <alignment vertical="center"/>
    </xf>
    <xf numFmtId="0" fontId="15" fillId="0" borderId="0" xfId="0" applyFont="1" applyAlignment="1">
      <alignment vertical="center"/>
    </xf>
    <xf numFmtId="0" fontId="15" fillId="0" borderId="0" xfId="0" applyFont="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shrinkToFit="1"/>
    </xf>
    <xf numFmtId="0" fontId="11" fillId="0" borderId="6" xfId="0" applyFont="1" applyBorder="1" applyAlignment="1">
      <alignment horizontal="center" vertical="center"/>
    </xf>
    <xf numFmtId="0" fontId="16" fillId="0" borderId="7" xfId="0" applyFont="1" applyBorder="1" applyAlignment="1">
      <alignment vertical="center" shrinkToFit="1"/>
    </xf>
    <xf numFmtId="176" fontId="16" fillId="0" borderId="7" xfId="0" applyNumberFormat="1" applyFont="1" applyBorder="1" applyAlignment="1">
      <alignment horizontal="center" vertical="center" shrinkToFit="1"/>
    </xf>
    <xf numFmtId="176" fontId="16" fillId="0" borderId="8" xfId="0" applyNumberFormat="1" applyFont="1" applyBorder="1" applyAlignment="1">
      <alignment horizontal="center" vertical="center" shrinkToFit="1"/>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vertical="center" shrinkToFit="1"/>
    </xf>
    <xf numFmtId="176" fontId="15" fillId="0" borderId="11" xfId="0" applyNumberFormat="1" applyFont="1" applyBorder="1" applyAlignment="1">
      <alignment horizontal="center" vertical="center" shrinkToFit="1"/>
    </xf>
    <xf numFmtId="176" fontId="15" fillId="0" borderId="12" xfId="0" applyNumberFormat="1" applyFont="1" applyBorder="1" applyAlignment="1">
      <alignment horizontal="center" vertical="center" shrinkToFit="1"/>
    </xf>
    <xf numFmtId="0" fontId="15" fillId="0" borderId="13" xfId="0" applyFont="1" applyBorder="1" applyAlignment="1">
      <alignment horizontal="center" vertical="center"/>
    </xf>
    <xf numFmtId="0" fontId="16" fillId="0" borderId="14" xfId="0" applyFont="1" applyBorder="1" applyAlignment="1">
      <alignment vertical="center" shrinkToFit="1"/>
    </xf>
    <xf numFmtId="176" fontId="16" fillId="0" borderId="14" xfId="0" applyNumberFormat="1" applyFont="1" applyBorder="1" applyAlignment="1">
      <alignment horizontal="center" vertical="center" shrinkToFit="1"/>
    </xf>
    <xf numFmtId="176" fontId="16" fillId="0" borderId="15" xfId="0" applyNumberFormat="1" applyFont="1" applyBorder="1" applyAlignment="1">
      <alignment horizontal="center" vertical="center" shrinkToFit="1"/>
    </xf>
    <xf numFmtId="0" fontId="16" fillId="0" borderId="16" xfId="0" applyFont="1" applyBorder="1" applyAlignment="1">
      <alignment horizontal="center" vertical="center"/>
    </xf>
    <xf numFmtId="0" fontId="16" fillId="0" borderId="17" xfId="0" applyFont="1" applyBorder="1" applyAlignment="1">
      <alignment vertical="center" shrinkToFit="1"/>
    </xf>
    <xf numFmtId="176" fontId="15" fillId="0" borderId="14" xfId="0" applyNumberFormat="1" applyFont="1" applyBorder="1" applyAlignment="1">
      <alignment horizontal="center" vertical="center" shrinkToFit="1"/>
    </xf>
    <xf numFmtId="176" fontId="15" fillId="0" borderId="15" xfId="0" applyNumberFormat="1" applyFont="1" applyBorder="1" applyAlignment="1">
      <alignment horizontal="center" vertical="center" shrinkToFit="1"/>
    </xf>
    <xf numFmtId="0" fontId="15" fillId="0" borderId="16" xfId="0" applyFont="1" applyBorder="1" applyAlignment="1">
      <alignment horizontal="center" vertical="center"/>
    </xf>
    <xf numFmtId="0" fontId="16" fillId="0" borderId="18" xfId="0" applyFont="1" applyBorder="1" applyAlignment="1">
      <alignment vertical="center" shrinkToFit="1"/>
    </xf>
    <xf numFmtId="176" fontId="15" fillId="0" borderId="19" xfId="0" applyNumberFormat="1" applyFont="1" applyBorder="1" applyAlignment="1">
      <alignment horizontal="center" vertical="center" shrinkToFit="1"/>
    </xf>
    <xf numFmtId="176" fontId="15" fillId="0" borderId="20" xfId="0" applyNumberFormat="1" applyFont="1" applyBorder="1" applyAlignment="1">
      <alignment horizontal="center" vertical="center" shrinkToFit="1"/>
    </xf>
    <xf numFmtId="0" fontId="15" fillId="0" borderId="21" xfId="0" applyFont="1" applyBorder="1" applyAlignment="1">
      <alignment horizontal="center" vertical="center"/>
    </xf>
    <xf numFmtId="0" fontId="16" fillId="0" borderId="11" xfId="0" applyFont="1" applyBorder="1" applyAlignment="1">
      <alignment vertical="center" shrinkToFit="1"/>
    </xf>
    <xf numFmtId="0" fontId="16" fillId="0" borderId="19" xfId="0" applyFont="1" applyBorder="1" applyAlignment="1">
      <alignment vertical="center" shrinkToFit="1"/>
    </xf>
    <xf numFmtId="176" fontId="15" fillId="11" borderId="12" xfId="0" applyNumberFormat="1" applyFont="1" applyFill="1" applyBorder="1" applyAlignment="1">
      <alignment horizontal="center" vertical="center" shrinkToFit="1"/>
    </xf>
    <xf numFmtId="0" fontId="16" fillId="0" borderId="2" xfId="0" applyFont="1" applyBorder="1" applyAlignment="1">
      <alignment horizontal="center" vertical="center" shrinkToFit="1"/>
    </xf>
    <xf numFmtId="0" fontId="16" fillId="0" borderId="3" xfId="0" applyFont="1" applyBorder="1" applyAlignment="1">
      <alignment vertical="center" shrinkToFit="1"/>
    </xf>
    <xf numFmtId="176" fontId="16" fillId="0" borderId="3" xfId="0" applyNumberFormat="1" applyFont="1" applyBorder="1" applyAlignment="1">
      <alignment horizontal="center" vertical="center" shrinkToFit="1"/>
    </xf>
    <xf numFmtId="176" fontId="16" fillId="0" borderId="5" xfId="0" applyNumberFormat="1" applyFont="1" applyBorder="1" applyAlignment="1">
      <alignment horizontal="center" vertical="center" shrinkToFit="1"/>
    </xf>
    <xf numFmtId="0" fontId="15" fillId="0" borderId="6" xfId="0" applyFont="1" applyBorder="1" applyAlignment="1">
      <alignment horizontal="center" vertical="center"/>
    </xf>
    <xf numFmtId="176" fontId="16" fillId="0" borderId="19" xfId="0" applyNumberFormat="1" applyFont="1" applyBorder="1" applyAlignment="1">
      <alignment horizontal="center" vertical="center" shrinkToFit="1"/>
    </xf>
    <xf numFmtId="176" fontId="16" fillId="11" borderId="20" xfId="0" applyNumberFormat="1" applyFont="1" applyFill="1" applyBorder="1" applyAlignment="1">
      <alignment horizontal="center" vertical="center" shrinkToFit="1"/>
    </xf>
    <xf numFmtId="0" fontId="16" fillId="0" borderId="21" xfId="0" applyFont="1" applyBorder="1" applyAlignment="1">
      <alignment horizontal="center" vertical="center"/>
    </xf>
    <xf numFmtId="176" fontId="15" fillId="0" borderId="3" xfId="0" applyNumberFormat="1" applyFont="1" applyBorder="1" applyAlignment="1">
      <alignment horizontal="center" vertical="center" shrinkToFit="1"/>
    </xf>
    <xf numFmtId="176" fontId="15" fillId="11" borderId="5" xfId="0" applyNumberFormat="1" applyFont="1" applyFill="1" applyBorder="1" applyAlignment="1">
      <alignment horizontal="center" vertical="center" shrinkToFit="1"/>
    </xf>
    <xf numFmtId="0" fontId="13" fillId="0" borderId="0" xfId="0" applyFont="1" applyAlignment="1">
      <alignment horizontal="right" vertical="center"/>
    </xf>
    <xf numFmtId="0" fontId="13" fillId="0" borderId="0" xfId="0" applyFont="1" applyAlignment="1">
      <alignment horizontal="center" vertical="center"/>
    </xf>
    <xf numFmtId="176" fontId="15" fillId="0" borderId="5" xfId="0" applyNumberFormat="1" applyFont="1" applyBorder="1" applyAlignment="1">
      <alignment horizontal="center" vertical="center" shrinkToFit="1"/>
    </xf>
    <xf numFmtId="0" fontId="11" fillId="0" borderId="0" xfId="0" applyFont="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8" fillId="0" borderId="0" xfId="0" applyFont="1" applyAlignment="1">
      <alignment horizontal="left" vertical="center"/>
    </xf>
    <xf numFmtId="0" fontId="11" fillId="0" borderId="14" xfId="0" applyFont="1" applyBorder="1" applyAlignment="1">
      <alignment vertical="center"/>
    </xf>
    <xf numFmtId="0" fontId="11" fillId="0" borderId="14" xfId="0" applyFont="1" applyBorder="1" applyAlignment="1">
      <alignment horizontal="center" vertical="center"/>
    </xf>
    <xf numFmtId="0" fontId="11" fillId="0" borderId="14" xfId="0" applyFont="1" applyBorder="1" applyAlignment="1">
      <alignment horizontal="center" vertical="center" shrinkToFit="1"/>
    </xf>
    <xf numFmtId="0" fontId="19" fillId="0" borderId="0" xfId="44" applyFont="1" applyAlignment="1">
      <alignment vertical="top"/>
      <protection/>
    </xf>
    <xf numFmtId="0" fontId="21" fillId="0" borderId="0" xfId="44" applyFont="1" applyAlignment="1">
      <alignment horizontal="center" vertical="top"/>
      <protection/>
    </xf>
    <xf numFmtId="0" fontId="19" fillId="0" borderId="0" xfId="44" applyFont="1" applyAlignment="1">
      <alignment horizontal="left" vertical="top"/>
      <protection/>
    </xf>
    <xf numFmtId="0" fontId="19" fillId="0" borderId="0" xfId="44" applyFont="1" applyAlignment="1">
      <alignment horizontal="left" vertical="top" shrinkToFit="1"/>
      <protection/>
    </xf>
    <xf numFmtId="0" fontId="19" fillId="0" borderId="0" xfId="44" applyFont="1" applyAlignment="1">
      <alignment horizontal="center" vertical="top"/>
      <protection/>
    </xf>
    <xf numFmtId="0" fontId="19" fillId="0" borderId="0" xfId="0" applyFont="1" applyAlignment="1">
      <alignment vertical="top"/>
    </xf>
    <xf numFmtId="0" fontId="19" fillId="0" borderId="0" xfId="0" applyFont="1" applyAlignment="1">
      <alignment horizontal="left" vertical="top"/>
    </xf>
    <xf numFmtId="0" fontId="19" fillId="0" borderId="0" xfId="0" applyFont="1" applyAlignment="1">
      <alignment horizontal="center" vertical="top"/>
    </xf>
    <xf numFmtId="0" fontId="23" fillId="0" borderId="0" xfId="0" applyFont="1" applyAlignment="1">
      <alignment vertical="top"/>
    </xf>
    <xf numFmtId="0" fontId="23" fillId="0" borderId="0" xfId="44" applyFont="1" applyAlignment="1">
      <alignment horizontal="left" vertical="top"/>
      <protection/>
    </xf>
    <xf numFmtId="0" fontId="23" fillId="0" borderId="0" xfId="44" applyFont="1" applyAlignment="1">
      <alignment vertical="top"/>
      <protection/>
    </xf>
    <xf numFmtId="0" fontId="25" fillId="0" borderId="0" xfId="0" applyFont="1" applyAlignment="1">
      <alignment vertical="top"/>
    </xf>
    <xf numFmtId="0" fontId="13" fillId="0" borderId="0" xfId="51" applyFont="1" applyAlignment="1">
      <alignment vertical="center"/>
      <protection/>
    </xf>
    <xf numFmtId="0" fontId="26" fillId="0" borderId="0" xfId="51" applyFont="1" applyAlignment="1">
      <alignment vertical="center"/>
      <protection/>
    </xf>
    <xf numFmtId="0" fontId="26" fillId="0" borderId="0" xfId="51" applyFont="1" applyAlignment="1">
      <alignment horizontal="center" vertical="center"/>
      <protection/>
    </xf>
    <xf numFmtId="0" fontId="27" fillId="0" borderId="0" xfId="51" applyFont="1" applyAlignment="1">
      <alignment vertical="center"/>
      <protection/>
    </xf>
    <xf numFmtId="0" fontId="28" fillId="0" borderId="0" xfId="51" applyFont="1" applyAlignment="1">
      <alignment vertical="center"/>
      <protection/>
    </xf>
    <xf numFmtId="0" fontId="29" fillId="0" borderId="22" xfId="51" applyFont="1" applyBorder="1" applyAlignment="1">
      <alignment horizontal="center" vertical="center"/>
      <protection/>
    </xf>
    <xf numFmtId="0" fontId="29" fillId="0" borderId="22" xfId="51" applyFont="1" applyBorder="1" applyAlignment="1">
      <alignment vertical="center"/>
      <protection/>
    </xf>
    <xf numFmtId="0" fontId="29" fillId="0" borderId="22" xfId="51" applyFont="1" applyBorder="1" applyAlignment="1">
      <alignment horizontal="right" vertical="center"/>
      <protection/>
    </xf>
    <xf numFmtId="0" fontId="29" fillId="0" borderId="0" xfId="51" applyFont="1" applyAlignment="1">
      <alignment vertical="center"/>
      <protection/>
    </xf>
    <xf numFmtId="0" fontId="29" fillId="0" borderId="23" xfId="51" applyFont="1" applyBorder="1" applyAlignment="1">
      <alignment horizontal="center" vertical="center"/>
      <protection/>
    </xf>
    <xf numFmtId="0" fontId="16" fillId="12" borderId="24" xfId="51" applyFont="1" applyFill="1" applyBorder="1" applyAlignment="1">
      <alignment horizontal="center" vertical="center" shrinkToFit="1"/>
      <protection/>
    </xf>
    <xf numFmtId="0" fontId="30" fillId="0" borderId="10" xfId="51" applyFont="1" applyBorder="1" applyAlignment="1">
      <alignment vertical="center"/>
      <protection/>
    </xf>
    <xf numFmtId="0" fontId="30" fillId="0" borderId="12" xfId="51" applyFont="1" applyBorder="1" applyAlignment="1">
      <alignment vertical="center"/>
      <protection/>
    </xf>
    <xf numFmtId="0" fontId="30" fillId="0" borderId="22" xfId="51" applyFont="1" applyBorder="1" applyAlignment="1">
      <alignment horizontal="center" vertical="center"/>
      <protection/>
    </xf>
    <xf numFmtId="0" fontId="30" fillId="0" borderId="25" xfId="51" applyFont="1" applyBorder="1" applyAlignment="1">
      <alignment vertical="center"/>
      <protection/>
    </xf>
    <xf numFmtId="0" fontId="16" fillId="12" borderId="26" xfId="51" applyFont="1" applyFill="1" applyBorder="1" applyAlignment="1">
      <alignment horizontal="center" vertical="center" shrinkToFit="1"/>
      <protection/>
    </xf>
    <xf numFmtId="0" fontId="30" fillId="0" borderId="17" xfId="51" applyFont="1" applyBorder="1" applyAlignment="1">
      <alignment vertical="center"/>
      <protection/>
    </xf>
    <xf numFmtId="0" fontId="30" fillId="0" borderId="15" xfId="51" applyFont="1" applyBorder="1" applyAlignment="1">
      <alignment vertical="center"/>
      <protection/>
    </xf>
    <xf numFmtId="0" fontId="30" fillId="0" borderId="27" xfId="51" applyFont="1" applyBorder="1" applyAlignment="1">
      <alignment horizontal="center" vertical="center"/>
      <protection/>
    </xf>
    <xf numFmtId="0" fontId="30" fillId="0" borderId="28" xfId="51" applyFont="1" applyBorder="1" applyAlignment="1">
      <alignment vertical="center"/>
      <protection/>
    </xf>
    <xf numFmtId="0" fontId="16" fillId="12" borderId="29" xfId="51" applyFont="1" applyFill="1" applyBorder="1" applyAlignment="1">
      <alignment horizontal="center" vertical="center" shrinkToFit="1"/>
      <protection/>
    </xf>
    <xf numFmtId="0" fontId="30" fillId="0" borderId="18" xfId="51" applyFont="1" applyBorder="1" applyAlignment="1">
      <alignment vertical="center"/>
      <protection/>
    </xf>
    <xf numFmtId="0" fontId="30" fillId="0" borderId="20" xfId="51" applyFont="1" applyBorder="1" applyAlignment="1">
      <alignment vertical="center"/>
      <protection/>
    </xf>
    <xf numFmtId="0" fontId="30" fillId="0" borderId="23" xfId="51" applyFont="1" applyBorder="1" applyAlignment="1">
      <alignment horizontal="center" vertical="center"/>
      <protection/>
    </xf>
    <xf numFmtId="0" fontId="30" fillId="0" borderId="30" xfId="51" applyFont="1" applyBorder="1" applyAlignment="1">
      <alignment vertical="center"/>
      <protection/>
    </xf>
    <xf numFmtId="0" fontId="33" fillId="0" borderId="0" xfId="52" applyFont="1" applyAlignment="1">
      <alignment vertical="center"/>
      <protection/>
    </xf>
    <xf numFmtId="0" fontId="34" fillId="0" borderId="0" xfId="52" applyFont="1" applyAlignment="1">
      <alignment vertical="center"/>
      <protection/>
    </xf>
    <xf numFmtId="0" fontId="36" fillId="0" borderId="0" xfId="52" applyFont="1" applyAlignment="1">
      <alignment horizontal="center" vertical="center"/>
      <protection/>
    </xf>
    <xf numFmtId="0" fontId="37" fillId="0" borderId="0" xfId="52" applyFont="1" applyAlignment="1">
      <alignment vertical="center"/>
      <protection/>
    </xf>
    <xf numFmtId="0" fontId="37" fillId="0" borderId="0" xfId="52" applyFont="1" applyAlignment="1">
      <alignment horizontal="left" vertical="center"/>
      <protection/>
    </xf>
    <xf numFmtId="0" fontId="37" fillId="0" borderId="0" xfId="52" applyFont="1" applyAlignment="1">
      <alignment vertical="center" shrinkToFit="1"/>
      <protection/>
    </xf>
    <xf numFmtId="0" fontId="38" fillId="0" borderId="0" xfId="52" applyFont="1" applyAlignment="1">
      <alignment vertical="center"/>
      <protection/>
    </xf>
    <xf numFmtId="0" fontId="33" fillId="0" borderId="0" xfId="52" applyFont="1" applyAlignment="1">
      <alignment vertical="center" shrinkToFit="1"/>
      <protection/>
    </xf>
    <xf numFmtId="0" fontId="39" fillId="0" borderId="0" xfId="52" applyFont="1" applyAlignment="1" quotePrefix="1">
      <alignment horizontal="center" vertical="center"/>
      <protection/>
    </xf>
    <xf numFmtId="0" fontId="39" fillId="0" borderId="0" xfId="52" applyFont="1" applyAlignment="1">
      <alignment horizontal="center" vertical="center"/>
      <protection/>
    </xf>
    <xf numFmtId="0" fontId="39" fillId="0" borderId="0" xfId="52" applyFont="1" applyAlignment="1">
      <alignment vertical="center"/>
      <protection/>
    </xf>
    <xf numFmtId="0" fontId="40" fillId="0" borderId="0" xfId="52" applyFont="1" applyAlignment="1">
      <alignment vertical="center"/>
      <protection/>
    </xf>
    <xf numFmtId="0" fontId="41" fillId="0" borderId="0" xfId="52" applyFont="1" applyAlignment="1">
      <alignment vertical="center"/>
      <protection/>
    </xf>
    <xf numFmtId="0" fontId="40" fillId="0" borderId="0" xfId="52" applyFont="1" applyAlignment="1">
      <alignment vertical="center" shrinkToFit="1"/>
      <protection/>
    </xf>
    <xf numFmtId="0" fontId="33" fillId="0" borderId="0" xfId="52" applyFont="1" applyAlignment="1">
      <alignment vertical="top"/>
      <protection/>
    </xf>
    <xf numFmtId="0" fontId="43" fillId="0" borderId="0" xfId="52" applyFont="1" applyAlignment="1">
      <alignment vertical="center"/>
      <protection/>
    </xf>
    <xf numFmtId="0" fontId="33" fillId="0" borderId="0" xfId="52" applyFont="1" applyAlignment="1">
      <alignment vertical="center" wrapText="1"/>
      <protection/>
    </xf>
    <xf numFmtId="0" fontId="33" fillId="0" borderId="0" xfId="57" applyFont="1" applyAlignment="1">
      <alignment vertical="center"/>
      <protection/>
    </xf>
    <xf numFmtId="0" fontId="43" fillId="0" borderId="0" xfId="54" applyFont="1" applyAlignment="1">
      <alignment vertical="top"/>
      <protection/>
    </xf>
    <xf numFmtId="0" fontId="33" fillId="0" borderId="0" xfId="54" applyFont="1" applyAlignment="1">
      <alignment vertical="top"/>
      <protection/>
    </xf>
    <xf numFmtId="0" fontId="33" fillId="0" borderId="0" xfId="54" applyFont="1" applyAlignment="1">
      <alignment vertical="center"/>
      <protection/>
    </xf>
    <xf numFmtId="0" fontId="43" fillId="0" borderId="0" xfId="54" applyFont="1" applyAlignment="1">
      <alignment horizontal="center" vertical="top"/>
      <protection/>
    </xf>
    <xf numFmtId="0" fontId="44" fillId="0" borderId="0" xfId="52" applyFont="1" applyAlignment="1">
      <alignment vertical="center"/>
      <protection/>
    </xf>
    <xf numFmtId="0" fontId="43" fillId="0" borderId="0" xfId="54" applyFont="1" applyAlignment="1">
      <alignment vertical="center"/>
      <protection/>
    </xf>
    <xf numFmtId="0" fontId="33" fillId="0" borderId="0" xfId="54" applyFont="1" applyAlignment="1">
      <alignment vertical="distributed"/>
      <protection/>
    </xf>
    <xf numFmtId="0" fontId="40" fillId="0" borderId="0" xfId="52" applyFont="1" applyAlignment="1">
      <alignment vertical="distributed" wrapText="1"/>
      <protection/>
    </xf>
    <xf numFmtId="0" fontId="40" fillId="0" borderId="0" xfId="54" applyFont="1" applyAlignment="1">
      <alignment vertical="center"/>
      <protection/>
    </xf>
    <xf numFmtId="0" fontId="43" fillId="0" borderId="0" xfId="0" applyFont="1" applyAlignment="1">
      <alignment vertical="center"/>
    </xf>
    <xf numFmtId="0" fontId="42" fillId="0" borderId="0" xfId="52" applyFont="1" applyAlignment="1">
      <alignment vertical="center"/>
      <protection/>
    </xf>
    <xf numFmtId="0" fontId="43" fillId="0" borderId="0" xfId="52" applyFont="1" applyAlignment="1">
      <alignment vertical="center" shrinkToFit="1"/>
      <protection/>
    </xf>
    <xf numFmtId="0" fontId="45" fillId="0" borderId="0" xfId="52" applyFont="1" applyAlignment="1">
      <alignment vertical="center"/>
      <protection/>
    </xf>
    <xf numFmtId="0" fontId="11" fillId="0" borderId="0" xfId="46" applyFont="1" applyAlignment="1">
      <alignment vertical="center"/>
      <protection/>
    </xf>
    <xf numFmtId="0" fontId="11" fillId="0" borderId="0" xfId="46" applyFont="1" applyAlignment="1">
      <alignment horizontal="center" vertical="center"/>
      <protection/>
    </xf>
    <xf numFmtId="0" fontId="13" fillId="0" borderId="0" xfId="47" applyFont="1" applyAlignment="1">
      <alignment vertical="center"/>
      <protection/>
    </xf>
    <xf numFmtId="0" fontId="11" fillId="0" borderId="0" xfId="46" applyFont="1" applyAlignment="1">
      <alignment horizontal="left" vertical="center"/>
      <protection/>
    </xf>
    <xf numFmtId="0" fontId="11" fillId="0" borderId="2" xfId="46" applyFont="1" applyBorder="1" applyAlignment="1">
      <alignment horizontal="center" vertical="center"/>
      <protection/>
    </xf>
    <xf numFmtId="0" fontId="11" fillId="0" borderId="5" xfId="46" applyFont="1" applyBorder="1" applyAlignment="1">
      <alignment vertical="center"/>
      <protection/>
    </xf>
    <xf numFmtId="0" fontId="11" fillId="0" borderId="3" xfId="46" applyFont="1" applyBorder="1" applyAlignment="1">
      <alignment horizontal="center" vertical="center"/>
      <protection/>
    </xf>
    <xf numFmtId="0" fontId="11" fillId="0" borderId="6" xfId="46" applyFont="1" applyBorder="1" applyAlignment="1">
      <alignment horizontal="center" vertical="center"/>
      <protection/>
    </xf>
    <xf numFmtId="0" fontId="16" fillId="0" borderId="11" xfId="47" applyFont="1" applyBorder="1" applyAlignment="1">
      <alignment vertical="center" shrinkToFit="1"/>
      <protection/>
    </xf>
    <xf numFmtId="0" fontId="0" fillId="0" borderId="31" xfId="46" applyFont="1" applyBorder="1" applyAlignment="1">
      <alignment horizontal="center" vertical="center"/>
      <protection/>
    </xf>
    <xf numFmtId="0" fontId="5" fillId="8" borderId="14" xfId="46" applyFont="1" applyFill="1" applyBorder="1" applyAlignment="1">
      <alignment horizontal="center" vertical="center"/>
      <protection/>
    </xf>
    <xf numFmtId="0" fontId="5" fillId="0" borderId="14" xfId="46" applyFont="1" applyBorder="1" applyAlignment="1">
      <alignment horizontal="center" vertical="center"/>
      <protection/>
    </xf>
    <xf numFmtId="0" fontId="5" fillId="0" borderId="16" xfId="46" applyFont="1" applyBorder="1" applyAlignment="1">
      <alignment horizontal="center" vertical="center"/>
      <protection/>
    </xf>
    <xf numFmtId="0" fontId="16" fillId="0" borderId="14" xfId="47" applyFont="1" applyBorder="1" applyAlignment="1">
      <alignment vertical="center" shrinkToFit="1"/>
      <protection/>
    </xf>
    <xf numFmtId="0" fontId="16" fillId="0" borderId="19" xfId="47" applyFont="1" applyBorder="1" applyAlignment="1">
      <alignment vertical="center" shrinkToFit="1"/>
      <protection/>
    </xf>
    <xf numFmtId="0" fontId="0" fillId="0" borderId="32" xfId="46" applyFont="1" applyBorder="1" applyAlignment="1">
      <alignment horizontal="center" vertical="center"/>
      <protection/>
    </xf>
    <xf numFmtId="0" fontId="5" fillId="8" borderId="19" xfId="46" applyFont="1" applyFill="1" applyBorder="1" applyAlignment="1">
      <alignment horizontal="center" vertical="center"/>
      <protection/>
    </xf>
    <xf numFmtId="0" fontId="5" fillId="0" borderId="19" xfId="46" applyFont="1" applyBorder="1" applyAlignment="1">
      <alignment horizontal="center" vertical="center"/>
      <protection/>
    </xf>
    <xf numFmtId="0" fontId="5" fillId="0" borderId="21" xfId="46" applyFont="1" applyBorder="1" applyAlignment="1">
      <alignment horizontal="center" vertical="center"/>
      <protection/>
    </xf>
    <xf numFmtId="0" fontId="46" fillId="0" borderId="0" xfId="47" applyFont="1" applyAlignment="1">
      <alignment horizontal="center" vertical="center"/>
      <protection/>
    </xf>
    <xf numFmtId="0" fontId="46" fillId="0" borderId="0" xfId="47" applyFont="1" applyAlignment="1">
      <alignment vertical="center"/>
      <protection/>
    </xf>
    <xf numFmtId="0" fontId="5" fillId="0" borderId="0" xfId="46" applyFont="1" applyAlignment="1">
      <alignment horizontal="center" vertical="center"/>
      <protection/>
    </xf>
    <xf numFmtId="0" fontId="11" fillId="0" borderId="0" xfId="61" applyFont="1" applyAlignment="1">
      <alignment vertical="center"/>
      <protection/>
    </xf>
    <xf numFmtId="0" fontId="11" fillId="0" borderId="0" xfId="61" applyFont="1" applyAlignment="1">
      <alignment horizontal="right" vertical="center"/>
      <protection/>
    </xf>
    <xf numFmtId="0" fontId="11" fillId="0" borderId="0" xfId="61" applyFont="1" applyAlignment="1">
      <alignment horizontal="center" vertical="center"/>
      <protection/>
    </xf>
    <xf numFmtId="0" fontId="11" fillId="0" borderId="0" xfId="0" applyFont="1" applyAlignment="1">
      <alignment horizontal="center"/>
    </xf>
    <xf numFmtId="0" fontId="11" fillId="0" borderId="0" xfId="0" applyFont="1"/>
    <xf numFmtId="0" fontId="47" fillId="0" borderId="0" xfId="61" applyFont="1" applyAlignment="1">
      <alignment horizontal="center" vertical="center"/>
      <protection/>
    </xf>
    <xf numFmtId="0" fontId="47" fillId="0" borderId="33" xfId="61" applyFont="1" applyBorder="1" applyAlignment="1">
      <alignment horizontal="center" vertical="center"/>
      <protection/>
    </xf>
    <xf numFmtId="0" fontId="11" fillId="13" borderId="0" xfId="61" applyFont="1" applyFill="1" applyAlignment="1">
      <alignment horizontal="center" vertical="center"/>
      <protection/>
    </xf>
    <xf numFmtId="0" fontId="11" fillId="0" borderId="34" xfId="0" applyFont="1" applyBorder="1" applyAlignment="1">
      <alignment shrinkToFit="1"/>
    </xf>
    <xf numFmtId="0" fontId="11" fillId="0" borderId="0" xfId="0" applyFont="1" applyAlignment="1">
      <alignment shrinkToFit="1"/>
    </xf>
    <xf numFmtId="0" fontId="11" fillId="0" borderId="0" xfId="61" applyFont="1" applyAlignment="1">
      <alignment horizontal="center" vertical="center" shrinkToFit="1"/>
      <protection/>
    </xf>
    <xf numFmtId="0" fontId="11" fillId="0" borderId="0" xfId="61" applyFont="1" applyAlignment="1">
      <alignment horizontal="left" vertical="center" shrinkToFit="1"/>
      <protection/>
    </xf>
    <xf numFmtId="0" fontId="11" fillId="0" borderId="35" xfId="0" applyFont="1" applyBorder="1" applyAlignment="1">
      <alignment shrinkToFit="1"/>
    </xf>
    <xf numFmtId="0" fontId="46" fillId="0" borderId="0" xfId="61" applyFont="1" applyAlignment="1">
      <alignment horizontal="center" vertical="center" shrinkToFit="1"/>
      <protection/>
    </xf>
    <xf numFmtId="0" fontId="46" fillId="0" borderId="0" xfId="61" applyFont="1" applyAlignment="1">
      <alignment horizontal="left" vertical="center" shrinkToFit="1"/>
      <protection/>
    </xf>
    <xf numFmtId="0" fontId="46" fillId="0" borderId="36" xfId="61" applyFont="1" applyBorder="1" applyAlignment="1">
      <alignment horizontal="left" vertical="center" shrinkToFit="1"/>
      <protection/>
    </xf>
    <xf numFmtId="0" fontId="11" fillId="0" borderId="0" xfId="61" applyFont="1" applyAlignment="1">
      <alignment horizontal="right" vertical="center" shrinkToFit="1"/>
      <protection/>
    </xf>
    <xf numFmtId="0" fontId="11" fillId="0" borderId="0" xfId="61" applyFont="1" applyAlignment="1">
      <alignment vertical="center" shrinkToFit="1"/>
      <protection/>
    </xf>
    <xf numFmtId="0" fontId="11" fillId="14" borderId="0" xfId="0" applyFont="1" applyFill="1" applyAlignment="1">
      <alignment horizontal="center" vertical="center"/>
    </xf>
    <xf numFmtId="0" fontId="16" fillId="0" borderId="34" xfId="0" applyFont="1" applyBorder="1" applyAlignment="1">
      <alignment horizontal="center" vertical="center" shrinkToFit="1"/>
    </xf>
    <xf numFmtId="20" fontId="11" fillId="0" borderId="0" xfId="61" applyNumberFormat="1" applyFont="1" applyAlignment="1">
      <alignment vertical="center"/>
      <protection/>
    </xf>
    <xf numFmtId="0" fontId="11" fillId="15" borderId="0" xfId="0" applyFont="1" applyFill="1" applyAlignment="1">
      <alignment horizontal="center" vertical="center"/>
    </xf>
    <xf numFmtId="0" fontId="18" fillId="15" borderId="0" xfId="0" applyFont="1" applyFill="1" applyAlignment="1">
      <alignment vertical="center"/>
    </xf>
    <xf numFmtId="0" fontId="11" fillId="15" borderId="0" xfId="0" applyFont="1" applyFill="1" applyAlignment="1">
      <alignment shrinkToFit="1"/>
    </xf>
    <xf numFmtId="0" fontId="11" fillId="15" borderId="0" xfId="61" applyFont="1" applyFill="1" applyAlignment="1">
      <alignment vertical="center"/>
      <protection/>
    </xf>
    <xf numFmtId="0" fontId="11" fillId="15" borderId="0" xfId="61" applyFont="1" applyFill="1" applyAlignment="1">
      <alignment horizontal="center" vertical="center"/>
      <protection/>
    </xf>
    <xf numFmtId="0" fontId="11" fillId="15" borderId="0" xfId="0" applyFont="1" applyFill="1"/>
    <xf numFmtId="0" fontId="18" fillId="15" borderId="0" xfId="0" applyFont="1" applyFill="1"/>
    <xf numFmtId="0" fontId="11" fillId="15" borderId="0" xfId="0" applyFont="1" applyFill="1" applyAlignment="1">
      <alignment horizontal="center"/>
    </xf>
    <xf numFmtId="0" fontId="18" fillId="15" borderId="0" xfId="0" applyFont="1" applyFill="1" applyAlignment="1">
      <alignment horizontal="left"/>
    </xf>
    <xf numFmtId="0" fontId="28" fillId="0" borderId="0" xfId="0" applyFont="1" applyAlignment="1">
      <alignment vertical="center"/>
    </xf>
    <xf numFmtId="49" fontId="48" fillId="0" borderId="0" xfId="0" applyNumberFormat="1" applyFont="1" applyAlignment="1">
      <alignment horizontal="right" vertical="center" wrapText="1"/>
    </xf>
    <xf numFmtId="49" fontId="48" fillId="0" borderId="0" xfId="0" applyNumberFormat="1" applyFont="1" applyAlignment="1">
      <alignment horizontal="right" vertical="top"/>
    </xf>
    <xf numFmtId="49" fontId="27" fillId="0" borderId="0" xfId="0" applyNumberFormat="1" applyFont="1" applyAlignment="1">
      <alignment horizontal="right" vertical="center" wrapText="1"/>
    </xf>
    <xf numFmtId="0" fontId="27" fillId="0" borderId="0" xfId="0" applyFont="1" applyAlignment="1">
      <alignment vertical="center" wrapText="1"/>
    </xf>
    <xf numFmtId="49" fontId="27" fillId="0" borderId="0" xfId="0" applyNumberFormat="1" applyFont="1" applyAlignment="1">
      <alignment horizontal="right" vertical="top"/>
    </xf>
    <xf numFmtId="0" fontId="27" fillId="0" borderId="0" xfId="0" applyFont="1" applyAlignment="1">
      <alignment vertical="top" wrapText="1"/>
    </xf>
    <xf numFmtId="0" fontId="27" fillId="0" borderId="0" xfId="0" applyFont="1" applyAlignment="1">
      <alignment vertical="center"/>
    </xf>
    <xf numFmtId="49" fontId="27" fillId="0" borderId="37" xfId="0" applyNumberFormat="1" applyFont="1" applyBorder="1" applyAlignment="1">
      <alignment horizontal="right" vertical="center" wrapText="1"/>
    </xf>
    <xf numFmtId="0" fontId="27" fillId="0" borderId="37" xfId="0" applyFont="1" applyBorder="1" applyAlignment="1">
      <alignment vertical="center"/>
    </xf>
    <xf numFmtId="0" fontId="27" fillId="0" borderId="37" xfId="0" applyFont="1" applyBorder="1" applyAlignment="1">
      <alignment vertical="top" wrapText="1"/>
    </xf>
    <xf numFmtId="0" fontId="49" fillId="0" borderId="0" xfId="0" applyFont="1" applyAlignment="1">
      <alignment vertical="center"/>
    </xf>
    <xf numFmtId="0" fontId="50" fillId="0" borderId="0" xfId="0" applyFont="1" applyAlignment="1">
      <alignment vertical="center"/>
    </xf>
    <xf numFmtId="0" fontId="50" fillId="0" borderId="38" xfId="0" applyFont="1" applyBorder="1" applyAlignment="1">
      <alignment vertical="center"/>
    </xf>
    <xf numFmtId="0" fontId="50" fillId="0" borderId="39" xfId="0" applyFont="1" applyBorder="1" applyAlignment="1">
      <alignment horizontal="center" vertical="center"/>
    </xf>
    <xf numFmtId="0" fontId="50" fillId="0" borderId="40" xfId="0" applyFont="1" applyBorder="1" applyAlignment="1">
      <alignment vertical="center"/>
    </xf>
    <xf numFmtId="0" fontId="50" fillId="0" borderId="39" xfId="0" applyFont="1" applyBorder="1" applyAlignment="1">
      <alignment vertical="center"/>
    </xf>
    <xf numFmtId="0" fontId="50" fillId="0" borderId="38" xfId="0" applyFont="1" applyBorder="1" applyAlignment="1">
      <alignment vertical="center" shrinkToFit="1"/>
    </xf>
    <xf numFmtId="0" fontId="50" fillId="0" borderId="40" xfId="0" applyFont="1" applyBorder="1" applyAlignment="1">
      <alignment vertical="center" shrinkToFit="1"/>
    </xf>
    <xf numFmtId="0" fontId="13" fillId="0" borderId="0" xfId="0" applyFont="1" applyAlignment="1">
      <alignment vertical="center" shrinkToFit="1"/>
    </xf>
    <xf numFmtId="0" fontId="13" fillId="0" borderId="41" xfId="0" applyFont="1" applyBorder="1" applyAlignment="1">
      <alignment vertical="center" shrinkToFit="1"/>
    </xf>
    <xf numFmtId="0" fontId="13" fillId="0" borderId="7" xfId="0" applyFont="1" applyBorder="1" applyAlignment="1">
      <alignment horizontal="center" vertical="center" shrinkToFit="1"/>
    </xf>
    <xf numFmtId="0" fontId="13" fillId="0" borderId="42"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32"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21" xfId="0" applyFont="1" applyBorder="1" applyAlignment="1">
      <alignment horizontal="center" vertical="center" shrinkToFit="1"/>
    </xf>
    <xf numFmtId="0" fontId="16" fillId="0" borderId="14" xfId="0" applyFont="1" applyBorder="1" applyAlignment="1">
      <alignment horizontal="center" vertical="center" shrinkToFit="1"/>
    </xf>
    <xf numFmtId="0" fontId="16" fillId="0" borderId="15" xfId="0" applyFont="1" applyBorder="1" applyAlignment="1">
      <alignment horizontal="center" vertical="center"/>
    </xf>
    <xf numFmtId="0" fontId="51" fillId="5" borderId="43" xfId="0" applyFont="1" applyFill="1" applyBorder="1" applyAlignment="1">
      <alignment horizontal="center" vertical="center" shrinkToFit="1"/>
    </xf>
    <xf numFmtId="0" fontId="51" fillId="5" borderId="44" xfId="0" applyFont="1" applyFill="1" applyBorder="1" applyAlignment="1">
      <alignment horizontal="center" vertical="center" shrinkToFit="1"/>
    </xf>
    <xf numFmtId="0" fontId="51" fillId="5" borderId="45" xfId="0" applyFont="1" applyFill="1" applyBorder="1" applyAlignment="1">
      <alignment horizontal="center" vertical="center" shrinkToFit="1"/>
    </xf>
    <xf numFmtId="0" fontId="52" fillId="0" borderId="46"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6" xfId="0" applyFont="1" applyBorder="1" applyAlignment="1">
      <alignment horizontal="center" vertical="center"/>
    </xf>
    <xf numFmtId="0" fontId="52" fillId="0" borderId="2" xfId="0" applyFont="1" applyBorder="1" applyAlignment="1">
      <alignment horizontal="center" vertical="center"/>
    </xf>
    <xf numFmtId="0" fontId="52" fillId="0" borderId="7" xfId="0" applyFont="1" applyBorder="1" applyAlignment="1">
      <alignment horizontal="center" vertical="center" shrinkToFit="1"/>
    </xf>
    <xf numFmtId="0" fontId="52" fillId="0" borderId="14" xfId="0" applyFont="1" applyBorder="1" applyAlignment="1">
      <alignment horizontal="center" vertical="center" shrinkToFit="1"/>
    </xf>
    <xf numFmtId="20" fontId="13" fillId="0" borderId="0" xfId="0" applyNumberFormat="1" applyFont="1" applyAlignment="1">
      <alignment vertical="center"/>
    </xf>
    <xf numFmtId="0" fontId="52" fillId="0" borderId="47" xfId="0" applyFont="1" applyBorder="1" applyAlignment="1">
      <alignment horizontal="center" vertical="center" shrinkToFit="1"/>
    </xf>
    <xf numFmtId="0" fontId="54" fillId="0" borderId="0" xfId="0" applyFont="1" applyAlignment="1">
      <alignment vertical="center"/>
    </xf>
    <xf numFmtId="0" fontId="52" fillId="0" borderId="19" xfId="0" applyFont="1" applyBorder="1" applyAlignment="1">
      <alignment horizontal="center" vertical="center" shrinkToFit="1"/>
    </xf>
    <xf numFmtId="0" fontId="26" fillId="0" borderId="0" xfId="0" applyFont="1" applyAlignment="1">
      <alignment horizontal="center" vertical="center" wrapText="1" shrinkToFit="1"/>
    </xf>
    <xf numFmtId="0" fontId="13" fillId="0" borderId="0" xfId="58" applyFont="1" applyAlignment="1" applyProtection="1">
      <alignment horizontal="center" vertical="center"/>
      <protection/>
    </xf>
    <xf numFmtId="0" fontId="16" fillId="0" borderId="0" xfId="58" applyFont="1" applyAlignment="1" applyProtection="1">
      <alignment horizontal="center" vertical="center"/>
      <protection/>
    </xf>
    <xf numFmtId="0" fontId="13" fillId="0" borderId="0" xfId="62" applyFont="1" applyAlignment="1">
      <alignment vertical="center"/>
      <protection/>
    </xf>
    <xf numFmtId="0" fontId="13" fillId="0" borderId="0" xfId="60" applyFont="1" applyAlignment="1">
      <alignment horizontal="center" vertical="center"/>
      <protection/>
    </xf>
    <xf numFmtId="0" fontId="53" fillId="0" borderId="0" xfId="60" applyFont="1" applyAlignment="1">
      <alignment vertical="center"/>
      <protection/>
    </xf>
    <xf numFmtId="0" fontId="27" fillId="0" borderId="0" xfId="60" applyFont="1" applyAlignment="1">
      <alignment horizontal="center" vertical="center"/>
      <protection/>
    </xf>
    <xf numFmtId="0" fontId="27" fillId="0" borderId="0" xfId="60" applyFont="1" applyAlignment="1">
      <alignment vertical="center"/>
      <protection/>
    </xf>
    <xf numFmtId="0" fontId="27" fillId="0" borderId="41" xfId="60" applyFont="1" applyBorder="1" applyAlignment="1">
      <alignment vertical="center" shrinkToFit="1"/>
      <protection/>
    </xf>
    <xf numFmtId="0" fontId="27" fillId="0" borderId="0" xfId="60" applyFont="1" applyAlignment="1">
      <alignment vertical="center" shrinkToFit="1"/>
      <protection/>
    </xf>
    <xf numFmtId="0" fontId="27" fillId="0" borderId="48" xfId="60" applyFont="1" applyBorder="1" applyAlignment="1">
      <alignment vertical="center" shrinkToFit="1"/>
      <protection/>
    </xf>
    <xf numFmtId="0" fontId="27" fillId="0" borderId="42" xfId="60" applyFont="1" applyBorder="1" applyAlignment="1">
      <alignment vertical="center" shrinkToFit="1"/>
      <protection/>
    </xf>
    <xf numFmtId="0" fontId="54" fillId="0" borderId="0" xfId="58" applyFont="1" applyAlignment="1" applyProtection="1">
      <alignment horizontal="left" vertical="center"/>
      <protection/>
    </xf>
    <xf numFmtId="0" fontId="16" fillId="0" borderId="41" xfId="58" applyFont="1" applyBorder="1" applyAlignment="1" applyProtection="1">
      <alignment horizontal="center" vertical="center"/>
      <protection/>
    </xf>
    <xf numFmtId="0" fontId="16" fillId="0" borderId="48" xfId="58" applyFont="1" applyBorder="1" applyAlignment="1" applyProtection="1">
      <alignment horizontal="center" vertical="center"/>
      <protection/>
    </xf>
    <xf numFmtId="0" fontId="16" fillId="0" borderId="42" xfId="58" applyFont="1" applyBorder="1" applyAlignment="1" applyProtection="1">
      <alignment horizontal="center" vertical="center"/>
      <protection/>
    </xf>
    <xf numFmtId="0" fontId="13" fillId="0" borderId="41" xfId="62" applyFont="1" applyBorder="1" applyAlignment="1">
      <alignment vertical="center"/>
      <protection/>
    </xf>
    <xf numFmtId="0" fontId="13" fillId="0" borderId="42" xfId="58" applyFont="1" applyBorder="1" applyAlignment="1" applyProtection="1">
      <alignment horizontal="center" vertical="center"/>
      <protection/>
    </xf>
    <xf numFmtId="0" fontId="16" fillId="0" borderId="49" xfId="58" applyFont="1" applyBorder="1" applyAlignment="1" applyProtection="1">
      <alignment horizontal="center" vertical="center"/>
      <protection/>
    </xf>
    <xf numFmtId="0" fontId="27" fillId="0" borderId="41" xfId="60" applyFont="1" applyBorder="1" applyAlignment="1">
      <alignment horizontal="center" vertical="center"/>
      <protection/>
    </xf>
    <xf numFmtId="0" fontId="27" fillId="0" borderId="50" xfId="60" applyFont="1" applyBorder="1" applyAlignment="1">
      <alignment vertical="center"/>
      <protection/>
    </xf>
    <xf numFmtId="0" fontId="16" fillId="0" borderId="51" xfId="58" applyFont="1" applyBorder="1" applyAlignment="1" applyProtection="1">
      <alignment horizontal="center" vertical="center" shrinkToFit="1"/>
      <protection/>
    </xf>
    <xf numFmtId="0" fontId="55" fillId="0" borderId="0" xfId="58" applyFont="1" applyAlignment="1" applyProtection="1">
      <alignment horizontal="center" vertical="center"/>
      <protection/>
    </xf>
    <xf numFmtId="0" fontId="55" fillId="0" borderId="52" xfId="58" applyFont="1" applyBorder="1" applyAlignment="1" applyProtection="1">
      <alignment horizontal="center" vertical="center" shrinkToFit="1"/>
      <protection/>
    </xf>
    <xf numFmtId="0" fontId="55" fillId="0" borderId="0" xfId="62" applyFont="1" applyAlignment="1">
      <alignment vertical="center"/>
      <protection/>
    </xf>
    <xf numFmtId="20" fontId="55" fillId="0" borderId="0" xfId="62" applyNumberFormat="1" applyFont="1" applyAlignment="1">
      <alignment vertical="center"/>
      <protection/>
    </xf>
    <xf numFmtId="0" fontId="16" fillId="0" borderId="0" xfId="58" applyFont="1" applyAlignment="1" applyProtection="1">
      <alignment vertical="center" shrinkToFit="1"/>
      <protection/>
    </xf>
    <xf numFmtId="0" fontId="16" fillId="0" borderId="0" xfId="58" applyFont="1" applyAlignment="1" applyProtection="1">
      <alignment horizontal="center" vertical="center" shrinkToFit="1"/>
      <protection/>
    </xf>
    <xf numFmtId="0" fontId="55" fillId="0" borderId="0" xfId="58" applyFont="1" applyAlignment="1" applyProtection="1">
      <alignment vertical="center" shrinkToFit="1"/>
      <protection/>
    </xf>
    <xf numFmtId="0" fontId="55" fillId="0" borderId="0" xfId="58" applyFont="1" applyAlignment="1" applyProtection="1">
      <alignment horizontal="center" vertical="center" shrinkToFit="1"/>
      <protection/>
    </xf>
    <xf numFmtId="0" fontId="16" fillId="0" borderId="0" xfId="58" applyFont="1" applyAlignment="1" applyProtection="1">
      <alignment vertical="center"/>
      <protection/>
    </xf>
    <xf numFmtId="0" fontId="16" fillId="0" borderId="0" xfId="58" applyFont="1" applyAlignment="1" applyProtection="1">
      <alignment horizontal="right" vertical="center"/>
      <protection/>
    </xf>
    <xf numFmtId="0" fontId="16" fillId="0" borderId="14" xfId="58" applyFont="1" applyBorder="1" applyAlignment="1" applyProtection="1">
      <alignment horizontal="center" vertical="center"/>
      <protection/>
    </xf>
    <xf numFmtId="0" fontId="16" fillId="0" borderId="14" xfId="58" applyFont="1" applyBorder="1" applyAlignment="1" applyProtection="1">
      <alignment horizontal="center" vertical="center"/>
      <protection locked="0"/>
    </xf>
    <xf numFmtId="0" fontId="56" fillId="0" borderId="14" xfId="58" applyFont="1" applyBorder="1" applyAlignment="1" applyProtection="1">
      <alignment horizontal="center" vertical="center"/>
      <protection/>
    </xf>
    <xf numFmtId="0" fontId="16" fillId="0" borderId="4" xfId="58" applyFont="1" applyBorder="1" applyAlignment="1" applyProtection="1">
      <alignment horizontal="center" vertical="center" shrinkToFit="1"/>
      <protection/>
    </xf>
    <xf numFmtId="0" fontId="16" fillId="0" borderId="3" xfId="58" applyFont="1" applyBorder="1" applyAlignment="1" applyProtection="1">
      <alignment horizontal="center" vertical="center" wrapText="1" shrinkToFit="1"/>
      <protection/>
    </xf>
    <xf numFmtId="0" fontId="16" fillId="0" borderId="3" xfId="58" applyFont="1" applyBorder="1" applyAlignment="1" applyProtection="1">
      <alignment horizontal="center" vertical="center" shrinkToFit="1"/>
      <protection/>
    </xf>
    <xf numFmtId="0" fontId="16" fillId="16" borderId="46" xfId="58" applyFont="1" applyFill="1" applyBorder="1" applyAlignment="1" applyProtection="1">
      <alignment horizontal="center" vertical="center" shrinkToFit="1"/>
      <protection/>
    </xf>
    <xf numFmtId="0" fontId="16" fillId="16" borderId="53" xfId="58" applyFont="1" applyFill="1" applyBorder="1" applyAlignment="1" applyProtection="1">
      <alignment horizontal="center" vertical="center" shrinkToFit="1"/>
      <protection/>
    </xf>
    <xf numFmtId="0" fontId="16" fillId="16" borderId="54" xfId="58" applyFont="1" applyFill="1" applyBorder="1" applyAlignment="1" applyProtection="1">
      <alignment horizontal="center" vertical="center" shrinkToFit="1"/>
      <protection/>
    </xf>
    <xf numFmtId="0" fontId="16" fillId="0" borderId="55" xfId="58" applyFont="1" applyBorder="1" applyAlignment="1" applyProtection="1">
      <alignment horizontal="center" vertical="center" shrinkToFit="1"/>
      <protection/>
    </xf>
    <xf numFmtId="0" fontId="16" fillId="0" borderId="56" xfId="58" applyFont="1" applyBorder="1" applyAlignment="1" applyProtection="1">
      <alignment horizontal="center" vertical="center" shrinkToFit="1"/>
      <protection/>
    </xf>
    <xf numFmtId="0" fontId="16" fillId="16" borderId="0" xfId="58" applyFont="1" applyFill="1" applyAlignment="1" applyProtection="1">
      <alignment horizontal="center" vertical="center" shrinkToFit="1"/>
      <protection/>
    </xf>
    <xf numFmtId="0" fontId="16" fillId="16" borderId="50" xfId="58" applyFont="1" applyFill="1" applyBorder="1" applyAlignment="1" applyProtection="1">
      <alignment horizontal="center" vertical="center" shrinkToFit="1"/>
      <protection/>
    </xf>
    <xf numFmtId="0" fontId="16" fillId="0" borderId="8" xfId="58" applyFont="1" applyBorder="1" applyAlignment="1" applyProtection="1">
      <alignment horizontal="center" vertical="center" shrinkToFit="1"/>
      <protection/>
    </xf>
    <xf numFmtId="0" fontId="16" fillId="16" borderId="24" xfId="58" applyFont="1" applyFill="1" applyBorder="1" applyAlignment="1" applyProtection="1">
      <alignment horizontal="center" vertical="center" shrinkToFit="1"/>
      <protection/>
    </xf>
    <xf numFmtId="0" fontId="30" fillId="16" borderId="36" xfId="58" applyFont="1" applyFill="1" applyBorder="1" applyAlignment="1" applyProtection="1">
      <alignment horizontal="center" vertical="center" shrinkToFit="1"/>
      <protection/>
    </xf>
    <xf numFmtId="0" fontId="13" fillId="16" borderId="57" xfId="58" applyFont="1" applyFill="1" applyBorder="1" applyAlignment="1" applyProtection="1">
      <alignment horizontal="center" vertical="center" shrinkToFit="1"/>
      <protection/>
    </xf>
    <xf numFmtId="0" fontId="30" fillId="0" borderId="0" xfId="58" applyFont="1" applyAlignment="1" applyProtection="1">
      <alignment horizontal="center" vertical="center" shrinkToFit="1"/>
      <protection/>
    </xf>
    <xf numFmtId="0" fontId="16" fillId="0" borderId="57" xfId="58" applyFont="1" applyBorder="1" applyAlignment="1" applyProtection="1">
      <alignment horizontal="center" vertical="center" shrinkToFit="1"/>
      <protection/>
    </xf>
    <xf numFmtId="0" fontId="16" fillId="0" borderId="36" xfId="58" applyFont="1" applyBorder="1" applyAlignment="1" applyProtection="1">
      <alignment horizontal="center" vertical="center" shrinkToFit="1"/>
      <protection/>
    </xf>
    <xf numFmtId="0" fontId="30" fillId="0" borderId="58" xfId="58" applyFont="1" applyBorder="1" applyAlignment="1" applyProtection="1">
      <alignment horizontal="center" vertical="center" shrinkToFit="1"/>
      <protection/>
    </xf>
    <xf numFmtId="0" fontId="16" fillId="16" borderId="36" xfId="58" applyFont="1" applyFill="1" applyBorder="1" applyAlignment="1" applyProtection="1">
      <alignment horizontal="center" vertical="center" shrinkToFit="1"/>
      <protection/>
    </xf>
    <xf numFmtId="0" fontId="16" fillId="0" borderId="59" xfId="58" applyFont="1" applyBorder="1" applyAlignment="1" applyProtection="1">
      <alignment horizontal="center" vertical="center" shrinkToFit="1"/>
      <protection/>
    </xf>
    <xf numFmtId="0" fontId="16" fillId="0" borderId="60" xfId="58" applyFont="1" applyBorder="1" applyAlignment="1" applyProtection="1">
      <alignment horizontal="center" vertical="center" shrinkToFit="1"/>
      <protection/>
    </xf>
    <xf numFmtId="0" fontId="16" fillId="0" borderId="61" xfId="58" applyFont="1" applyBorder="1" applyAlignment="1" applyProtection="1">
      <alignment horizontal="center" vertical="center" shrinkToFit="1"/>
      <protection/>
    </xf>
    <xf numFmtId="0" fontId="16" fillId="16" borderId="62" xfId="58" applyFont="1" applyFill="1" applyBorder="1" applyAlignment="1" applyProtection="1">
      <alignment horizontal="center" vertical="center" shrinkToFit="1"/>
      <protection/>
    </xf>
    <xf numFmtId="0" fontId="16" fillId="16" borderId="63" xfId="58" applyFont="1" applyFill="1" applyBorder="1" applyAlignment="1" applyProtection="1">
      <alignment horizontal="center" vertical="center" shrinkToFit="1"/>
      <protection/>
    </xf>
    <xf numFmtId="0" fontId="16" fillId="16" borderId="64" xfId="58" applyFont="1" applyFill="1" applyBorder="1" applyAlignment="1" applyProtection="1">
      <alignment horizontal="center" vertical="center" shrinkToFit="1"/>
      <protection/>
    </xf>
    <xf numFmtId="0" fontId="16" fillId="0" borderId="65" xfId="58" applyFont="1" applyBorder="1" applyAlignment="1" applyProtection="1">
      <alignment horizontal="center" vertical="center" shrinkToFit="1"/>
      <protection/>
    </xf>
    <xf numFmtId="0" fontId="16" fillId="0" borderId="33" xfId="58" applyFont="1" applyBorder="1" applyAlignment="1" applyProtection="1">
      <alignment horizontal="center" vertical="center" shrinkToFit="1"/>
      <protection/>
    </xf>
    <xf numFmtId="0" fontId="16" fillId="0" borderId="24" xfId="58" applyFont="1" applyBorder="1" applyAlignment="1" applyProtection="1">
      <alignment horizontal="center" vertical="center" shrinkToFit="1"/>
      <protection/>
    </xf>
    <xf numFmtId="0" fontId="16" fillId="16" borderId="8" xfId="58" applyFont="1" applyFill="1" applyBorder="1" applyAlignment="1" applyProtection="1">
      <alignment horizontal="center" vertical="center" shrinkToFit="1"/>
      <protection/>
    </xf>
    <xf numFmtId="0" fontId="16" fillId="16" borderId="57" xfId="58" applyFont="1" applyFill="1" applyBorder="1" applyAlignment="1" applyProtection="1">
      <alignment horizontal="center" vertical="center" shrinkToFit="1"/>
      <protection/>
    </xf>
    <xf numFmtId="0" fontId="16" fillId="0" borderId="8" xfId="58" applyFont="1" applyBorder="1" applyAlignment="1" applyProtection="1">
      <alignment horizontal="center" vertical="center" shrinkToFit="1"/>
      <protection locked="0"/>
    </xf>
    <xf numFmtId="0" fontId="16" fillId="0" borderId="57" xfId="58" applyFont="1" applyBorder="1" applyAlignment="1" applyProtection="1">
      <alignment horizontal="center" vertical="center" shrinkToFit="1"/>
      <protection locked="0"/>
    </xf>
    <xf numFmtId="0" fontId="16" fillId="0" borderId="66" xfId="58" applyFont="1" applyBorder="1" applyAlignment="1" applyProtection="1">
      <alignment horizontal="center" vertical="center" shrinkToFit="1"/>
      <protection/>
    </xf>
    <xf numFmtId="0" fontId="30" fillId="0" borderId="37" xfId="58" applyFont="1" applyBorder="1" applyAlignment="1" applyProtection="1">
      <alignment horizontal="center" vertical="center" shrinkToFit="1"/>
      <protection/>
    </xf>
    <xf numFmtId="0" fontId="16" fillId="0" borderId="67" xfId="58" applyFont="1" applyBorder="1" applyAlignment="1" applyProtection="1">
      <alignment horizontal="center" vertical="center" shrinkToFit="1"/>
      <protection/>
    </xf>
    <xf numFmtId="0" fontId="16" fillId="0" borderId="68" xfId="58" applyFont="1" applyBorder="1" applyAlignment="1" applyProtection="1">
      <alignment horizontal="center" vertical="center" shrinkToFit="1"/>
      <protection locked="0"/>
    </xf>
    <xf numFmtId="0" fontId="16" fillId="0" borderId="67" xfId="58" applyFont="1" applyBorder="1" applyAlignment="1" applyProtection="1">
      <alignment horizontal="center" vertical="center" shrinkToFit="1"/>
      <protection locked="0"/>
    </xf>
    <xf numFmtId="0" fontId="16" fillId="16" borderId="68" xfId="58" applyFont="1" applyFill="1" applyBorder="1" applyAlignment="1" applyProtection="1">
      <alignment horizontal="center" vertical="center" shrinkToFit="1"/>
      <protection/>
    </xf>
    <xf numFmtId="0" fontId="30" fillId="16" borderId="37" xfId="58" applyFont="1" applyFill="1" applyBorder="1" applyAlignment="1" applyProtection="1">
      <alignment horizontal="center" vertical="center" shrinkToFit="1"/>
      <protection/>
    </xf>
    <xf numFmtId="0" fontId="16" fillId="16" borderId="67" xfId="58" applyFont="1" applyFill="1" applyBorder="1" applyAlignment="1" applyProtection="1">
      <alignment horizontal="center" vertical="center" shrinkToFit="1"/>
      <protection/>
    </xf>
    <xf numFmtId="0" fontId="16" fillId="0" borderId="37" xfId="58" applyFont="1" applyBorder="1" applyAlignment="1" applyProtection="1">
      <alignment horizontal="center" vertical="center" shrinkToFit="1"/>
      <protection/>
    </xf>
    <xf numFmtId="0" fontId="13" fillId="0" borderId="0" xfId="58" applyFont="1" applyAlignment="1" applyProtection="1">
      <alignment horizontal="center" vertical="center" shrinkToFit="1"/>
      <protection/>
    </xf>
    <xf numFmtId="0" fontId="13" fillId="0" borderId="0" xfId="62" applyFont="1" applyAlignment="1">
      <alignment vertical="center" shrinkToFit="1"/>
      <protection/>
    </xf>
    <xf numFmtId="0" fontId="13" fillId="0" borderId="0" xfId="58" applyFont="1" applyAlignment="1" applyProtection="1">
      <alignment vertical="center"/>
      <protection/>
    </xf>
    <xf numFmtId="0" fontId="18" fillId="0" borderId="0" xfId="58" applyFont="1" applyAlignment="1" applyProtection="1">
      <alignment horizontal="right" vertical="center"/>
      <protection/>
    </xf>
    <xf numFmtId="0" fontId="0" fillId="0" borderId="0" xfId="0" applyAlignment="1">
      <alignment horizontal="center" vertical="center"/>
    </xf>
    <xf numFmtId="0" fontId="60" fillId="0" borderId="0" xfId="0" applyFont="1" applyAlignment="1">
      <alignment horizontal="center" vertical="center"/>
    </xf>
    <xf numFmtId="0" fontId="61" fillId="0" borderId="0" xfId="59" applyFont="1" applyAlignment="1">
      <alignment vertical="center"/>
      <protection/>
    </xf>
    <xf numFmtId="0" fontId="62" fillId="0" borderId="0" xfId="59" applyFont="1" applyAlignment="1">
      <alignment vertical="center"/>
      <protection/>
    </xf>
    <xf numFmtId="0" fontId="0" fillId="0" borderId="0" xfId="0" applyAlignment="1">
      <alignment vertical="center"/>
    </xf>
    <xf numFmtId="0" fontId="62" fillId="0" borderId="0" xfId="59" applyFont="1" applyAlignment="1">
      <alignment horizontal="center" vertical="center"/>
      <protection/>
    </xf>
    <xf numFmtId="0" fontId="0" fillId="8" borderId="69" xfId="0" applyFill="1" applyBorder="1" applyAlignment="1">
      <alignment horizontal="center" vertical="center"/>
    </xf>
    <xf numFmtId="0" fontId="0" fillId="8" borderId="70" xfId="0" applyFill="1" applyBorder="1" applyAlignment="1">
      <alignment horizontal="center" vertical="center"/>
    </xf>
    <xf numFmtId="0" fontId="0" fillId="8" borderId="71" xfId="0" applyFill="1" applyBorder="1" applyAlignment="1">
      <alignment horizontal="center" vertical="center"/>
    </xf>
    <xf numFmtId="0" fontId="0" fillId="0" borderId="14" xfId="0" applyBorder="1" applyAlignment="1">
      <alignment horizontal="center" vertical="center"/>
    </xf>
    <xf numFmtId="0" fontId="0" fillId="0" borderId="53" xfId="0" applyBorder="1" applyAlignment="1">
      <alignment horizontal="center" vertical="center"/>
    </xf>
    <xf numFmtId="0" fontId="0" fillId="0" borderId="14" xfId="0" applyBorder="1" applyAlignment="1">
      <alignment horizontal="center" vertical="center" wrapText="1"/>
    </xf>
    <xf numFmtId="0" fontId="0" fillId="0" borderId="72" xfId="0" applyBorder="1" applyAlignment="1">
      <alignment horizontal="center" vertical="center"/>
    </xf>
    <xf numFmtId="20" fontId="0" fillId="0" borderId="73" xfId="0" applyNumberFormat="1" applyBorder="1" applyAlignment="1">
      <alignment horizontal="center" vertical="center"/>
    </xf>
    <xf numFmtId="0" fontId="0" fillId="0" borderId="74" xfId="0" applyBorder="1" applyAlignment="1">
      <alignment horizontal="center" vertical="center"/>
    </xf>
    <xf numFmtId="0" fontId="0" fillId="6" borderId="75" xfId="0" applyFill="1" applyBorder="1" applyAlignment="1">
      <alignment horizontal="center" vertical="center"/>
    </xf>
    <xf numFmtId="0" fontId="0" fillId="0" borderId="76" xfId="0" applyBorder="1" applyAlignment="1">
      <alignment horizontal="center" vertical="center"/>
    </xf>
    <xf numFmtId="20" fontId="0" fillId="0" borderId="77" xfId="0" applyNumberFormat="1" applyBorder="1" applyAlignment="1">
      <alignment horizontal="center" vertical="center"/>
    </xf>
    <xf numFmtId="0" fontId="0" fillId="8" borderId="78" xfId="0" applyFill="1" applyBorder="1" applyAlignment="1">
      <alignment horizontal="center" vertical="center"/>
    </xf>
    <xf numFmtId="0" fontId="0" fillId="0" borderId="78" xfId="0" applyBorder="1" applyAlignment="1">
      <alignment horizontal="center" vertical="center"/>
    </xf>
    <xf numFmtId="0" fontId="0" fillId="6" borderId="79" xfId="0" applyFill="1" applyBorder="1" applyAlignment="1">
      <alignment horizontal="center" vertical="center"/>
    </xf>
    <xf numFmtId="0" fontId="0" fillId="8" borderId="80" xfId="0" applyFill="1" applyBorder="1" applyAlignment="1">
      <alignment horizontal="center" vertical="center"/>
    </xf>
    <xf numFmtId="20" fontId="0" fillId="0" borderId="66" xfId="0" applyNumberFormat="1" applyBorder="1" applyAlignment="1">
      <alignment horizontal="center" vertical="center"/>
    </xf>
    <xf numFmtId="0" fontId="0" fillId="8" borderId="37" xfId="0" applyFill="1" applyBorder="1" applyAlignment="1">
      <alignment horizontal="center" vertical="center"/>
    </xf>
    <xf numFmtId="0" fontId="0" fillId="0" borderId="37" xfId="0" applyBorder="1" applyAlignment="1">
      <alignment horizontal="center" vertical="center"/>
    </xf>
    <xf numFmtId="0" fontId="0" fillId="6" borderId="81" xfId="0" applyFill="1" applyBorder="1" applyAlignment="1">
      <alignment horizontal="center" vertical="center"/>
    </xf>
    <xf numFmtId="0" fontId="0" fillId="8" borderId="82" xfId="0" applyFill="1" applyBorder="1" applyAlignment="1">
      <alignment horizontal="center" vertical="center"/>
    </xf>
    <xf numFmtId="0" fontId="0" fillId="0" borderId="14" xfId="0" applyBorder="1" applyAlignment="1">
      <alignment horizontal="center" vertical="center" shrinkToFit="1"/>
    </xf>
    <xf numFmtId="0" fontId="0" fillId="8" borderId="14" xfId="0" applyFill="1" applyBorder="1" applyAlignment="1">
      <alignment horizontal="center" vertical="center" shrinkToFit="1"/>
    </xf>
    <xf numFmtId="0" fontId="0" fillId="8" borderId="15" xfId="0" applyFill="1" applyBorder="1" applyAlignment="1">
      <alignment horizontal="center" vertical="center" shrinkToFit="1"/>
    </xf>
    <xf numFmtId="20" fontId="0" fillId="0" borderId="83" xfId="0" applyNumberFormat="1" applyBorder="1" applyAlignment="1">
      <alignment horizontal="center" vertical="center"/>
    </xf>
    <xf numFmtId="0" fontId="0" fillId="8" borderId="84" xfId="0" applyFill="1" applyBorder="1" applyAlignment="1">
      <alignment horizontal="center" vertical="center"/>
    </xf>
    <xf numFmtId="0" fontId="0" fillId="0" borderId="84" xfId="0" applyBorder="1" applyAlignment="1">
      <alignment horizontal="center" vertical="center"/>
    </xf>
    <xf numFmtId="0" fontId="0" fillId="8" borderId="85" xfId="0" applyFill="1" applyBorder="1" applyAlignment="1">
      <alignment horizontal="center" vertical="center"/>
    </xf>
    <xf numFmtId="20" fontId="0" fillId="0" borderId="86" xfId="0" applyNumberFormat="1" applyBorder="1" applyAlignment="1">
      <alignment horizontal="center" vertical="center"/>
    </xf>
    <xf numFmtId="0" fontId="0" fillId="8" borderId="87" xfId="0" applyFill="1" applyBorder="1" applyAlignment="1">
      <alignment horizontal="center" vertical="center"/>
    </xf>
    <xf numFmtId="0" fontId="0" fillId="0" borderId="87" xfId="0" applyBorder="1" applyAlignment="1">
      <alignment horizontal="center" vertical="center"/>
    </xf>
    <xf numFmtId="0" fontId="0" fillId="8" borderId="88" xfId="0" applyFill="1" applyBorder="1" applyAlignment="1">
      <alignment horizontal="center" vertical="center"/>
    </xf>
    <xf numFmtId="20" fontId="0" fillId="0" borderId="0" xfId="0" applyNumberFormat="1" applyAlignment="1">
      <alignment horizontal="center" vertical="center"/>
    </xf>
    <xf numFmtId="0" fontId="0" fillId="0" borderId="0" xfId="59" applyFont="1" applyAlignment="1">
      <alignment vertical="center"/>
      <protection/>
    </xf>
    <xf numFmtId="0" fontId="0" fillId="0" borderId="78" xfId="0" applyBorder="1" applyAlignment="1">
      <alignment horizontal="center" vertical="center" shrinkToFit="1"/>
    </xf>
    <xf numFmtId="0" fontId="29" fillId="0" borderId="0" xfId="0" applyFont="1" applyAlignment="1">
      <alignment vertical="center"/>
    </xf>
    <xf numFmtId="0" fontId="54" fillId="0" borderId="0" xfId="0" applyFont="1" applyAlignment="1">
      <alignment horizontal="center" vertical="center"/>
    </xf>
    <xf numFmtId="0" fontId="13" fillId="0" borderId="89" xfId="0" applyFont="1" applyBorder="1" applyAlignment="1">
      <alignment horizontal="center" vertical="center" wrapText="1"/>
    </xf>
    <xf numFmtId="0" fontId="13" fillId="0" borderId="27" xfId="0" applyFont="1" applyBorder="1" applyAlignment="1">
      <alignment horizontal="center" vertical="center"/>
    </xf>
    <xf numFmtId="0" fontId="55" fillId="0" borderId="0" xfId="0" applyFont="1" applyAlignment="1">
      <alignment horizontal="right" vertical="center" shrinkToFit="1"/>
    </xf>
    <xf numFmtId="0" fontId="55" fillId="0" borderId="0" xfId="0" applyFont="1" applyAlignment="1">
      <alignment vertical="center" shrinkToFit="1"/>
    </xf>
    <xf numFmtId="0" fontId="55" fillId="0" borderId="0" xfId="0" applyFont="1" applyAlignment="1">
      <alignment vertical="center"/>
    </xf>
    <xf numFmtId="0" fontId="13" fillId="0" borderId="0" xfId="0" applyFont="1" applyAlignment="1">
      <alignment horizontal="center" vertical="center" shrinkToFit="1"/>
    </xf>
    <xf numFmtId="0" fontId="13" fillId="0" borderId="42" xfId="0" applyFont="1" applyBorder="1" applyAlignment="1">
      <alignment vertical="center"/>
    </xf>
    <xf numFmtId="0" fontId="13" fillId="0" borderId="0" xfId="0" applyFont="1" applyAlignment="1">
      <alignment horizontal="left" vertical="center"/>
    </xf>
    <xf numFmtId="0" fontId="13" fillId="0" borderId="66" xfId="0" applyFont="1" applyBorder="1" applyAlignment="1">
      <alignment vertical="center"/>
    </xf>
    <xf numFmtId="0" fontId="13" fillId="0" borderId="37" xfId="0" applyFont="1" applyBorder="1" applyAlignment="1">
      <alignment vertical="center"/>
    </xf>
    <xf numFmtId="0" fontId="13" fillId="0" borderId="82" xfId="0" applyFont="1" applyBorder="1" applyAlignment="1">
      <alignment vertical="center"/>
    </xf>
    <xf numFmtId="0" fontId="31" fillId="0" borderId="0" xfId="0" applyFont="1" applyAlignment="1">
      <alignment horizontal="right" vertical="center"/>
    </xf>
    <xf numFmtId="0" fontId="27" fillId="0" borderId="46" xfId="0" applyFont="1" applyBorder="1" applyAlignment="1">
      <alignment horizontal="center" vertical="center"/>
    </xf>
    <xf numFmtId="0" fontId="27" fillId="0" borderId="53" xfId="0" applyFont="1" applyBorder="1" applyAlignment="1">
      <alignment horizontal="center" vertical="center"/>
    </xf>
    <xf numFmtId="0" fontId="13" fillId="0" borderId="53" xfId="0" applyFont="1" applyBorder="1" applyAlignment="1">
      <alignment vertical="center"/>
    </xf>
    <xf numFmtId="0" fontId="27" fillId="0" borderId="90" xfId="0" applyFont="1" applyBorder="1" applyAlignment="1">
      <alignment horizontal="center" vertical="center"/>
    </xf>
    <xf numFmtId="0" fontId="55" fillId="0" borderId="0" xfId="0" applyFont="1" applyAlignment="1">
      <alignment horizontal="left" vertical="center"/>
    </xf>
    <xf numFmtId="0" fontId="55" fillId="0" borderId="91" xfId="0" applyFont="1" applyBorder="1" applyAlignment="1">
      <alignment horizontal="left" vertical="center"/>
    </xf>
    <xf numFmtId="0" fontId="13" fillId="0" borderId="91" xfId="0" applyFont="1" applyBorder="1" applyAlignment="1">
      <alignment vertical="center"/>
    </xf>
    <xf numFmtId="0" fontId="13" fillId="0" borderId="92" xfId="0" applyFont="1" applyBorder="1" applyAlignment="1">
      <alignment vertical="center"/>
    </xf>
    <xf numFmtId="0" fontId="13" fillId="0" borderId="93" xfId="0" applyFont="1" applyBorder="1" applyAlignment="1">
      <alignment vertical="center"/>
    </xf>
    <xf numFmtId="0" fontId="32" fillId="0" borderId="0" xfId="0" applyFont="1" applyAlignment="1">
      <alignment horizontal="center" vertical="center"/>
    </xf>
    <xf numFmtId="0" fontId="32" fillId="0" borderId="63" xfId="0" applyFont="1" applyBorder="1" applyAlignment="1">
      <alignment horizontal="center" vertical="center"/>
    </xf>
    <xf numFmtId="0" fontId="13" fillId="0" borderId="63" xfId="0" applyFont="1" applyBorder="1" applyAlignment="1">
      <alignment horizontal="center" vertical="center"/>
    </xf>
    <xf numFmtId="0" fontId="13" fillId="0" borderId="94" xfId="0" applyFont="1" applyBorder="1" applyAlignment="1">
      <alignment horizontal="center" vertical="center"/>
    </xf>
    <xf numFmtId="0" fontId="13" fillId="0" borderId="95" xfId="0" applyFont="1" applyBorder="1" applyAlignment="1">
      <alignment horizontal="center" vertical="center"/>
    </xf>
    <xf numFmtId="0" fontId="13" fillId="0" borderId="36" xfId="0" applyFont="1" applyBorder="1" applyAlignment="1">
      <alignment vertical="center"/>
    </xf>
    <xf numFmtId="0" fontId="13" fillId="0" borderId="63" xfId="0" applyFont="1" applyBorder="1" applyAlignment="1">
      <alignment horizontal="center" vertical="center" shrinkToFit="1"/>
    </xf>
    <xf numFmtId="0" fontId="13" fillId="0" borderId="96" xfId="0" applyFont="1" applyBorder="1" applyAlignment="1">
      <alignment horizontal="center" vertical="center" shrinkToFit="1"/>
    </xf>
    <xf numFmtId="0" fontId="13" fillId="0" borderId="97" xfId="0" applyFont="1" applyBorder="1" applyAlignment="1">
      <alignment horizontal="center" vertical="center" shrinkToFit="1"/>
    </xf>
    <xf numFmtId="0" fontId="13" fillId="0" borderId="27" xfId="0" applyFont="1" applyBorder="1" applyAlignment="1">
      <alignment horizontal="center" vertical="center" shrinkToFit="1"/>
    </xf>
    <xf numFmtId="0" fontId="16" fillId="0" borderId="92" xfId="0" applyFont="1" applyBorder="1" applyAlignment="1" quotePrefix="1">
      <alignment horizontal="right" vertical="center"/>
    </xf>
    <xf numFmtId="0" fontId="16" fillId="0" borderId="96" xfId="0" applyFont="1" applyBorder="1" applyAlignment="1">
      <alignment horizontal="left" vertical="center"/>
    </xf>
    <xf numFmtId="0" fontId="13" fillId="0" borderId="27" xfId="0" applyFont="1" applyBorder="1" applyAlignment="1">
      <alignment vertical="center"/>
    </xf>
    <xf numFmtId="0" fontId="32" fillId="0" borderId="0" xfId="0" applyFont="1" applyAlignment="1">
      <alignment vertical="center"/>
    </xf>
    <xf numFmtId="0" fontId="32" fillId="0" borderId="93" xfId="0" applyFont="1" applyBorder="1" applyAlignment="1">
      <alignment vertical="center"/>
    </xf>
    <xf numFmtId="0" fontId="55" fillId="0" borderId="98" xfId="0" applyFont="1" applyBorder="1" applyAlignment="1">
      <alignment vertical="center"/>
    </xf>
    <xf numFmtId="0" fontId="55" fillId="0" borderId="96" xfId="0" applyFont="1" applyBorder="1" applyAlignment="1">
      <alignment vertical="center"/>
    </xf>
    <xf numFmtId="0" fontId="55" fillId="0" borderId="0" xfId="0" applyFont="1" applyAlignment="1">
      <alignment horizontal="center" vertical="center"/>
    </xf>
    <xf numFmtId="0" fontId="55" fillId="0" borderId="96" xfId="0" applyFont="1" applyBorder="1" applyAlignment="1">
      <alignment horizontal="right" vertical="center"/>
    </xf>
    <xf numFmtId="0" fontId="55" fillId="0" borderId="98" xfId="0" applyFont="1" applyBorder="1" applyAlignment="1">
      <alignment horizontal="right" vertical="center"/>
    </xf>
    <xf numFmtId="0" fontId="64" fillId="0" borderId="99" xfId="0" applyFont="1" applyBorder="1" applyAlignment="1">
      <alignment vertical="center"/>
    </xf>
    <xf numFmtId="0" fontId="13" fillId="0" borderId="100" xfId="0" applyFont="1" applyBorder="1" applyAlignment="1">
      <alignment vertical="center"/>
    </xf>
    <xf numFmtId="0" fontId="13" fillId="0" borderId="36" xfId="0" applyFont="1" applyBorder="1" applyAlignment="1">
      <alignment horizontal="center" vertical="center"/>
    </xf>
    <xf numFmtId="0" fontId="18" fillId="0" borderId="8" xfId="0" applyFont="1" applyBorder="1" applyAlignment="1">
      <alignment vertical="center"/>
    </xf>
    <xf numFmtId="0" fontId="13" fillId="0" borderId="0" xfId="0" applyFont="1" applyAlignment="1">
      <alignment horizontal="center" vertical="center" wrapText="1"/>
    </xf>
    <xf numFmtId="0" fontId="13" fillId="0" borderId="99" xfId="0" applyFont="1" applyBorder="1" applyAlignment="1">
      <alignment vertical="center"/>
    </xf>
    <xf numFmtId="0" fontId="13" fillId="0" borderId="8" xfId="0" applyFont="1" applyBorder="1" applyAlignment="1">
      <alignment vertical="center"/>
    </xf>
    <xf numFmtId="0" fontId="13" fillId="0" borderId="101" xfId="0" applyFont="1" applyBorder="1" applyAlignment="1">
      <alignment vertical="center"/>
    </xf>
    <xf numFmtId="0" fontId="55" fillId="0" borderId="101" xfId="0" applyFont="1" applyBorder="1" applyAlignment="1">
      <alignment vertical="center"/>
    </xf>
    <xf numFmtId="0" fontId="49" fillId="0" borderId="0" xfId="0" applyFont="1" applyAlignment="1">
      <alignment horizontal="center" vertical="center"/>
    </xf>
    <xf numFmtId="0" fontId="27" fillId="0" borderId="0" xfId="0" applyFont="1" applyAlignment="1">
      <alignment horizontal="center" vertical="center"/>
    </xf>
    <xf numFmtId="0" fontId="0" fillId="0" borderId="53" xfId="0" applyBorder="1" applyAlignment="1">
      <alignment horizontal="center" vertical="center"/>
    </xf>
    <xf numFmtId="0" fontId="0" fillId="0" borderId="75" xfId="0" applyBorder="1" applyAlignment="1">
      <alignment horizontal="center" vertical="center"/>
    </xf>
    <xf numFmtId="0" fontId="0" fillId="8" borderId="84" xfId="0" applyFill="1" applyBorder="1" applyAlignment="1">
      <alignment horizontal="center" vertical="center" shrinkToFit="1"/>
    </xf>
    <xf numFmtId="0" fontId="0" fillId="0" borderId="79" xfId="0" applyBorder="1" applyAlignment="1">
      <alignment horizontal="center" vertical="center"/>
    </xf>
    <xf numFmtId="0" fontId="0" fillId="8" borderId="85" xfId="0" applyFill="1" applyBorder="1" applyAlignment="1">
      <alignment horizontal="center" vertical="center" shrinkToFit="1"/>
    </xf>
    <xf numFmtId="20" fontId="0" fillId="0" borderId="102" xfId="0" applyNumberFormat="1" applyBorder="1" applyAlignment="1">
      <alignment horizontal="center" vertical="center"/>
    </xf>
    <xf numFmtId="0" fontId="0" fillId="8" borderId="103" xfId="0" applyFill="1" applyBorder="1" applyAlignment="1">
      <alignment horizontal="center" vertical="center"/>
    </xf>
    <xf numFmtId="0" fontId="0" fillId="0" borderId="103" xfId="0" applyBorder="1" applyAlignment="1">
      <alignment horizontal="center" vertical="center"/>
    </xf>
    <xf numFmtId="0" fontId="0" fillId="0" borderId="104" xfId="0" applyBorder="1" applyAlignment="1">
      <alignment horizontal="center" vertical="center"/>
    </xf>
    <xf numFmtId="0" fontId="0" fillId="8" borderId="105" xfId="0" applyFill="1" applyBorder="1" applyAlignment="1">
      <alignment horizontal="center" vertical="center"/>
    </xf>
    <xf numFmtId="0" fontId="0" fillId="0" borderId="81" xfId="0" applyBorder="1" applyAlignment="1">
      <alignment horizontal="center" vertical="center"/>
    </xf>
    <xf numFmtId="0" fontId="0" fillId="0" borderId="0" xfId="0" applyAlignment="1">
      <alignment horizontal="center" vertical="center"/>
    </xf>
    <xf numFmtId="20" fontId="0" fillId="0" borderId="83" xfId="0" applyNumberFormat="1" applyBorder="1" applyAlignment="1">
      <alignment horizontal="center" vertical="center"/>
    </xf>
    <xf numFmtId="0" fontId="0" fillId="0" borderId="84" xfId="0" applyBorder="1" applyAlignment="1">
      <alignment horizontal="center" vertical="center"/>
    </xf>
    <xf numFmtId="0" fontId="0" fillId="17" borderId="14" xfId="0" applyFill="1" applyBorder="1" applyAlignment="1">
      <alignment horizontal="center" vertical="center" shrinkToFit="1"/>
    </xf>
    <xf numFmtId="0" fontId="7" fillId="0" borderId="0" xfId="47" applyFont="1" applyAlignment="1">
      <alignment vertical="center"/>
      <protection/>
    </xf>
    <xf numFmtId="0" fontId="5" fillId="0" borderId="0" xfId="46" applyFont="1" applyAlignment="1">
      <alignment vertical="center"/>
      <protection/>
    </xf>
    <xf numFmtId="0" fontId="7" fillId="0" borderId="0" xfId="47" applyFont="1" applyAlignment="1">
      <alignment horizontal="center" vertical="center"/>
      <protection/>
    </xf>
    <xf numFmtId="0" fontId="7" fillId="0" borderId="0" xfId="50" applyFont="1" applyAlignment="1">
      <alignment vertical="center"/>
      <protection/>
    </xf>
    <xf numFmtId="0" fontId="7" fillId="0" borderId="0" xfId="47" applyFont="1" applyAlignment="1">
      <alignment horizontal="left" vertical="center"/>
      <protection/>
    </xf>
    <xf numFmtId="0" fontId="5" fillId="0" borderId="0" xfId="46" applyFont="1" applyAlignment="1">
      <alignment horizontal="left" vertical="center"/>
      <protection/>
    </xf>
    <xf numFmtId="0" fontId="73" fillId="0" borderId="0" xfId="47" applyFont="1" applyAlignment="1">
      <alignment vertical="center"/>
      <protection/>
    </xf>
    <xf numFmtId="0" fontId="73" fillId="15" borderId="0" xfId="47" applyFont="1" applyFill="1" applyAlignment="1">
      <alignment vertical="center"/>
      <protection/>
    </xf>
    <xf numFmtId="0" fontId="0" fillId="0" borderId="0" xfId="0" applyAlignment="1">
      <alignment vertical="center"/>
    </xf>
    <xf numFmtId="0" fontId="11" fillId="0" borderId="14" xfId="0" applyFont="1" applyBorder="1" applyAlignment="1">
      <alignment horizontal="center" vertical="center"/>
    </xf>
    <xf numFmtId="0" fontId="13" fillId="0" borderId="14" xfId="0" applyFont="1" applyBorder="1" applyAlignment="1">
      <alignment horizontal="center" vertical="center"/>
    </xf>
    <xf numFmtId="0" fontId="13" fillId="0" borderId="14" xfId="0" applyFont="1" applyBorder="1" applyAlignment="1">
      <alignment horizontal="center" vertical="center" wrapText="1"/>
    </xf>
    <xf numFmtId="0" fontId="12" fillId="0" borderId="0" xfId="0" applyFont="1" applyAlignment="1">
      <alignment horizontal="center" vertical="center"/>
    </xf>
    <xf numFmtId="0" fontId="15" fillId="0" borderId="106" xfId="0" applyFont="1" applyBorder="1" applyAlignment="1">
      <alignment horizontal="center" vertical="center" shrinkToFit="1"/>
    </xf>
    <xf numFmtId="0" fontId="15" fillId="0" borderId="107" xfId="0" applyFont="1" applyBorder="1" applyAlignment="1">
      <alignment horizontal="center" vertical="center" shrinkToFit="1"/>
    </xf>
    <xf numFmtId="0" fontId="16" fillId="0" borderId="108" xfId="0" applyFont="1" applyBorder="1" applyAlignment="1">
      <alignment horizontal="center" vertical="center" shrinkToFit="1"/>
    </xf>
    <xf numFmtId="0" fontId="16" fillId="0" borderId="106" xfId="0" applyFont="1" applyBorder="1" applyAlignment="1">
      <alignment horizontal="center" vertical="center" shrinkToFit="1"/>
    </xf>
    <xf numFmtId="0" fontId="16" fillId="0" borderId="107" xfId="0" applyFont="1" applyBorder="1" applyAlignment="1">
      <alignment horizontal="center" vertical="center" shrinkToFit="1"/>
    </xf>
    <xf numFmtId="0" fontId="19" fillId="0" borderId="0" xfId="44" applyFont="1" applyAlignment="1">
      <alignment horizontal="left" vertical="top" wrapText="1"/>
      <protection/>
    </xf>
    <xf numFmtId="0" fontId="19" fillId="0" borderId="0" xfId="44" applyFont="1" applyAlignment="1">
      <alignment horizontal="left" vertical="top"/>
      <protection/>
    </xf>
    <xf numFmtId="0" fontId="19" fillId="0" borderId="0" xfId="0" applyFont="1" applyAlignment="1">
      <alignment horizontal="left" vertical="top" wrapText="1"/>
    </xf>
    <xf numFmtId="0" fontId="22" fillId="0" borderId="0" xfId="0" applyFont="1" applyAlignment="1">
      <alignment horizontal="left" vertical="top" wrapText="1"/>
    </xf>
    <xf numFmtId="0" fontId="22" fillId="0" borderId="0" xfId="0" applyFont="1" applyAlignment="1">
      <alignment horizontal="left" vertical="top"/>
    </xf>
    <xf numFmtId="0" fontId="22" fillId="0" borderId="0" xfId="44" applyFont="1" applyAlignment="1">
      <alignment horizontal="left" vertical="top"/>
      <protection/>
    </xf>
    <xf numFmtId="0" fontId="19" fillId="0" borderId="0" xfId="44" applyFont="1" applyAlignment="1">
      <alignment vertical="top"/>
      <protection/>
    </xf>
    <xf numFmtId="0" fontId="19" fillId="0" borderId="0" xfId="44" applyFont="1" applyAlignment="1">
      <alignment vertical="top" wrapText="1"/>
      <protection/>
    </xf>
    <xf numFmtId="0" fontId="24" fillId="0" borderId="0" xfId="44" applyFont="1" applyAlignment="1">
      <alignment vertical="top" shrinkToFit="1"/>
      <protection/>
    </xf>
    <xf numFmtId="0" fontId="19" fillId="0" borderId="0" xfId="0" applyFont="1" applyAlignment="1">
      <alignment vertical="top" wrapText="1"/>
    </xf>
    <xf numFmtId="0" fontId="19" fillId="0" borderId="0" xfId="0" applyFont="1" applyAlignment="1">
      <alignment vertical="top"/>
    </xf>
    <xf numFmtId="0" fontId="22" fillId="0" borderId="0" xfId="44" applyFont="1" applyAlignment="1">
      <alignment vertical="top" wrapText="1"/>
      <protection/>
    </xf>
    <xf numFmtId="0" fontId="22" fillId="0" borderId="0" xfId="44" applyFont="1" applyAlignment="1">
      <alignment vertical="top"/>
      <protection/>
    </xf>
    <xf numFmtId="0" fontId="22" fillId="0" borderId="0" xfId="0" applyFont="1" applyAlignment="1">
      <alignment vertical="top"/>
    </xf>
    <xf numFmtId="0" fontId="20" fillId="0" borderId="0" xfId="0" applyFont="1" applyAlignment="1">
      <alignment horizontal="center" vertical="top"/>
    </xf>
    <xf numFmtId="0" fontId="19" fillId="0" borderId="0" xfId="44" applyFont="1" applyAlignment="1">
      <alignment horizontal="left" vertical="top" shrinkToFit="1"/>
      <protection/>
    </xf>
    <xf numFmtId="0" fontId="16" fillId="12" borderId="38" xfId="51" applyFont="1" applyFill="1" applyBorder="1" applyAlignment="1">
      <alignment horizontal="center" vertical="center" shrinkToFit="1"/>
      <protection/>
    </xf>
    <xf numFmtId="0" fontId="16" fillId="12" borderId="39" xfId="51" applyFont="1" applyFill="1" applyBorder="1" applyAlignment="1">
      <alignment horizontal="center" vertical="center" shrinkToFit="1"/>
      <protection/>
    </xf>
    <xf numFmtId="0" fontId="30" fillId="0" borderId="39" xfId="51" applyFont="1" applyBorder="1" applyAlignment="1">
      <alignment horizontal="left" vertical="center"/>
      <protection/>
    </xf>
    <xf numFmtId="0" fontId="30" fillId="0" borderId="40" xfId="51" applyFont="1" applyBorder="1" applyAlignment="1">
      <alignment horizontal="left" vertical="center"/>
      <protection/>
    </xf>
    <xf numFmtId="0" fontId="32" fillId="0" borderId="53" xfId="51" applyFont="1" applyBorder="1" applyAlignment="1">
      <alignment horizontal="right" vertical="center"/>
      <protection/>
    </xf>
    <xf numFmtId="0" fontId="30" fillId="0" borderId="27" xfId="51" applyFont="1" applyBorder="1" applyAlignment="1">
      <alignment horizontal="left" vertical="center"/>
      <protection/>
    </xf>
    <xf numFmtId="0" fontId="30" fillId="0" borderId="17" xfId="51" applyFont="1" applyBorder="1" applyAlignment="1">
      <alignment horizontal="left" vertical="center"/>
      <protection/>
    </xf>
    <xf numFmtId="0" fontId="30" fillId="0" borderId="14" xfId="51" applyFont="1" applyBorder="1" applyAlignment="1">
      <alignment horizontal="center" vertical="center"/>
      <protection/>
    </xf>
    <xf numFmtId="0" fontId="31" fillId="0" borderId="14" xfId="51" applyFont="1" applyBorder="1" applyAlignment="1">
      <alignment horizontal="center" vertical="center"/>
      <protection/>
    </xf>
    <xf numFmtId="0" fontId="30" fillId="0" borderId="15" xfId="51" applyFont="1" applyBorder="1" applyAlignment="1">
      <alignment horizontal="left" vertical="center"/>
      <protection/>
    </xf>
    <xf numFmtId="0" fontId="30" fillId="0" borderId="23" xfId="51" applyFont="1" applyBorder="1" applyAlignment="1">
      <alignment horizontal="left" vertical="center"/>
      <protection/>
    </xf>
    <xf numFmtId="0" fontId="30" fillId="0" borderId="18" xfId="51" applyFont="1" applyBorder="1" applyAlignment="1">
      <alignment horizontal="left" vertical="center"/>
      <protection/>
    </xf>
    <xf numFmtId="0" fontId="30" fillId="0" borderId="19" xfId="51" applyFont="1" applyBorder="1" applyAlignment="1">
      <alignment horizontal="center" vertical="center"/>
      <protection/>
    </xf>
    <xf numFmtId="0" fontId="31" fillId="0" borderId="19" xfId="51" applyFont="1" applyBorder="1" applyAlignment="1">
      <alignment horizontal="center" vertical="center"/>
      <protection/>
    </xf>
    <xf numFmtId="0" fontId="30" fillId="0" borderId="20" xfId="51" applyFont="1" applyBorder="1" applyAlignment="1">
      <alignment horizontal="left" vertical="center"/>
      <protection/>
    </xf>
    <xf numFmtId="0" fontId="30" fillId="0" borderId="22" xfId="51" applyFont="1" applyBorder="1" applyAlignment="1">
      <alignment horizontal="left" vertical="center"/>
      <protection/>
    </xf>
    <xf numFmtId="0" fontId="30" fillId="0" borderId="10" xfId="51" applyFont="1" applyBorder="1" applyAlignment="1">
      <alignment horizontal="left" vertical="center"/>
      <protection/>
    </xf>
    <xf numFmtId="0" fontId="30" fillId="0" borderId="11" xfId="51" applyFont="1" applyBorder="1" applyAlignment="1">
      <alignment horizontal="center" vertical="center"/>
      <protection/>
    </xf>
    <xf numFmtId="0" fontId="31" fillId="0" borderId="11" xfId="51" applyFont="1" applyBorder="1" applyAlignment="1">
      <alignment horizontal="center" vertical="center"/>
      <protection/>
    </xf>
    <xf numFmtId="0" fontId="30" fillId="0" borderId="12" xfId="51" applyFont="1" applyBorder="1" applyAlignment="1">
      <alignment horizontal="left" vertical="center"/>
      <protection/>
    </xf>
    <xf numFmtId="0" fontId="29" fillId="12" borderId="29" xfId="51" applyFont="1" applyFill="1" applyBorder="1" applyAlignment="1">
      <alignment horizontal="left" vertical="center"/>
      <protection/>
    </xf>
    <xf numFmtId="0" fontId="29" fillId="12" borderId="23" xfId="51" applyFont="1" applyFill="1" applyBorder="1" applyAlignment="1">
      <alignment horizontal="left" vertical="center"/>
      <protection/>
    </xf>
    <xf numFmtId="0" fontId="29" fillId="0" borderId="23" xfId="51" applyFont="1" applyBorder="1" applyAlignment="1">
      <alignment horizontal="left" vertical="center"/>
      <protection/>
    </xf>
    <xf numFmtId="0" fontId="29" fillId="0" borderId="18" xfId="51" applyFont="1" applyBorder="1" applyAlignment="1">
      <alignment horizontal="left" vertical="center"/>
      <protection/>
    </xf>
    <xf numFmtId="0" fontId="29" fillId="12" borderId="20" xfId="51" applyFont="1" applyFill="1" applyBorder="1" applyAlignment="1">
      <alignment horizontal="left" vertical="center"/>
      <protection/>
    </xf>
    <xf numFmtId="49" fontId="29" fillId="0" borderId="23" xfId="51" applyNumberFormat="1" applyFont="1" applyBorder="1" applyAlignment="1">
      <alignment horizontal="center" vertical="center"/>
      <protection/>
    </xf>
    <xf numFmtId="49" fontId="29" fillId="0" borderId="30" xfId="51" applyNumberFormat="1" applyFont="1" applyBorder="1" applyAlignment="1">
      <alignment horizontal="center" vertical="center"/>
      <protection/>
    </xf>
    <xf numFmtId="0" fontId="30" fillId="12" borderId="46" xfId="51" applyFont="1" applyFill="1" applyBorder="1" applyAlignment="1">
      <alignment horizontal="center" vertical="center"/>
      <protection/>
    </xf>
    <xf numFmtId="0" fontId="30" fillId="12" borderId="53" xfId="51" applyFont="1" applyFill="1" applyBorder="1" applyAlignment="1">
      <alignment horizontal="center" vertical="center"/>
      <protection/>
    </xf>
    <xf numFmtId="0" fontId="30" fillId="12" borderId="54" xfId="51" applyFont="1" applyFill="1" applyBorder="1" applyAlignment="1">
      <alignment horizontal="center" vertical="center"/>
      <protection/>
    </xf>
    <xf numFmtId="0" fontId="30" fillId="12" borderId="66" xfId="51" applyFont="1" applyFill="1" applyBorder="1" applyAlignment="1">
      <alignment horizontal="center" vertical="center"/>
      <protection/>
    </xf>
    <xf numFmtId="0" fontId="30" fillId="12" borderId="37" xfId="51" applyFont="1" applyFill="1" applyBorder="1" applyAlignment="1">
      <alignment horizontal="center" vertical="center"/>
      <protection/>
    </xf>
    <xf numFmtId="0" fontId="30" fillId="12" borderId="67" xfId="51" applyFont="1" applyFill="1" applyBorder="1" applyAlignment="1">
      <alignment horizontal="center" vertical="center"/>
      <protection/>
    </xf>
    <xf numFmtId="0" fontId="30" fillId="12" borderId="109" xfId="51" applyFont="1" applyFill="1" applyBorder="1" applyAlignment="1">
      <alignment horizontal="center" vertical="center"/>
      <protection/>
    </xf>
    <xf numFmtId="0" fontId="30" fillId="12" borderId="11" xfId="51" applyFont="1" applyFill="1" applyBorder="1" applyAlignment="1">
      <alignment horizontal="center" vertical="center"/>
      <protection/>
    </xf>
    <xf numFmtId="0" fontId="30" fillId="12" borderId="13" xfId="51" applyFont="1" applyFill="1" applyBorder="1" applyAlignment="1">
      <alignment horizontal="center" vertical="center"/>
      <protection/>
    </xf>
    <xf numFmtId="0" fontId="30" fillId="12" borderId="110" xfId="51" applyFont="1" applyFill="1" applyBorder="1" applyAlignment="1">
      <alignment horizontal="center" vertical="center"/>
      <protection/>
    </xf>
    <xf numFmtId="0" fontId="30" fillId="12" borderId="19" xfId="51" applyFont="1" applyFill="1" applyBorder="1" applyAlignment="1">
      <alignment horizontal="center" vertical="center"/>
      <protection/>
    </xf>
    <xf numFmtId="0" fontId="30" fillId="12" borderId="21" xfId="51" applyFont="1" applyFill="1" applyBorder="1" applyAlignment="1">
      <alignment horizontal="center" vertical="center"/>
      <protection/>
    </xf>
    <xf numFmtId="0" fontId="28" fillId="0" borderId="0" xfId="51" applyFont="1" applyAlignment="1">
      <alignment horizontal="center" vertical="center"/>
      <protection/>
    </xf>
    <xf numFmtId="0" fontId="29" fillId="12" borderId="111" xfId="51" applyFont="1" applyFill="1" applyBorder="1" applyAlignment="1">
      <alignment horizontal="left" vertical="center"/>
      <protection/>
    </xf>
    <xf numFmtId="0" fontId="29" fillId="12" borderId="22" xfId="51" applyFont="1" applyFill="1" applyBorder="1" applyAlignment="1">
      <alignment horizontal="left" vertical="center"/>
      <protection/>
    </xf>
    <xf numFmtId="0" fontId="29" fillId="0" borderId="22" xfId="51" applyFont="1" applyBorder="1" applyAlignment="1">
      <alignment horizontal="left" vertical="center" shrinkToFit="1"/>
      <protection/>
    </xf>
    <xf numFmtId="0" fontId="29" fillId="0" borderId="10" xfId="51" applyFont="1" applyBorder="1" applyAlignment="1">
      <alignment horizontal="left" vertical="center" shrinkToFit="1"/>
      <protection/>
    </xf>
    <xf numFmtId="0" fontId="29" fillId="12" borderId="12" xfId="51" applyFont="1" applyFill="1" applyBorder="1" applyAlignment="1">
      <alignment horizontal="left" vertical="center"/>
      <protection/>
    </xf>
    <xf numFmtId="0" fontId="29" fillId="0" borderId="22" xfId="51" applyFont="1" applyBorder="1" applyAlignment="1">
      <alignment horizontal="left" vertical="center"/>
      <protection/>
    </xf>
    <xf numFmtId="0" fontId="29" fillId="0" borderId="25" xfId="51" applyFont="1" applyBorder="1" applyAlignment="1">
      <alignment horizontal="left" vertical="center"/>
      <protection/>
    </xf>
    <xf numFmtId="0" fontId="29" fillId="12" borderId="26" xfId="51" applyFont="1" applyFill="1" applyBorder="1" applyAlignment="1">
      <alignment horizontal="left" vertical="center"/>
      <protection/>
    </xf>
    <xf numFmtId="0" fontId="29" fillId="12" borderId="27" xfId="51" applyFont="1" applyFill="1" applyBorder="1" applyAlignment="1">
      <alignment horizontal="left" vertical="center"/>
      <protection/>
    </xf>
    <xf numFmtId="0" fontId="29" fillId="0" borderId="27" xfId="51" applyFont="1" applyBorder="1" applyAlignment="1">
      <alignment horizontal="left" vertical="center"/>
      <protection/>
    </xf>
    <xf numFmtId="0" fontId="29" fillId="0" borderId="17" xfId="51" applyFont="1" applyBorder="1" applyAlignment="1">
      <alignment horizontal="left" vertical="center"/>
      <protection/>
    </xf>
    <xf numFmtId="0" fontId="29" fillId="12" borderId="15" xfId="51" applyFont="1" applyFill="1" applyBorder="1" applyAlignment="1">
      <alignment horizontal="left" vertical="center"/>
      <protection/>
    </xf>
    <xf numFmtId="0" fontId="29" fillId="0" borderId="28" xfId="51" applyFont="1" applyBorder="1" applyAlignment="1">
      <alignment horizontal="left" vertical="center"/>
      <protection/>
    </xf>
    <xf numFmtId="0" fontId="29" fillId="0" borderId="27" xfId="51" applyFont="1" applyBorder="1" applyAlignment="1">
      <alignment horizontal="left" vertical="center" shrinkToFit="1"/>
      <protection/>
    </xf>
    <xf numFmtId="0" fontId="29" fillId="0" borderId="17" xfId="51" applyFont="1" applyBorder="1" applyAlignment="1">
      <alignment horizontal="left" vertical="center" shrinkToFit="1"/>
      <protection/>
    </xf>
    <xf numFmtId="0" fontId="29" fillId="0" borderId="28" xfId="51" applyFont="1" applyBorder="1" applyAlignment="1">
      <alignment horizontal="left" vertical="center" shrinkToFit="1"/>
      <protection/>
    </xf>
    <xf numFmtId="0" fontId="33" fillId="0" borderId="0" xfId="52" applyFont="1" applyAlignment="1">
      <alignment horizontal="center" vertical="center"/>
      <protection/>
    </xf>
    <xf numFmtId="0" fontId="42" fillId="0" borderId="0" xfId="54" applyFont="1" applyAlignment="1">
      <alignment horizontal="left" vertical="center" wrapText="1"/>
      <protection/>
    </xf>
    <xf numFmtId="0" fontId="40" fillId="0" borderId="0" xfId="54" applyFont="1" applyAlignment="1">
      <alignment horizontal="left" vertical="top" wrapText="1"/>
      <protection/>
    </xf>
    <xf numFmtId="0" fontId="39" fillId="0" borderId="0" xfId="52" applyFont="1" applyAlignment="1" quotePrefix="1">
      <alignment horizontal="center" vertical="center"/>
      <protection/>
    </xf>
    <xf numFmtId="0" fontId="39" fillId="0" borderId="0" xfId="52" applyFont="1" applyAlignment="1">
      <alignment horizontal="center" vertical="center"/>
      <protection/>
    </xf>
    <xf numFmtId="0" fontId="33" fillId="0" borderId="0" xfId="52" applyFont="1" applyAlignment="1">
      <alignment horizontal="center" vertical="center" shrinkToFit="1"/>
      <protection/>
    </xf>
    <xf numFmtId="0" fontId="43" fillId="0" borderId="0" xfId="52" applyFont="1" applyAlignment="1">
      <alignment horizontal="center" vertical="center"/>
      <protection/>
    </xf>
    <xf numFmtId="0" fontId="40" fillId="0" borderId="0" xfId="52" applyFont="1" applyAlignment="1">
      <alignment horizontal="left" vertical="distributed" wrapText="1"/>
      <protection/>
    </xf>
    <xf numFmtId="0" fontId="40" fillId="0" borderId="0" xfId="54" applyFont="1" applyAlignment="1">
      <alignment horizontal="left" vertical="center" wrapText="1"/>
      <protection/>
    </xf>
    <xf numFmtId="0" fontId="43" fillId="0" borderId="0" xfId="54" applyFont="1" applyAlignment="1">
      <alignment horizontal="left" vertical="distributed" wrapText="1"/>
      <protection/>
    </xf>
    <xf numFmtId="0" fontId="43" fillId="0" borderId="0" xfId="54" applyFont="1" applyAlignment="1">
      <alignment vertical="distributed" wrapText="1"/>
      <protection/>
    </xf>
    <xf numFmtId="0" fontId="33" fillId="0" borderId="0" xfId="52" applyFont="1" applyAlignment="1">
      <alignment horizontal="left" vertical="center"/>
      <protection/>
    </xf>
    <xf numFmtId="0" fontId="43" fillId="0" borderId="0" xfId="52" applyFont="1" applyAlignment="1">
      <alignment vertical="center" wrapText="1"/>
      <protection/>
    </xf>
    <xf numFmtId="0" fontId="43" fillId="0" borderId="0" xfId="54" applyFont="1" applyAlignment="1">
      <alignment horizontal="left" vertical="top" wrapText="1"/>
      <protection/>
    </xf>
    <xf numFmtId="0" fontId="43" fillId="0" borderId="0" xfId="52" applyFont="1" applyAlignment="1">
      <alignment horizontal="left" vertical="distributed" wrapText="1"/>
      <protection/>
    </xf>
    <xf numFmtId="0" fontId="43" fillId="0" borderId="0" xfId="57" applyFont="1" applyAlignment="1">
      <alignment horizontal="left" vertical="center" shrinkToFit="1"/>
      <protection/>
    </xf>
    <xf numFmtId="0" fontId="43" fillId="0" borderId="0" xfId="52" applyFont="1" applyAlignment="1">
      <alignment horizontal="left" vertical="distributed"/>
      <protection/>
    </xf>
    <xf numFmtId="0" fontId="42" fillId="0" borderId="0" xfId="54" applyFont="1" applyAlignment="1">
      <alignment horizontal="left" vertical="top" wrapText="1"/>
      <protection/>
    </xf>
    <xf numFmtId="0" fontId="33" fillId="0" borderId="0" xfId="52" applyFont="1" applyAlignment="1">
      <alignment vertical="center" shrinkToFit="1"/>
      <protection/>
    </xf>
    <xf numFmtId="0" fontId="40" fillId="0" borderId="0" xfId="52" applyFont="1" applyAlignment="1">
      <alignment horizontal="center" vertical="center" shrinkToFit="1"/>
      <protection/>
    </xf>
    <xf numFmtId="0" fontId="37" fillId="0" borderId="0" xfId="52" applyFont="1" applyAlignment="1">
      <alignment horizontal="center" vertical="center"/>
      <protection/>
    </xf>
    <xf numFmtId="20" fontId="37" fillId="0" borderId="0" xfId="52" applyNumberFormat="1" applyFont="1" applyAlignment="1">
      <alignment horizontal="left" vertical="center"/>
      <protection/>
    </xf>
    <xf numFmtId="0" fontId="37" fillId="0" borderId="0" xfId="52" applyFont="1" applyAlignment="1">
      <alignment vertical="center" wrapText="1"/>
      <protection/>
    </xf>
    <xf numFmtId="0" fontId="37" fillId="0" borderId="0" xfId="52" applyFont="1" applyAlignment="1">
      <alignment vertical="center"/>
      <protection/>
    </xf>
    <xf numFmtId="0" fontId="35" fillId="0" borderId="0" xfId="52" applyFont="1" applyAlignment="1">
      <alignment horizontal="center" vertical="center"/>
      <protection/>
    </xf>
    <xf numFmtId="0" fontId="36" fillId="0" borderId="0" xfId="52" applyFont="1" applyAlignment="1">
      <alignment horizontal="center" vertical="distributed" wrapText="1"/>
      <protection/>
    </xf>
    <xf numFmtId="0" fontId="36" fillId="0" borderId="0" xfId="52" applyFont="1" applyAlignment="1">
      <alignment horizontal="center" vertical="distributed"/>
      <protection/>
    </xf>
    <xf numFmtId="0" fontId="37" fillId="0" borderId="0" xfId="52" applyFont="1" applyAlignment="1">
      <alignment horizontal="right" vertical="center"/>
      <protection/>
    </xf>
    <xf numFmtId="0" fontId="37" fillId="0" borderId="0" xfId="52" applyFont="1" applyAlignment="1">
      <alignment horizontal="center" vertical="center" shrinkToFit="1"/>
      <protection/>
    </xf>
    <xf numFmtId="0" fontId="37" fillId="0" borderId="0" xfId="52" applyFont="1" applyAlignment="1">
      <alignment horizontal="left" vertical="center" shrinkToFit="1"/>
      <protection/>
    </xf>
    <xf numFmtId="0" fontId="15" fillId="0" borderId="108" xfId="47" applyFont="1" applyBorder="1" applyAlignment="1">
      <alignment horizontal="center" vertical="center" shrinkToFit="1"/>
      <protection/>
    </xf>
    <xf numFmtId="0" fontId="15" fillId="0" borderId="106" xfId="47" applyFont="1" applyBorder="1" applyAlignment="1">
      <alignment horizontal="center" vertical="center" shrinkToFit="1"/>
      <protection/>
    </xf>
    <xf numFmtId="0" fontId="15" fillId="0" borderId="107" xfId="47" applyFont="1" applyBorder="1" applyAlignment="1">
      <alignment horizontal="center" vertical="center" shrinkToFit="1"/>
      <protection/>
    </xf>
    <xf numFmtId="0" fontId="16" fillId="0" borderId="112" xfId="0" applyFont="1" applyBorder="1" applyAlignment="1">
      <alignment horizontal="center" vertical="center" shrinkToFit="1"/>
    </xf>
    <xf numFmtId="0" fontId="16" fillId="0" borderId="31" xfId="0" applyFont="1" applyBorder="1" applyAlignment="1">
      <alignment horizontal="center" vertical="center" shrinkToFit="1"/>
    </xf>
    <xf numFmtId="0" fontId="16" fillId="0" borderId="32" xfId="0" applyFont="1" applyBorder="1" applyAlignment="1">
      <alignment horizontal="center" vertical="center" shrinkToFit="1"/>
    </xf>
    <xf numFmtId="0" fontId="11" fillId="0" borderId="62" xfId="61" applyFont="1" applyBorder="1" applyAlignment="1">
      <alignment horizontal="center" vertical="center" shrinkToFit="1"/>
      <protection/>
    </xf>
    <xf numFmtId="0" fontId="11" fillId="0" borderId="64" xfId="61" applyFont="1" applyBorder="1" applyAlignment="1">
      <alignment horizontal="center" vertical="center" shrinkToFit="1"/>
      <protection/>
    </xf>
    <xf numFmtId="0" fontId="11" fillId="0" borderId="8" xfId="61" applyFont="1" applyBorder="1" applyAlignment="1">
      <alignment horizontal="center" vertical="center" shrinkToFit="1"/>
      <protection/>
    </xf>
    <xf numFmtId="0" fontId="11" fillId="0" borderId="57" xfId="61" applyFont="1" applyBorder="1" applyAlignment="1">
      <alignment horizontal="center" vertical="center" shrinkToFit="1"/>
      <protection/>
    </xf>
    <xf numFmtId="0" fontId="11" fillId="0" borderId="47" xfId="61" applyFont="1" applyBorder="1" applyAlignment="1">
      <alignment horizontal="center" vertical="center" shrinkToFit="1"/>
      <protection/>
    </xf>
    <xf numFmtId="0" fontId="11" fillId="0" borderId="7" xfId="61" applyFont="1" applyBorder="1" applyAlignment="1">
      <alignment horizontal="center" vertical="center" shrinkToFit="1"/>
      <protection/>
    </xf>
    <xf numFmtId="0" fontId="11" fillId="0" borderId="0" xfId="61" applyFont="1" applyAlignment="1">
      <alignment horizontal="center" vertical="center" shrinkToFit="1"/>
      <protection/>
    </xf>
    <xf numFmtId="0" fontId="11" fillId="0" borderId="113" xfId="61" applyFont="1" applyBorder="1" applyAlignment="1">
      <alignment horizontal="center" vertical="center"/>
      <protection/>
    </xf>
    <xf numFmtId="0" fontId="11" fillId="0" borderId="114" xfId="61" applyFont="1" applyBorder="1" applyAlignment="1">
      <alignment horizontal="center" vertical="center"/>
      <protection/>
    </xf>
    <xf numFmtId="0" fontId="11" fillId="0" borderId="115" xfId="61" applyFont="1" applyBorder="1" applyAlignment="1">
      <alignment horizontal="center" vertical="center" shrinkToFit="1"/>
      <protection/>
    </xf>
    <xf numFmtId="0" fontId="46" fillId="0" borderId="0" xfId="61" applyFont="1" applyAlignment="1">
      <alignment horizontal="center" vertical="center" shrinkToFit="1"/>
      <protection/>
    </xf>
    <xf numFmtId="0" fontId="16" fillId="0" borderId="34" xfId="0" applyFont="1" applyBorder="1" applyAlignment="1">
      <alignment horizontal="center" vertical="center" shrinkToFit="1"/>
    </xf>
    <xf numFmtId="0" fontId="13" fillId="0" borderId="62" xfId="61" applyFont="1" applyBorder="1" applyAlignment="1">
      <alignment horizontal="center" vertical="center" shrinkToFit="1"/>
      <protection/>
    </xf>
    <xf numFmtId="0" fontId="13" fillId="0" borderId="64" xfId="61" applyFont="1" applyBorder="1" applyAlignment="1">
      <alignment horizontal="center" vertical="center" shrinkToFit="1"/>
      <protection/>
    </xf>
    <xf numFmtId="0" fontId="13" fillId="0" borderId="8" xfId="61" applyFont="1" applyBorder="1" applyAlignment="1">
      <alignment horizontal="center" vertical="center" shrinkToFit="1"/>
      <protection/>
    </xf>
    <xf numFmtId="0" fontId="13" fillId="0" borderId="57" xfId="61" applyFont="1" applyBorder="1" applyAlignment="1">
      <alignment horizontal="center" vertical="center" shrinkToFit="1"/>
      <protection/>
    </xf>
    <xf numFmtId="0" fontId="47" fillId="0" borderId="0" xfId="61" applyFont="1" applyAlignment="1">
      <alignment horizontal="center" vertical="center"/>
      <protection/>
    </xf>
    <xf numFmtId="0" fontId="11" fillId="0" borderId="34" xfId="0" applyFont="1" applyBorder="1" applyAlignment="1">
      <alignment horizontal="center" vertical="center" shrinkToFit="1"/>
    </xf>
    <xf numFmtId="0" fontId="11" fillId="15" borderId="47" xfId="61" applyFont="1" applyFill="1" applyBorder="1" applyAlignment="1">
      <alignment horizontal="center" vertical="center" shrinkToFit="1"/>
      <protection/>
    </xf>
    <xf numFmtId="0" fontId="11" fillId="15" borderId="7" xfId="61" applyFont="1" applyFill="1" applyBorder="1" applyAlignment="1">
      <alignment horizontal="center" vertical="center" shrinkToFit="1"/>
      <protection/>
    </xf>
    <xf numFmtId="0" fontId="13" fillId="0" borderId="47" xfId="61" applyFont="1" applyBorder="1" applyAlignment="1">
      <alignment horizontal="center" vertical="center" shrinkToFit="1"/>
      <protection/>
    </xf>
    <xf numFmtId="0" fontId="13" fillId="0" borderId="7" xfId="61" applyFont="1" applyBorder="1" applyAlignment="1">
      <alignment horizontal="center" vertical="center" shrinkToFit="1"/>
      <protection/>
    </xf>
    <xf numFmtId="0" fontId="13" fillId="0" borderId="116" xfId="0" applyFont="1" applyBorder="1" applyAlignment="1">
      <alignment horizontal="center" vertical="center" shrinkToFit="1"/>
    </xf>
    <xf numFmtId="0" fontId="13" fillId="0" borderId="117" xfId="0" applyFont="1" applyBorder="1" applyAlignment="1">
      <alignment horizontal="center" vertical="center" shrinkToFit="1"/>
    </xf>
    <xf numFmtId="0" fontId="13" fillId="0" borderId="118" xfId="0" applyFont="1" applyBorder="1" applyAlignment="1">
      <alignment horizontal="center" vertical="center" shrinkToFit="1"/>
    </xf>
    <xf numFmtId="0" fontId="13" fillId="0" borderId="107" xfId="0" applyFont="1" applyBorder="1" applyAlignment="1">
      <alignment horizontal="center" vertical="center" shrinkToFit="1"/>
    </xf>
    <xf numFmtId="20" fontId="29" fillId="0" borderId="62" xfId="0" applyNumberFormat="1" applyFont="1" applyBorder="1" applyAlignment="1">
      <alignment horizontal="right" vertical="center"/>
    </xf>
    <xf numFmtId="20" fontId="29" fillId="0" borderId="8" xfId="0" applyNumberFormat="1" applyFont="1" applyBorder="1" applyAlignment="1">
      <alignment horizontal="right" vertical="center"/>
    </xf>
    <xf numFmtId="0" fontId="53" fillId="0" borderId="119" xfId="0" applyFont="1" applyBorder="1" applyAlignment="1">
      <alignment horizontal="center" vertical="center" shrinkToFit="1"/>
    </xf>
    <xf numFmtId="0" fontId="53" fillId="0" borderId="63" xfId="0" applyFont="1" applyBorder="1" applyAlignment="1">
      <alignment horizontal="center" vertical="center" shrinkToFit="1"/>
    </xf>
    <xf numFmtId="0" fontId="53" fillId="0" borderId="120" xfId="0" applyFont="1" applyBorder="1" applyAlignment="1">
      <alignment horizontal="center" vertical="center" shrinkToFit="1"/>
    </xf>
    <xf numFmtId="0" fontId="53" fillId="0" borderId="24" xfId="0" applyFont="1" applyBorder="1" applyAlignment="1">
      <alignment horizontal="center" vertical="center" shrinkToFit="1"/>
    </xf>
    <xf numFmtId="0" fontId="53" fillId="0" borderId="36" xfId="0" applyFont="1" applyBorder="1" applyAlignment="1">
      <alignment horizontal="center" vertical="center" shrinkToFit="1"/>
    </xf>
    <xf numFmtId="0" fontId="53" fillId="0" borderId="121" xfId="0" applyFont="1" applyBorder="1" applyAlignment="1">
      <alignment horizontal="center" vertical="center" shrinkToFit="1"/>
    </xf>
    <xf numFmtId="0" fontId="13" fillId="0" borderId="122"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123" xfId="0" applyFont="1" applyBorder="1" applyAlignment="1">
      <alignment horizontal="center" vertical="center" shrinkToFit="1"/>
    </xf>
    <xf numFmtId="0" fontId="13" fillId="0" borderId="106" xfId="0" applyFont="1" applyBorder="1" applyAlignment="1">
      <alignment horizontal="center" vertical="center" shrinkToFit="1"/>
    </xf>
    <xf numFmtId="0" fontId="51" fillId="0" borderId="38" xfId="0" applyFont="1" applyBorder="1" applyAlignment="1">
      <alignment horizontal="center" vertical="center"/>
    </xf>
    <xf numFmtId="0" fontId="51" fillId="0" borderId="39" xfId="0" applyFont="1" applyBorder="1" applyAlignment="1">
      <alignment horizontal="center" vertical="center"/>
    </xf>
    <xf numFmtId="0" fontId="51" fillId="0" borderId="40" xfId="0" applyFont="1" applyBorder="1" applyAlignment="1">
      <alignment horizontal="center" vertical="center"/>
    </xf>
    <xf numFmtId="0" fontId="51" fillId="0" borderId="46" xfId="0" applyFont="1" applyBorder="1" applyAlignment="1">
      <alignment horizontal="center" vertical="center"/>
    </xf>
    <xf numFmtId="0" fontId="51" fillId="0" borderId="53" xfId="0" applyFont="1" applyBorder="1" applyAlignment="1">
      <alignment horizontal="center" vertical="center"/>
    </xf>
    <xf numFmtId="0" fontId="51" fillId="0" borderId="90" xfId="0" applyFont="1" applyBorder="1" applyAlignment="1">
      <alignment horizontal="center" vertical="center"/>
    </xf>
    <xf numFmtId="0" fontId="52" fillId="0" borderId="46" xfId="0" applyFont="1" applyBorder="1" applyAlignment="1">
      <alignment horizontal="center" vertical="center"/>
    </xf>
    <xf numFmtId="0" fontId="52" fillId="0" borderId="53" xfId="0" applyFont="1" applyBorder="1" applyAlignment="1">
      <alignment horizontal="center" vertical="center"/>
    </xf>
    <xf numFmtId="0" fontId="52" fillId="0" borderId="46" xfId="0" applyFont="1" applyBorder="1" applyAlignment="1">
      <alignment horizontal="center" vertical="center" wrapText="1"/>
    </xf>
    <xf numFmtId="0" fontId="52" fillId="0" borderId="53" xfId="0" applyFont="1" applyBorder="1" applyAlignment="1">
      <alignment horizontal="center" vertical="center" wrapText="1"/>
    </xf>
    <xf numFmtId="0" fontId="52" fillId="0" borderId="90" xfId="0" applyFont="1" applyBorder="1" applyAlignment="1">
      <alignment horizontal="center" vertical="center" wrapText="1"/>
    </xf>
    <xf numFmtId="0" fontId="28" fillId="0" borderId="0" xfId="0" applyFont="1" applyAlignment="1">
      <alignment horizontal="left" vertical="center"/>
    </xf>
    <xf numFmtId="0" fontId="48" fillId="0" borderId="0" xfId="0" applyFont="1" applyAlignment="1">
      <alignment horizontal="left" vertical="center" wrapText="1"/>
    </xf>
    <xf numFmtId="0" fontId="48" fillId="0" borderId="0" xfId="0" applyFont="1" applyAlignment="1">
      <alignment vertical="top" wrapText="1"/>
    </xf>
    <xf numFmtId="0" fontId="28" fillId="0" borderId="38" xfId="0" applyFont="1" applyBorder="1" applyAlignment="1">
      <alignment horizontal="center" vertical="center" shrinkToFit="1"/>
    </xf>
    <xf numFmtId="0" fontId="28" fillId="0" borderId="39" xfId="0" applyFont="1" applyBorder="1" applyAlignment="1">
      <alignment horizontal="center" vertical="center" shrinkToFit="1"/>
    </xf>
    <xf numFmtId="0" fontId="28" fillId="0" borderId="40" xfId="0" applyFont="1" applyBorder="1" applyAlignment="1">
      <alignment horizontal="center" vertical="center" shrinkToFit="1"/>
    </xf>
    <xf numFmtId="0" fontId="59" fillId="0" borderId="14" xfId="58" applyFont="1" applyBorder="1" applyAlignment="1" applyProtection="1">
      <alignment horizontal="center" vertical="center" shrinkToFit="1"/>
      <protection locked="0"/>
    </xf>
    <xf numFmtId="0" fontId="59" fillId="0" borderId="16" xfId="58" applyFont="1" applyBorder="1" applyAlignment="1" applyProtection="1">
      <alignment horizontal="center" vertical="center" shrinkToFit="1"/>
      <protection locked="0"/>
    </xf>
    <xf numFmtId="0" fontId="59" fillId="0" borderId="19" xfId="58" applyFont="1" applyBorder="1" applyAlignment="1" applyProtection="1">
      <alignment horizontal="center" vertical="center" shrinkToFit="1"/>
      <protection locked="0"/>
    </xf>
    <xf numFmtId="0" fontId="59" fillId="0" borderId="21" xfId="58" applyFont="1" applyBorder="1" applyAlignment="1" applyProtection="1">
      <alignment horizontal="center" vertical="center" shrinkToFit="1"/>
      <protection locked="0"/>
    </xf>
    <xf numFmtId="0" fontId="16" fillId="0" borderId="68" xfId="58" applyFont="1" applyBorder="1" applyAlignment="1" applyProtection="1">
      <alignment horizontal="center" vertical="center" shrinkToFit="1"/>
      <protection/>
    </xf>
    <xf numFmtId="0" fontId="16" fillId="0" borderId="82" xfId="58" applyFont="1" applyBorder="1" applyAlignment="1" applyProtection="1">
      <alignment horizontal="center" vertical="center" shrinkToFit="1"/>
      <protection/>
    </xf>
    <xf numFmtId="0" fontId="16" fillId="0" borderId="47" xfId="58" applyFont="1" applyBorder="1" applyAlignment="1" applyProtection="1">
      <alignment horizontal="center" vertical="center" shrinkToFit="1"/>
      <protection/>
    </xf>
    <xf numFmtId="0" fontId="16" fillId="0" borderId="110" xfId="58" applyFont="1" applyBorder="1" applyAlignment="1" applyProtection="1">
      <alignment horizontal="center" vertical="center" shrinkToFit="1"/>
      <protection/>
    </xf>
    <xf numFmtId="0" fontId="57" fillId="16" borderId="47" xfId="58" applyFont="1" applyFill="1" applyBorder="1" applyAlignment="1" applyProtection="1">
      <alignment horizontal="center" vertical="center" shrinkToFit="1"/>
      <protection/>
    </xf>
    <xf numFmtId="0" fontId="57" fillId="16" borderId="110" xfId="58" applyFont="1" applyFill="1" applyBorder="1" applyAlignment="1" applyProtection="1">
      <alignment horizontal="center" vertical="center" shrinkToFit="1"/>
      <protection/>
    </xf>
    <xf numFmtId="0" fontId="16" fillId="0" borderId="124" xfId="58" applyFont="1" applyBorder="1" applyAlignment="1" applyProtection="1">
      <alignment horizontal="center" vertical="center" shrinkToFit="1"/>
      <protection/>
    </xf>
    <xf numFmtId="0" fontId="30" fillId="0" borderId="15" xfId="58" applyFont="1" applyBorder="1" applyAlignment="1" applyProtection="1">
      <alignment horizontal="right" vertical="center" shrinkToFit="1"/>
      <protection/>
    </xf>
    <xf numFmtId="0" fontId="30" fillId="0" borderId="20" xfId="58" applyFont="1" applyBorder="1" applyAlignment="1" applyProtection="1">
      <alignment horizontal="right" vertical="center" shrinkToFit="1"/>
      <protection/>
    </xf>
    <xf numFmtId="0" fontId="16" fillId="0" borderId="17" xfId="58" applyFont="1" applyBorder="1" applyAlignment="1" applyProtection="1">
      <alignment horizontal="left" vertical="center" shrinkToFit="1"/>
      <protection/>
    </xf>
    <xf numFmtId="0" fontId="16" fillId="0" borderId="18" xfId="58" applyFont="1" applyBorder="1" applyAlignment="1" applyProtection="1">
      <alignment horizontal="left" vertical="center" shrinkToFit="1"/>
      <protection/>
    </xf>
    <xf numFmtId="0" fontId="57" fillId="16" borderId="62" xfId="58" applyFont="1" applyFill="1" applyBorder="1" applyAlignment="1" applyProtection="1">
      <alignment horizontal="center" vertical="center" shrinkToFit="1"/>
      <protection/>
    </xf>
    <xf numFmtId="0" fontId="57" fillId="16" borderId="64" xfId="58" applyFont="1" applyFill="1" applyBorder="1" applyAlignment="1" applyProtection="1">
      <alignment horizontal="center" vertical="center" shrinkToFit="1"/>
      <protection/>
    </xf>
    <xf numFmtId="0" fontId="57" fillId="16" borderId="68" xfId="58" applyFont="1" applyFill="1" applyBorder="1" applyAlignment="1" applyProtection="1">
      <alignment horizontal="center" vertical="center" shrinkToFit="1"/>
      <protection/>
    </xf>
    <xf numFmtId="0" fontId="57" fillId="16" borderId="67" xfId="58" applyFont="1" applyFill="1" applyBorder="1" applyAlignment="1" applyProtection="1">
      <alignment horizontal="center" vertical="center" shrinkToFit="1"/>
      <protection/>
    </xf>
    <xf numFmtId="0" fontId="58" fillId="16" borderId="15" xfId="58" applyFont="1" applyFill="1" applyBorder="1" applyAlignment="1" applyProtection="1">
      <alignment horizontal="right" vertical="center" shrinkToFit="1"/>
      <protection/>
    </xf>
    <xf numFmtId="0" fontId="58" fillId="16" borderId="20" xfId="58" applyFont="1" applyFill="1" applyBorder="1" applyAlignment="1" applyProtection="1">
      <alignment horizontal="right" vertical="center" shrinkToFit="1"/>
      <protection/>
    </xf>
    <xf numFmtId="0" fontId="57" fillId="16" borderId="64" xfId="58" applyFont="1" applyFill="1" applyBorder="1" applyAlignment="1" applyProtection="1">
      <alignment horizontal="left" vertical="center" shrinkToFit="1"/>
      <protection/>
    </xf>
    <xf numFmtId="0" fontId="57" fillId="16" borderId="67" xfId="58" applyFont="1" applyFill="1" applyBorder="1" applyAlignment="1" applyProtection="1">
      <alignment horizontal="left" vertical="center" shrinkToFit="1"/>
      <protection/>
    </xf>
    <xf numFmtId="0" fontId="28" fillId="0" borderId="14" xfId="58" applyFont="1" applyBorder="1" applyAlignment="1" applyProtection="1">
      <alignment horizontal="center" vertical="center" shrinkToFit="1"/>
      <protection locked="0"/>
    </xf>
    <xf numFmtId="0" fontId="28" fillId="0" borderId="16" xfId="58" applyFont="1" applyBorder="1" applyAlignment="1" applyProtection="1">
      <alignment horizontal="center" vertical="center" shrinkToFit="1"/>
      <protection locked="0"/>
    </xf>
    <xf numFmtId="0" fontId="28" fillId="0" borderId="19" xfId="58" applyFont="1" applyBorder="1" applyAlignment="1" applyProtection="1">
      <alignment horizontal="center" vertical="center" shrinkToFit="1"/>
      <protection locked="0"/>
    </xf>
    <xf numFmtId="0" fontId="28" fillId="0" borderId="21" xfId="58" applyFont="1" applyBorder="1" applyAlignment="1" applyProtection="1">
      <alignment horizontal="center" vertical="center" shrinkToFit="1"/>
      <protection locked="0"/>
    </xf>
    <xf numFmtId="0" fontId="27" fillId="0" borderId="118" xfId="62" applyFont="1" applyBorder="1" applyAlignment="1">
      <alignment horizontal="center" vertical="center" shrinkToFit="1"/>
      <protection/>
    </xf>
    <xf numFmtId="0" fontId="27" fillId="0" borderId="107" xfId="62" applyFont="1" applyBorder="1" applyAlignment="1">
      <alignment horizontal="center" vertical="center" shrinkToFit="1"/>
      <protection/>
    </xf>
    <xf numFmtId="0" fontId="16" fillId="0" borderId="62" xfId="58" applyFont="1" applyBorder="1" applyAlignment="1" applyProtection="1">
      <alignment horizontal="center" vertical="center" shrinkToFit="1"/>
      <protection/>
    </xf>
    <xf numFmtId="0" fontId="16" fillId="0" borderId="120" xfId="58" applyFont="1" applyBorder="1" applyAlignment="1" applyProtection="1">
      <alignment horizontal="center" vertical="center" shrinkToFit="1"/>
      <protection/>
    </xf>
    <xf numFmtId="0" fontId="16" fillId="0" borderId="64" xfId="58" applyFont="1" applyBorder="1" applyAlignment="1" applyProtection="1">
      <alignment horizontal="center" vertical="center" shrinkToFit="1"/>
      <protection/>
    </xf>
    <xf numFmtId="0" fontId="16" fillId="0" borderId="67" xfId="58" applyFont="1" applyBorder="1" applyAlignment="1" applyProtection="1">
      <alignment horizontal="center" vertical="center" shrinkToFit="1"/>
      <protection/>
    </xf>
    <xf numFmtId="0" fontId="16" fillId="0" borderId="7" xfId="58" applyFont="1" applyBorder="1" applyAlignment="1" applyProtection="1">
      <alignment horizontal="center" vertical="center" shrinkToFit="1"/>
      <protection/>
    </xf>
    <xf numFmtId="0" fontId="57" fillId="16" borderId="8" xfId="58" applyFont="1" applyFill="1" applyBorder="1" applyAlignment="1" applyProtection="1">
      <alignment horizontal="center" vertical="center" shrinkToFit="1"/>
      <protection/>
    </xf>
    <xf numFmtId="0" fontId="57" fillId="16" borderId="57" xfId="58" applyFont="1" applyFill="1" applyBorder="1" applyAlignment="1" applyProtection="1">
      <alignment horizontal="center" vertical="center" shrinkToFit="1"/>
      <protection/>
    </xf>
    <xf numFmtId="0" fontId="57" fillId="16" borderId="57" xfId="58" applyFont="1" applyFill="1" applyBorder="1" applyAlignment="1" applyProtection="1">
      <alignment horizontal="left" vertical="center" shrinkToFit="1"/>
      <protection/>
    </xf>
    <xf numFmtId="0" fontId="16" fillId="0" borderId="8" xfId="58" applyFont="1" applyBorder="1" applyAlignment="1" applyProtection="1">
      <alignment horizontal="center" vertical="center" shrinkToFit="1"/>
      <protection/>
    </xf>
    <xf numFmtId="0" fontId="16" fillId="0" borderId="121" xfId="58" applyFont="1" applyBorder="1" applyAlignment="1" applyProtection="1">
      <alignment horizontal="center" vertical="center" shrinkToFit="1"/>
      <protection/>
    </xf>
    <xf numFmtId="0" fontId="28" fillId="0" borderId="7" xfId="58" applyFont="1" applyBorder="1" applyAlignment="1" applyProtection="1">
      <alignment horizontal="center" vertical="center" shrinkToFit="1"/>
      <protection locked="0"/>
    </xf>
    <xf numFmtId="0" fontId="28" fillId="0" borderId="9" xfId="58" applyFont="1" applyBorder="1" applyAlignment="1" applyProtection="1">
      <alignment horizontal="center" vertical="center" shrinkToFit="1"/>
      <protection locked="0"/>
    </xf>
    <xf numFmtId="0" fontId="27" fillId="0" borderId="122" xfId="62" applyFont="1" applyBorder="1" applyAlignment="1">
      <alignment horizontal="center" vertical="center" shrinkToFit="1"/>
      <protection/>
    </xf>
    <xf numFmtId="0" fontId="16" fillId="0" borderId="57" xfId="58" applyFont="1" applyBorder="1" applyAlignment="1" applyProtection="1">
      <alignment horizontal="center" vertical="center" shrinkToFit="1"/>
      <protection/>
    </xf>
    <xf numFmtId="0" fontId="57" fillId="16" borderId="7" xfId="58" applyFont="1" applyFill="1" applyBorder="1" applyAlignment="1" applyProtection="1">
      <alignment horizontal="center" vertical="center" shrinkToFit="1"/>
      <protection/>
    </xf>
    <xf numFmtId="0" fontId="57" fillId="16" borderId="124" xfId="58" applyFont="1" applyFill="1" applyBorder="1" applyAlignment="1" applyProtection="1">
      <alignment horizontal="center" vertical="center" shrinkToFit="1"/>
      <protection/>
    </xf>
    <xf numFmtId="0" fontId="16" fillId="0" borderId="125" xfId="58" applyFont="1" applyBorder="1" applyAlignment="1" applyProtection="1">
      <alignment horizontal="center" vertical="center" shrinkToFit="1"/>
      <protection/>
    </xf>
    <xf numFmtId="0" fontId="30" fillId="0" borderId="8" xfId="58" applyFont="1" applyBorder="1" applyAlignment="1" applyProtection="1">
      <alignment horizontal="right" vertical="center" shrinkToFit="1"/>
      <protection/>
    </xf>
    <xf numFmtId="0" fontId="16" fillId="0" borderId="57" xfId="58" applyFont="1" applyBorder="1" applyAlignment="1" applyProtection="1">
      <alignment horizontal="left" vertical="center" shrinkToFit="1"/>
      <protection/>
    </xf>
    <xf numFmtId="0" fontId="57" fillId="16" borderId="99" xfId="58" applyFont="1" applyFill="1" applyBorder="1" applyAlignment="1" applyProtection="1">
      <alignment horizontal="center" vertical="center" shrinkToFit="1"/>
      <protection/>
    </xf>
    <xf numFmtId="0" fontId="57" fillId="16" borderId="50" xfId="58" applyFont="1" applyFill="1" applyBorder="1" applyAlignment="1" applyProtection="1">
      <alignment horizontal="center" vertical="center" shrinkToFit="1"/>
      <protection/>
    </xf>
    <xf numFmtId="0" fontId="58" fillId="16" borderId="8" xfId="58" applyFont="1" applyFill="1" applyBorder="1" applyAlignment="1" applyProtection="1">
      <alignment horizontal="right" vertical="center" shrinkToFit="1"/>
      <protection/>
    </xf>
    <xf numFmtId="0" fontId="57" fillId="16" borderId="50" xfId="58" applyFont="1" applyFill="1" applyBorder="1" applyAlignment="1" applyProtection="1">
      <alignment horizontal="left" vertical="center" shrinkToFit="1"/>
      <protection/>
    </xf>
    <xf numFmtId="0" fontId="27" fillId="0" borderId="108" xfId="62" applyFont="1" applyBorder="1" applyAlignment="1">
      <alignment horizontal="center" vertical="center" shrinkToFit="1"/>
      <protection/>
    </xf>
    <xf numFmtId="0" fontId="16" fillId="0" borderId="109" xfId="58" applyFont="1" applyBorder="1" applyAlignment="1" applyProtection="1">
      <alignment horizontal="center" vertical="center" shrinkToFit="1"/>
      <protection/>
    </xf>
    <xf numFmtId="0" fontId="16" fillId="0" borderId="90" xfId="58" applyFont="1" applyBorder="1" applyAlignment="1" applyProtection="1">
      <alignment horizontal="center" vertical="center" shrinkToFit="1"/>
      <protection/>
    </xf>
    <xf numFmtId="0" fontId="16" fillId="0" borderId="50" xfId="58" applyFont="1" applyBorder="1" applyAlignment="1" applyProtection="1">
      <alignment horizontal="center" vertical="center" shrinkToFit="1"/>
      <protection/>
    </xf>
    <xf numFmtId="0" fontId="54" fillId="0" borderId="38" xfId="58" applyFont="1" applyBorder="1" applyAlignment="1" applyProtection="1">
      <alignment horizontal="center" vertical="center" shrinkToFit="1"/>
      <protection/>
    </xf>
    <xf numFmtId="0" fontId="54" fillId="0" borderId="39" xfId="58" applyFont="1" applyBorder="1" applyAlignment="1" applyProtection="1">
      <alignment horizontal="center" vertical="center" shrinkToFit="1"/>
      <protection/>
    </xf>
    <xf numFmtId="0" fontId="54" fillId="0" borderId="40" xfId="58" applyFont="1" applyBorder="1" applyAlignment="1" applyProtection="1">
      <alignment horizontal="center" vertical="center" shrinkToFit="1"/>
      <protection/>
    </xf>
    <xf numFmtId="0" fontId="27" fillId="0" borderId="2" xfId="58" applyFont="1" applyBorder="1" applyAlignment="1" applyProtection="1">
      <alignment horizontal="center" vertical="center" shrinkToFit="1"/>
      <protection locked="0"/>
    </xf>
    <xf numFmtId="0" fontId="27" fillId="0" borderId="3" xfId="58" applyFont="1" applyBorder="1" applyAlignment="1" applyProtection="1">
      <alignment horizontal="center" vertical="center" shrinkToFit="1"/>
      <protection locked="0"/>
    </xf>
    <xf numFmtId="0" fontId="16" fillId="0" borderId="5" xfId="58" applyFont="1" applyBorder="1" applyAlignment="1" applyProtection="1">
      <alignment horizontal="center" vertical="center" wrapText="1" shrinkToFit="1"/>
      <protection/>
    </xf>
    <xf numFmtId="0" fontId="16" fillId="0" borderId="4" xfId="58" applyFont="1" applyBorder="1" applyAlignment="1" applyProtection="1">
      <alignment horizontal="center" vertical="center" shrinkToFit="1"/>
      <protection/>
    </xf>
    <xf numFmtId="0" fontId="16" fillId="0" borderId="3" xfId="58" applyFont="1" applyBorder="1" applyAlignment="1" applyProtection="1">
      <alignment horizontal="center" vertical="center" wrapText="1" shrinkToFit="1"/>
      <protection/>
    </xf>
    <xf numFmtId="0" fontId="16" fillId="0" borderId="6" xfId="58" applyFont="1" applyBorder="1" applyAlignment="1" applyProtection="1">
      <alignment horizontal="center" vertical="center" shrinkToFit="1"/>
      <protection/>
    </xf>
    <xf numFmtId="0" fontId="59" fillId="0" borderId="7" xfId="58" applyFont="1" applyBorder="1" applyAlignment="1" applyProtection="1">
      <alignment horizontal="center" vertical="center" shrinkToFit="1"/>
      <protection locked="0"/>
    </xf>
    <xf numFmtId="0" fontId="59" fillId="0" borderId="9" xfId="58" applyFont="1" applyBorder="1" applyAlignment="1" applyProtection="1">
      <alignment horizontal="center" vertical="center" shrinkToFit="1"/>
      <protection locked="0"/>
    </xf>
    <xf numFmtId="0" fontId="16" fillId="0" borderId="54" xfId="58" applyFont="1" applyBorder="1" applyAlignment="1" applyProtection="1">
      <alignment horizontal="center" vertical="center" shrinkToFit="1"/>
      <protection/>
    </xf>
    <xf numFmtId="0" fontId="57" fillId="16" borderId="125" xfId="58" applyFont="1" applyFill="1" applyBorder="1" applyAlignment="1" applyProtection="1">
      <alignment horizontal="center" vertical="center" shrinkToFit="1"/>
      <protection/>
    </xf>
    <xf numFmtId="0" fontId="30" fillId="0" borderId="12" xfId="58" applyFont="1" applyBorder="1" applyAlignment="1" applyProtection="1">
      <alignment horizontal="right" vertical="center" shrinkToFit="1"/>
      <protection/>
    </xf>
    <xf numFmtId="0" fontId="16" fillId="0" borderId="10" xfId="58" applyFont="1" applyBorder="1" applyAlignment="1" applyProtection="1">
      <alignment horizontal="left" vertical="center" shrinkToFit="1"/>
      <protection/>
    </xf>
    <xf numFmtId="0" fontId="57" fillId="16" borderId="109" xfId="58" applyFont="1" applyFill="1" applyBorder="1" applyAlignment="1" applyProtection="1">
      <alignment horizontal="center" vertical="center" shrinkToFit="1"/>
      <protection/>
    </xf>
    <xf numFmtId="0" fontId="57" fillId="16" borderId="54" xfId="58" applyFont="1" applyFill="1" applyBorder="1" applyAlignment="1" applyProtection="1">
      <alignment horizontal="center" vertical="center" shrinkToFit="1"/>
      <protection/>
    </xf>
    <xf numFmtId="0" fontId="58" fillId="16" borderId="12" xfId="58" applyFont="1" applyFill="1" applyBorder="1" applyAlignment="1" applyProtection="1">
      <alignment horizontal="right" vertical="center" shrinkToFit="1"/>
      <protection/>
    </xf>
    <xf numFmtId="0" fontId="57" fillId="16" borderId="54" xfId="58" applyFont="1" applyFill="1" applyBorder="1" applyAlignment="1" applyProtection="1">
      <alignment horizontal="left" vertical="center" shrinkToFit="1"/>
      <protection/>
    </xf>
    <xf numFmtId="0" fontId="28" fillId="0" borderId="11" xfId="58" applyFont="1" applyBorder="1" applyAlignment="1" applyProtection="1">
      <alignment horizontal="center" vertical="center" shrinkToFit="1"/>
      <protection locked="0"/>
    </xf>
    <xf numFmtId="0" fontId="28" fillId="0" borderId="13" xfId="58" applyFont="1" applyBorder="1" applyAlignment="1" applyProtection="1">
      <alignment horizontal="center" vertical="center" shrinkToFit="1"/>
      <protection locked="0"/>
    </xf>
    <xf numFmtId="0" fontId="27" fillId="0" borderId="56" xfId="60" applyFont="1" applyBorder="1" applyAlignment="1">
      <alignment horizontal="center" vertical="center" shrinkToFit="1"/>
      <protection/>
    </xf>
    <xf numFmtId="0" fontId="27" fillId="0" borderId="126" xfId="60" applyFont="1" applyBorder="1" applyAlignment="1">
      <alignment horizontal="center" vertical="center" shrinkToFit="1"/>
      <protection/>
    </xf>
    <xf numFmtId="0" fontId="27" fillId="0" borderId="109" xfId="60" applyFont="1" applyBorder="1" applyAlignment="1">
      <alignment horizontal="center" vertical="center" shrinkToFit="1"/>
      <protection/>
    </xf>
    <xf numFmtId="0" fontId="27" fillId="0" borderId="53" xfId="60" applyFont="1" applyBorder="1" applyAlignment="1">
      <alignment horizontal="center" vertical="center" shrinkToFit="1"/>
      <protection/>
    </xf>
    <xf numFmtId="0" fontId="27" fillId="0" borderId="90" xfId="60" applyFont="1" applyBorder="1" applyAlignment="1">
      <alignment horizontal="center" vertical="center" shrinkToFit="1"/>
      <protection/>
    </xf>
    <xf numFmtId="0" fontId="55" fillId="0" borderId="127" xfId="58" applyFont="1" applyBorder="1" applyAlignment="1" applyProtection="1">
      <alignment horizontal="center" vertical="center" shrinkToFit="1"/>
      <protection/>
    </xf>
    <xf numFmtId="0" fontId="55" fillId="0" borderId="128" xfId="58" applyFont="1" applyBorder="1" applyAlignment="1" applyProtection="1">
      <alignment horizontal="center" vertical="center" shrinkToFit="1"/>
      <protection/>
    </xf>
    <xf numFmtId="0" fontId="55" fillId="0" borderId="129" xfId="58" applyFont="1" applyBorder="1" applyAlignment="1" applyProtection="1">
      <alignment horizontal="center" vertical="center" shrinkToFit="1"/>
      <protection/>
    </xf>
    <xf numFmtId="0" fontId="55" fillId="0" borderId="52" xfId="58" applyFont="1" applyBorder="1" applyAlignment="1" applyProtection="1">
      <alignment horizontal="center" vertical="center" shrinkToFit="1"/>
      <protection/>
    </xf>
    <xf numFmtId="0" fontId="55" fillId="0" borderId="130" xfId="58" applyFont="1" applyBorder="1" applyAlignment="1" applyProtection="1">
      <alignment horizontal="center" vertical="center" shrinkToFit="1"/>
      <protection/>
    </xf>
    <xf numFmtId="0" fontId="27" fillId="0" borderId="68" xfId="60" applyFont="1" applyBorder="1" applyAlignment="1">
      <alignment horizontal="center" vertical="center" shrinkToFit="1"/>
      <protection/>
    </xf>
    <xf numFmtId="0" fontId="27" fillId="0" borderId="37" xfId="60" applyFont="1" applyBorder="1" applyAlignment="1">
      <alignment horizontal="center" vertical="center" shrinkToFit="1"/>
      <protection/>
    </xf>
    <xf numFmtId="0" fontId="27" fillId="0" borderId="49" xfId="60" applyFont="1" applyBorder="1" applyAlignment="1">
      <alignment horizontal="center" vertical="center" shrinkToFit="1"/>
      <protection/>
    </xf>
    <xf numFmtId="0" fontId="55" fillId="0" borderId="131" xfId="58" applyFont="1" applyBorder="1" applyAlignment="1" applyProtection="1">
      <alignment horizontal="center" vertical="center" shrinkToFit="1"/>
      <protection/>
    </xf>
    <xf numFmtId="0" fontId="27" fillId="0" borderId="82" xfId="60" applyFont="1" applyBorder="1" applyAlignment="1">
      <alignment horizontal="center" vertical="center" shrinkToFit="1"/>
      <protection/>
    </xf>
    <xf numFmtId="0" fontId="55" fillId="0" borderId="46" xfId="62" applyFont="1" applyBorder="1" applyAlignment="1">
      <alignment horizontal="center" vertical="center"/>
      <protection/>
    </xf>
    <xf numFmtId="0" fontId="55" fillId="0" borderId="66" xfId="62" applyFont="1" applyBorder="1" applyAlignment="1">
      <alignment horizontal="center" vertical="center"/>
      <protection/>
    </xf>
    <xf numFmtId="20" fontId="55" fillId="0" borderId="53" xfId="62" applyNumberFormat="1" applyFont="1" applyBorder="1" applyAlignment="1">
      <alignment horizontal="center" vertical="center"/>
      <protection/>
    </xf>
    <xf numFmtId="20" fontId="55" fillId="0" borderId="37" xfId="62" applyNumberFormat="1" applyFont="1" applyBorder="1" applyAlignment="1">
      <alignment horizontal="center" vertical="center"/>
      <protection/>
    </xf>
    <xf numFmtId="0" fontId="16" fillId="0" borderId="132" xfId="58" applyFont="1" applyBorder="1" applyAlignment="1" applyProtection="1">
      <alignment horizontal="center" vertical="center" shrinkToFit="1"/>
      <protection/>
    </xf>
    <xf numFmtId="0" fontId="16" fillId="0" borderId="133" xfId="58" applyFont="1" applyBorder="1" applyAlignment="1" applyProtection="1">
      <alignment horizontal="center" vertical="center" shrinkToFit="1"/>
      <protection/>
    </xf>
    <xf numFmtId="0" fontId="27" fillId="0" borderId="55" xfId="60" applyFont="1" applyBorder="1" applyAlignment="1">
      <alignment horizontal="center" vertical="center" shrinkToFit="1"/>
      <protection/>
    </xf>
    <xf numFmtId="0" fontId="27" fillId="0" borderId="134" xfId="60" applyFont="1" applyBorder="1" applyAlignment="1">
      <alignment horizontal="center" vertical="center" shrinkToFit="1"/>
      <protection/>
    </xf>
    <xf numFmtId="0" fontId="16" fillId="0" borderId="135" xfId="58" applyFont="1" applyBorder="1" applyAlignment="1" applyProtection="1">
      <alignment horizontal="center" vertical="center" shrinkToFit="1"/>
      <protection/>
    </xf>
    <xf numFmtId="0" fontId="27" fillId="0" borderId="51" xfId="60" applyFont="1" applyBorder="1" applyAlignment="1">
      <alignment horizontal="center" vertical="center" shrinkToFit="1"/>
      <protection/>
    </xf>
    <xf numFmtId="0" fontId="27" fillId="0" borderId="118" xfId="60" applyFont="1" applyBorder="1" applyAlignment="1">
      <alignment horizontal="center" vertical="center"/>
      <protection/>
    </xf>
    <xf numFmtId="0" fontId="27" fillId="0" borderId="47" xfId="60" applyFont="1" applyBorder="1" applyAlignment="1">
      <alignment horizontal="center" vertical="center"/>
      <protection/>
    </xf>
    <xf numFmtId="0" fontId="27" fillId="0" borderId="62" xfId="60" applyFont="1" applyBorder="1" applyAlignment="1">
      <alignment horizontal="center" vertical="center"/>
      <protection/>
    </xf>
    <xf numFmtId="0" fontId="27" fillId="0" borderId="99" xfId="60" applyFont="1" applyBorder="1" applyAlignment="1">
      <alignment horizontal="center" vertical="center"/>
      <protection/>
    </xf>
    <xf numFmtId="0" fontId="27" fillId="0" borderId="0" xfId="60" applyFont="1" applyAlignment="1">
      <alignment horizontal="center" vertical="center"/>
      <protection/>
    </xf>
    <xf numFmtId="0" fontId="27" fillId="0" borderId="48" xfId="60" applyFont="1" applyBorder="1" applyAlignment="1">
      <alignment horizontal="center" vertical="center"/>
      <protection/>
    </xf>
    <xf numFmtId="0" fontId="27" fillId="0" borderId="42" xfId="60" applyFont="1" applyBorder="1" applyAlignment="1">
      <alignment horizontal="center" vertical="center"/>
      <protection/>
    </xf>
    <xf numFmtId="0" fontId="27" fillId="0" borderId="19" xfId="60" applyFont="1" applyBorder="1" applyAlignment="1">
      <alignment horizontal="center" vertical="center" shrinkToFit="1"/>
      <protection/>
    </xf>
    <xf numFmtId="0" fontId="27" fillId="0" borderId="21" xfId="60" applyFont="1" applyBorder="1" applyAlignment="1">
      <alignment horizontal="center" vertical="center" shrinkToFit="1"/>
      <protection/>
    </xf>
    <xf numFmtId="0" fontId="27" fillId="0" borderId="37" xfId="60" applyFont="1" applyBorder="1" applyAlignment="1">
      <alignment horizontal="center" vertical="center"/>
      <protection/>
    </xf>
    <xf numFmtId="0" fontId="27" fillId="0" borderId="82" xfId="60" applyFont="1" applyBorder="1" applyAlignment="1">
      <alignment horizontal="center" vertical="center"/>
      <protection/>
    </xf>
    <xf numFmtId="0" fontId="27" fillId="0" borderId="112" xfId="60" applyFont="1" applyBorder="1" applyAlignment="1">
      <alignment horizontal="center" vertical="center"/>
      <protection/>
    </xf>
    <xf numFmtId="0" fontId="27" fillId="0" borderId="11" xfId="60" applyFont="1" applyBorder="1" applyAlignment="1">
      <alignment horizontal="center" vertical="center"/>
      <protection/>
    </xf>
    <xf numFmtId="0" fontId="27" fillId="0" borderId="12" xfId="60" applyFont="1" applyBorder="1" applyAlignment="1">
      <alignment horizontal="center" vertical="center"/>
      <protection/>
    </xf>
    <xf numFmtId="0" fontId="27" fillId="0" borderId="111" xfId="60" applyFont="1" applyBorder="1" applyAlignment="1">
      <alignment horizontal="center" vertical="center"/>
      <protection/>
    </xf>
    <xf numFmtId="0" fontId="27" fillId="0" borderId="22" xfId="60" applyFont="1" applyBorder="1" applyAlignment="1">
      <alignment horizontal="center" vertical="center"/>
      <protection/>
    </xf>
    <xf numFmtId="0" fontId="27" fillId="0" borderId="136" xfId="60" applyFont="1" applyBorder="1" applyAlignment="1">
      <alignment horizontal="center" vertical="center"/>
      <protection/>
    </xf>
    <xf numFmtId="0" fontId="27" fillId="0" borderId="25" xfId="60" applyFont="1" applyBorder="1" applyAlignment="1">
      <alignment horizontal="center" vertical="center"/>
      <protection/>
    </xf>
    <xf numFmtId="0" fontId="27" fillId="0" borderId="7" xfId="60" applyFont="1" applyBorder="1" applyAlignment="1">
      <alignment horizontal="center" vertical="center" shrinkToFit="1"/>
      <protection/>
    </xf>
    <xf numFmtId="0" fontId="27" fillId="0" borderId="9" xfId="60" applyFont="1" applyBorder="1" applyAlignment="1">
      <alignment horizontal="center" vertical="center" shrinkToFit="1"/>
      <protection/>
    </xf>
    <xf numFmtId="0" fontId="27" fillId="0" borderId="31" xfId="60" applyFont="1" applyBorder="1" applyAlignment="1">
      <alignment horizontal="center" vertical="center" shrinkToFit="1"/>
      <protection/>
    </xf>
    <xf numFmtId="0" fontId="27" fillId="0" borderId="14" xfId="60" applyFont="1" applyBorder="1" applyAlignment="1">
      <alignment horizontal="center" vertical="center" shrinkToFit="1"/>
      <protection/>
    </xf>
    <xf numFmtId="0" fontId="27" fillId="0" borderId="137" xfId="60" applyFont="1" applyBorder="1" applyAlignment="1">
      <alignment horizontal="center" vertical="center" shrinkToFit="1"/>
      <protection/>
    </xf>
    <xf numFmtId="0" fontId="27" fillId="0" borderId="27" xfId="60" applyFont="1" applyBorder="1" applyAlignment="1">
      <alignment horizontal="center" vertical="center" shrinkToFit="1"/>
      <protection/>
    </xf>
    <xf numFmtId="0" fontId="27" fillId="0" borderId="17" xfId="60" applyFont="1" applyBorder="1" applyAlignment="1">
      <alignment horizontal="center" vertical="center" shrinkToFit="1"/>
      <protection/>
    </xf>
    <xf numFmtId="0" fontId="27" fillId="0" borderId="16" xfId="60" applyFont="1" applyBorder="1" applyAlignment="1">
      <alignment horizontal="center" vertical="center" shrinkToFit="1"/>
      <protection/>
    </xf>
    <xf numFmtId="0" fontId="27" fillId="0" borderId="15" xfId="60" applyFont="1" applyBorder="1" applyAlignment="1">
      <alignment horizontal="center" vertical="center" shrinkToFit="1"/>
      <protection/>
    </xf>
    <xf numFmtId="0" fontId="27" fillId="0" borderId="138" xfId="60" applyFont="1" applyBorder="1" applyAlignment="1">
      <alignment horizontal="center" vertical="center" shrinkToFit="1"/>
      <protection/>
    </xf>
    <xf numFmtId="0" fontId="27" fillId="0" borderId="63" xfId="60" applyFont="1" applyBorder="1" applyAlignment="1">
      <alignment horizontal="center" vertical="center"/>
      <protection/>
    </xf>
    <xf numFmtId="0" fontId="27" fillId="0" borderId="8" xfId="60" applyFont="1" applyBorder="1" applyAlignment="1">
      <alignment horizontal="center" vertical="center"/>
      <protection/>
    </xf>
    <xf numFmtId="0" fontId="27" fillId="0" borderId="36" xfId="60" applyFont="1" applyBorder="1" applyAlignment="1">
      <alignment horizontal="center" vertical="center"/>
      <protection/>
    </xf>
    <xf numFmtId="0" fontId="27" fillId="0" borderId="122" xfId="60" applyFont="1" applyBorder="1" applyAlignment="1">
      <alignment horizontal="center" vertical="center" shrinkToFit="1"/>
      <protection/>
    </xf>
    <xf numFmtId="0" fontId="27" fillId="0" borderId="139" xfId="60" applyFont="1" applyBorder="1" applyAlignment="1">
      <alignment horizontal="center" vertical="center" shrinkToFit="1"/>
      <protection/>
    </xf>
    <xf numFmtId="0" fontId="27" fillId="0" borderId="36" xfId="60" applyFont="1" applyBorder="1" applyAlignment="1">
      <alignment horizontal="center" vertical="center" shrinkToFit="1"/>
      <protection/>
    </xf>
    <xf numFmtId="0" fontId="27" fillId="0" borderId="57" xfId="60" applyFont="1" applyBorder="1" applyAlignment="1">
      <alignment horizontal="center" vertical="center" shrinkToFit="1"/>
      <protection/>
    </xf>
    <xf numFmtId="0" fontId="27" fillId="0" borderId="8" xfId="60" applyFont="1" applyBorder="1" applyAlignment="1">
      <alignment horizontal="center" vertical="center" shrinkToFit="1"/>
      <protection/>
    </xf>
    <xf numFmtId="0" fontId="27" fillId="0" borderId="140" xfId="60" applyFont="1" applyBorder="1" applyAlignment="1">
      <alignment horizontal="center" vertical="center" shrinkToFit="1"/>
      <protection/>
    </xf>
    <xf numFmtId="0" fontId="27" fillId="0" borderId="32" xfId="60" applyFont="1" applyBorder="1" applyAlignment="1">
      <alignment horizontal="center" vertical="center" shrinkToFit="1"/>
      <protection/>
    </xf>
    <xf numFmtId="0" fontId="27" fillId="0" borderId="141" xfId="60" applyFont="1" applyBorder="1" applyAlignment="1">
      <alignment horizontal="center" vertical="center" shrinkToFit="1"/>
      <protection/>
    </xf>
    <xf numFmtId="0" fontId="27" fillId="0" borderId="23" xfId="60" applyFont="1" applyBorder="1" applyAlignment="1">
      <alignment horizontal="center" vertical="center" shrinkToFit="1"/>
      <protection/>
    </xf>
    <xf numFmtId="0" fontId="27" fillId="0" borderId="18" xfId="60" applyFont="1" applyBorder="1" applyAlignment="1">
      <alignment horizontal="center" vertical="center" shrinkToFit="1"/>
      <protection/>
    </xf>
    <xf numFmtId="0" fontId="27" fillId="0" borderId="20" xfId="60" applyFont="1" applyBorder="1" applyAlignment="1">
      <alignment horizontal="center" vertical="center" shrinkToFit="1"/>
      <protection/>
    </xf>
    <xf numFmtId="0" fontId="27" fillId="0" borderId="142" xfId="60" applyFont="1" applyBorder="1" applyAlignment="1">
      <alignment horizontal="center" vertical="center" shrinkToFit="1"/>
      <protection/>
    </xf>
    <xf numFmtId="0" fontId="53" fillId="0" borderId="0" xfId="60" applyFont="1" applyAlignment="1">
      <alignment horizontal="center" vertical="center"/>
      <protection/>
    </xf>
    <xf numFmtId="0" fontId="27" fillId="0" borderId="14" xfId="60" applyFont="1" applyBorder="1" applyAlignment="1">
      <alignment horizontal="center" vertical="center"/>
      <protection/>
    </xf>
    <xf numFmtId="0" fontId="49" fillId="0" borderId="20" xfId="60" applyFont="1" applyBorder="1" applyAlignment="1">
      <alignment horizontal="center" vertical="center"/>
      <protection/>
    </xf>
    <xf numFmtId="0" fontId="49" fillId="0" borderId="23" xfId="60" applyFont="1" applyBorder="1" applyAlignment="1">
      <alignment horizontal="center" vertical="center"/>
      <protection/>
    </xf>
    <xf numFmtId="0" fontId="49" fillId="0" borderId="18" xfId="60" applyFont="1" applyBorder="1" applyAlignment="1">
      <alignment horizontal="center" vertical="center"/>
      <protection/>
    </xf>
    <xf numFmtId="0" fontId="27" fillId="0" borderId="15" xfId="60" applyFont="1" applyBorder="1" applyAlignment="1">
      <alignment horizontal="center" vertical="center"/>
      <protection/>
    </xf>
    <xf numFmtId="0" fontId="54" fillId="0" borderId="2" xfId="60" applyFont="1" applyBorder="1" applyAlignment="1">
      <alignment horizontal="center" vertical="center"/>
      <protection/>
    </xf>
    <xf numFmtId="0" fontId="54" fillId="0" borderId="3" xfId="60" applyFont="1" applyBorder="1" applyAlignment="1">
      <alignment horizontal="center" vertical="center"/>
      <protection/>
    </xf>
    <xf numFmtId="0" fontId="54" fillId="0" borderId="143" xfId="60" applyFont="1" applyBorder="1" applyAlignment="1">
      <alignment horizontal="center" vertical="center"/>
      <protection/>
    </xf>
    <xf numFmtId="0" fontId="54" fillId="0" borderId="4" xfId="60" applyFont="1" applyBorder="1" applyAlignment="1">
      <alignment horizontal="center" vertical="center"/>
      <protection/>
    </xf>
    <xf numFmtId="0" fontId="54" fillId="0" borderId="6" xfId="60" applyFont="1" applyBorder="1" applyAlignment="1">
      <alignment horizontal="center" vertical="center"/>
      <protection/>
    </xf>
    <xf numFmtId="0" fontId="7" fillId="0" borderId="63" xfId="47" applyFont="1" applyBorder="1" applyAlignment="1">
      <alignment horizontal="center" vertical="center" shrinkToFit="1"/>
      <protection/>
    </xf>
    <xf numFmtId="0" fontId="7" fillId="0" borderId="120" xfId="47" applyFont="1" applyBorder="1" applyAlignment="1">
      <alignment horizontal="center" vertical="center" shrinkToFit="1"/>
      <protection/>
    </xf>
    <xf numFmtId="0" fontId="0" fillId="8" borderId="17" xfId="0" applyFill="1" applyBorder="1" applyAlignment="1">
      <alignment horizontal="center" vertical="center" shrinkToFit="1"/>
    </xf>
    <xf numFmtId="0" fontId="0" fillId="8" borderId="14" xfId="0" applyFill="1" applyBorder="1" applyAlignment="1">
      <alignment horizontal="center" vertical="center" shrinkToFit="1"/>
    </xf>
    <xf numFmtId="0" fontId="60" fillId="0" borderId="36" xfId="0" applyFont="1" applyBorder="1" applyAlignment="1">
      <alignment horizontal="center" vertical="center"/>
    </xf>
    <xf numFmtId="0" fontId="60" fillId="0" borderId="121" xfId="0" applyFont="1" applyBorder="1" applyAlignment="1">
      <alignment horizontal="center" vertical="center"/>
    </xf>
    <xf numFmtId="20" fontId="0" fillId="0" borderId="46" xfId="0" applyNumberFormat="1" applyBorder="1" applyAlignment="1">
      <alignment horizontal="center" vertical="center"/>
    </xf>
    <xf numFmtId="20" fontId="0" fillId="0" borderId="41" xfId="0" applyNumberFormat="1" applyBorder="1" applyAlignment="1">
      <alignment horizontal="center" vertical="center"/>
    </xf>
    <xf numFmtId="20" fontId="0" fillId="0" borderId="144" xfId="0" applyNumberFormat="1" applyBorder="1" applyAlignment="1">
      <alignment horizontal="center" vertical="center"/>
    </xf>
    <xf numFmtId="0" fontId="0" fillId="8" borderId="53" xfId="0" applyFill="1" applyBorder="1" applyAlignment="1">
      <alignment horizontal="center" vertical="center" shrinkToFit="1"/>
    </xf>
    <xf numFmtId="0" fontId="0" fillId="8" borderId="0" xfId="0" applyFill="1" applyAlignment="1">
      <alignment horizontal="center" vertical="center" shrinkToFit="1"/>
    </xf>
    <xf numFmtId="0" fontId="0" fillId="8" borderId="72" xfId="0" applyFill="1" applyBorder="1" applyAlignment="1">
      <alignment horizontal="center" vertical="center" shrinkToFit="1"/>
    </xf>
    <xf numFmtId="0" fontId="63" fillId="8" borderId="53" xfId="0" applyFont="1" applyFill="1" applyBorder="1" applyAlignment="1">
      <alignment horizontal="center" vertical="center"/>
    </xf>
    <xf numFmtId="0" fontId="63" fillId="8" borderId="0" xfId="0" applyFont="1" applyFill="1" applyAlignment="1">
      <alignment horizontal="center" vertical="center"/>
    </xf>
    <xf numFmtId="0" fontId="63" fillId="8" borderId="72" xfId="0" applyFont="1" applyFill="1" applyBorder="1" applyAlignment="1">
      <alignment horizontal="center" vertical="center"/>
    </xf>
    <xf numFmtId="0" fontId="0" fillId="0" borderId="53" xfId="0" applyBorder="1" applyAlignment="1">
      <alignment horizontal="center" vertical="center"/>
    </xf>
    <xf numFmtId="0" fontId="0" fillId="0" borderId="0" xfId="0" applyAlignment="1">
      <alignment horizontal="center" vertical="center"/>
    </xf>
    <xf numFmtId="0" fontId="0" fillId="0" borderId="72" xfId="0" applyBorder="1" applyAlignment="1">
      <alignment horizontal="center" vertical="center"/>
    </xf>
    <xf numFmtId="0" fontId="0" fillId="8" borderId="90" xfId="0" applyFill="1" applyBorder="1" applyAlignment="1">
      <alignment horizontal="center" vertical="center" shrinkToFit="1"/>
    </xf>
    <xf numFmtId="0" fontId="0" fillId="8" borderId="42" xfId="0" applyFill="1" applyBorder="1" applyAlignment="1">
      <alignment horizontal="center" vertical="center" shrinkToFit="1"/>
    </xf>
    <xf numFmtId="0" fontId="0" fillId="8" borderId="145" xfId="0" applyFill="1"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8" borderId="34" xfId="0" applyFill="1" applyBorder="1" applyAlignment="1">
      <alignment horizontal="center" vertical="center"/>
    </xf>
    <xf numFmtId="0" fontId="0" fillId="8" borderId="146" xfId="0" applyFill="1" applyBorder="1" applyAlignment="1">
      <alignment horizontal="center" vertical="center"/>
    </xf>
    <xf numFmtId="0" fontId="0" fillId="8" borderId="147" xfId="0" applyFill="1" applyBorder="1" applyAlignment="1">
      <alignment horizontal="center" vertical="center"/>
    </xf>
    <xf numFmtId="0" fontId="0" fillId="8" borderId="148" xfId="0" applyFill="1" applyBorder="1" applyAlignment="1">
      <alignment horizontal="center" vertical="center"/>
    </xf>
    <xf numFmtId="0" fontId="61" fillId="0" borderId="0" xfId="59" applyFont="1" applyAlignment="1">
      <alignment horizontal="center" vertical="center" shrinkToFit="1"/>
      <protection/>
    </xf>
    <xf numFmtId="0" fontId="0" fillId="0" borderId="0" xfId="0" applyAlignment="1">
      <alignment vertical="center"/>
    </xf>
    <xf numFmtId="0" fontId="0" fillId="8" borderId="149" xfId="0" applyFill="1" applyBorder="1" applyAlignment="1">
      <alignment horizontal="center" vertical="center"/>
    </xf>
    <xf numFmtId="0" fontId="0" fillId="8" borderId="150" xfId="0" applyFill="1" applyBorder="1" applyAlignment="1">
      <alignment horizontal="center" vertical="center"/>
    </xf>
    <xf numFmtId="0" fontId="7" fillId="0" borderId="63" xfId="47" applyFont="1" applyBorder="1" applyAlignment="1">
      <alignment horizontal="center" vertical="center" wrapText="1" shrinkToFit="1"/>
      <protection/>
    </xf>
    <xf numFmtId="20" fontId="29" fillId="0" borderId="14" xfId="0" applyNumberFormat="1" applyFont="1" applyBorder="1" applyAlignment="1">
      <alignment horizontal="center" vertical="center"/>
    </xf>
    <xf numFmtId="20" fontId="29" fillId="0" borderId="15" xfId="0" applyNumberFormat="1" applyFont="1" applyBorder="1" applyAlignment="1">
      <alignment horizontal="center" vertical="center"/>
    </xf>
    <xf numFmtId="0" fontId="55" fillId="0" borderId="46" xfId="0" applyFont="1" applyBorder="1" applyAlignment="1">
      <alignment horizontal="center" vertical="center" shrinkToFit="1"/>
    </xf>
    <xf numFmtId="0" fontId="55" fillId="0" borderId="53" xfId="0" applyFont="1" applyBorder="1" applyAlignment="1">
      <alignment horizontal="center" vertical="center" shrinkToFit="1"/>
    </xf>
    <xf numFmtId="0" fontId="55" fillId="0" borderId="90" xfId="0" applyFont="1" applyBorder="1" applyAlignment="1">
      <alignment horizontal="center" vertical="center" shrinkToFit="1"/>
    </xf>
    <xf numFmtId="0" fontId="55" fillId="0" borderId="66" xfId="0" applyFont="1" applyBorder="1" applyAlignment="1">
      <alignment horizontal="center" vertical="center" shrinkToFit="1"/>
    </xf>
    <xf numFmtId="0" fontId="55" fillId="0" borderId="37" xfId="0" applyFont="1" applyBorder="1" applyAlignment="1">
      <alignment horizontal="center" vertical="center" shrinkToFit="1"/>
    </xf>
    <xf numFmtId="0" fontId="55" fillId="0" borderId="82" xfId="0" applyFont="1" applyBorder="1" applyAlignment="1">
      <alignment horizontal="center" vertical="center" shrinkToFit="1"/>
    </xf>
    <xf numFmtId="0" fontId="13" fillId="0" borderId="0" xfId="0" applyFont="1" applyAlignment="1">
      <alignment horizontal="center" vertical="center"/>
    </xf>
    <xf numFmtId="0" fontId="13" fillId="0" borderId="46" xfId="0" applyFont="1" applyBorder="1" applyAlignment="1">
      <alignment horizontal="center" vertical="center" shrinkToFit="1"/>
    </xf>
    <xf numFmtId="0" fontId="13" fillId="0" borderId="53" xfId="0" applyFont="1" applyBorder="1" applyAlignment="1">
      <alignment horizontal="center" vertical="center" shrinkToFit="1"/>
    </xf>
    <xf numFmtId="0" fontId="13" fillId="0" borderId="41" xfId="0" applyFont="1" applyBorder="1" applyAlignment="1">
      <alignment horizontal="center" vertical="center" shrinkToFit="1"/>
    </xf>
    <xf numFmtId="0" fontId="13" fillId="0" borderId="0" xfId="0" applyFont="1" applyAlignment="1">
      <alignment horizontal="center" vertical="center" shrinkToFit="1"/>
    </xf>
    <xf numFmtId="0" fontId="16" fillId="0" borderId="53" xfId="0" applyFont="1" applyBorder="1" applyAlignment="1">
      <alignment horizontal="center" vertical="center" shrinkToFit="1"/>
    </xf>
    <xf numFmtId="0" fontId="16" fillId="0" borderId="0" xfId="0" applyFont="1" applyAlignment="1">
      <alignment horizontal="center" vertical="center" shrinkToFit="1"/>
    </xf>
    <xf numFmtId="0" fontId="16" fillId="0" borderId="37" xfId="0" applyFont="1" applyBorder="1" applyAlignment="1">
      <alignment horizontal="center" vertical="center" shrinkToFit="1"/>
    </xf>
    <xf numFmtId="0" fontId="13" fillId="0" borderId="90" xfId="0" applyFont="1" applyBorder="1" applyAlignment="1">
      <alignment horizontal="center" vertical="center" shrinkToFit="1"/>
    </xf>
    <xf numFmtId="0" fontId="13" fillId="0" borderId="42" xfId="0" applyFont="1" applyBorder="1" applyAlignment="1">
      <alignment horizontal="center" vertical="center" shrinkToFit="1"/>
    </xf>
    <xf numFmtId="0" fontId="16" fillId="0" borderId="53" xfId="0" applyFont="1" applyBorder="1" applyAlignment="1">
      <alignment horizontal="center" vertical="center" wrapText="1" shrinkToFit="1"/>
    </xf>
    <xf numFmtId="0" fontId="16" fillId="0" borderId="0" xfId="0" applyFont="1" applyAlignment="1">
      <alignment horizontal="center" vertical="center" wrapText="1" shrinkToFit="1"/>
    </xf>
    <xf numFmtId="0" fontId="16" fillId="0" borderId="37" xfId="0" applyFont="1" applyBorder="1" applyAlignment="1">
      <alignment horizontal="center" vertical="center" wrapText="1" shrinkToFit="1"/>
    </xf>
    <xf numFmtId="0" fontId="13" fillId="0" borderId="15" xfId="0" applyFont="1" applyBorder="1" applyAlignment="1">
      <alignment horizontal="center" vertical="center" shrinkToFit="1"/>
    </xf>
    <xf numFmtId="0" fontId="13" fillId="0" borderId="17" xfId="0" applyFont="1" applyBorder="1" applyAlignment="1">
      <alignment horizontal="center" vertical="center" shrinkToFit="1"/>
    </xf>
    <xf numFmtId="0" fontId="32" fillId="0" borderId="0" xfId="0" applyFont="1" applyAlignment="1">
      <alignment horizontal="center" vertical="center"/>
    </xf>
    <xf numFmtId="0" fontId="13" fillId="0" borderId="41" xfId="0" applyFont="1" applyBorder="1" applyAlignment="1">
      <alignment horizontal="center" vertical="center"/>
    </xf>
    <xf numFmtId="0" fontId="13" fillId="0" borderId="66" xfId="0" applyFont="1" applyBorder="1" applyAlignment="1">
      <alignment horizontal="center" vertical="center"/>
    </xf>
    <xf numFmtId="0" fontId="13" fillId="0" borderId="37" xfId="0" applyFont="1" applyBorder="1" applyAlignment="1">
      <alignment horizontal="center" vertical="center"/>
    </xf>
    <xf numFmtId="0" fontId="13" fillId="0" borderId="42" xfId="0" applyFont="1" applyBorder="1" applyAlignment="1">
      <alignment horizontal="center" vertical="center"/>
    </xf>
    <xf numFmtId="0" fontId="13" fillId="0" borderId="82" xfId="0" applyFont="1" applyBorder="1" applyAlignment="1">
      <alignment horizontal="center" vertical="center"/>
    </xf>
    <xf numFmtId="0" fontId="13" fillId="0" borderId="66" xfId="0" applyFont="1" applyBorder="1" applyAlignment="1">
      <alignment horizontal="center" vertical="center" shrinkToFit="1"/>
    </xf>
    <xf numFmtId="0" fontId="13" fillId="0" borderId="37" xfId="0" applyFont="1" applyBorder="1" applyAlignment="1">
      <alignment horizontal="center" vertical="center" shrinkToFit="1"/>
    </xf>
    <xf numFmtId="0" fontId="13" fillId="0" borderId="82" xfId="0" applyFont="1" applyBorder="1" applyAlignment="1">
      <alignment horizontal="center" vertical="center" shrinkToFit="1"/>
    </xf>
    <xf numFmtId="0" fontId="32" fillId="0" borderId="36" xfId="0" applyFont="1" applyBorder="1" applyAlignment="1">
      <alignment horizontal="center" vertical="center"/>
    </xf>
    <xf numFmtId="0" fontId="13" fillId="0" borderId="8" xfId="0" applyFont="1" applyBorder="1" applyAlignment="1">
      <alignment horizontal="center" vertical="center" shrinkToFit="1"/>
    </xf>
    <xf numFmtId="0" fontId="13" fillId="0" borderId="57" xfId="0" applyFont="1" applyBorder="1" applyAlignment="1">
      <alignment horizontal="center" vertical="center" shrinkToFit="1"/>
    </xf>
    <xf numFmtId="0" fontId="27" fillId="0" borderId="62" xfId="0" applyFont="1" applyBorder="1" applyAlignment="1">
      <alignment horizontal="center" vertical="center"/>
    </xf>
    <xf numFmtId="0" fontId="27" fillId="0" borderId="64" xfId="0" applyFont="1" applyBorder="1"/>
    <xf numFmtId="0" fontId="27" fillId="0" borderId="64" xfId="0" applyFont="1" applyBorder="1" applyAlignment="1">
      <alignment horizontal="center" vertical="center"/>
    </xf>
    <xf numFmtId="0" fontId="32" fillId="0" borderId="62" xfId="0" applyFont="1" applyBorder="1" applyAlignment="1">
      <alignment horizontal="center" vertical="center"/>
    </xf>
    <xf numFmtId="0" fontId="32" fillId="0" borderId="93" xfId="0" applyFont="1" applyBorder="1" applyAlignment="1">
      <alignment horizontal="center" vertical="center"/>
    </xf>
    <xf numFmtId="0" fontId="32" fillId="0" borderId="64" xfId="0" applyFont="1" applyBorder="1" applyAlignment="1">
      <alignment horizontal="center" vertical="center"/>
    </xf>
    <xf numFmtId="0" fontId="32" fillId="0" borderId="63" xfId="0" applyFont="1" applyBorder="1" applyAlignment="1">
      <alignment horizontal="center" vertical="center"/>
    </xf>
    <xf numFmtId="0" fontId="32" fillId="0" borderId="8" xfId="0" applyFont="1" applyBorder="1" applyAlignment="1">
      <alignment horizontal="center" vertical="center"/>
    </xf>
    <xf numFmtId="0" fontId="32" fillId="0" borderId="100" xfId="0" applyFont="1" applyBorder="1" applyAlignment="1">
      <alignment horizontal="center" vertical="center"/>
    </xf>
    <xf numFmtId="0" fontId="32" fillId="0" borderId="57" xfId="0" applyFont="1" applyBorder="1" applyAlignment="1">
      <alignment horizontal="center" vertical="center"/>
    </xf>
    <xf numFmtId="0" fontId="13" fillId="0" borderId="62" xfId="0" applyFont="1" applyBorder="1" applyAlignment="1">
      <alignment horizontal="center" vertical="center" wrapText="1"/>
    </xf>
    <xf numFmtId="0" fontId="13" fillId="0" borderId="64" xfId="0" applyFont="1" applyBorder="1" applyAlignment="1">
      <alignment horizontal="center" vertical="center" wrapText="1"/>
    </xf>
    <xf numFmtId="0" fontId="13" fillId="0" borderId="99" xfId="0" applyFont="1" applyBorder="1" applyAlignment="1">
      <alignment horizontal="center" vertical="center" wrapText="1"/>
    </xf>
    <xf numFmtId="0" fontId="13" fillId="0" borderId="50" xfId="0" applyFont="1" applyBorder="1" applyAlignment="1">
      <alignment horizontal="center" vertical="center" wrapText="1"/>
    </xf>
    <xf numFmtId="0" fontId="13" fillId="0" borderId="8" xfId="0" applyFont="1" applyBorder="1" applyAlignment="1">
      <alignment horizontal="center" vertical="center" wrapText="1"/>
    </xf>
    <xf numFmtId="0" fontId="13" fillId="0" borderId="57" xfId="0" applyFont="1" applyBorder="1" applyAlignment="1">
      <alignment horizontal="center" vertical="center" wrapText="1"/>
    </xf>
    <xf numFmtId="0" fontId="28" fillId="0" borderId="112" xfId="0" applyFont="1" applyBorder="1" applyAlignment="1">
      <alignment horizontal="center" vertical="center"/>
    </xf>
    <xf numFmtId="0" fontId="28" fillId="0" borderId="11" xfId="0" applyFont="1" applyBorder="1" applyAlignment="1">
      <alignment horizontal="center" vertical="center"/>
    </xf>
    <xf numFmtId="0" fontId="28" fillId="0" borderId="13" xfId="0" applyFont="1" applyBorder="1" applyAlignment="1">
      <alignment horizontal="center" vertical="center"/>
    </xf>
    <xf numFmtId="0" fontId="28" fillId="0" borderId="32" xfId="0" applyFont="1" applyBorder="1" applyAlignment="1">
      <alignment horizontal="center" vertical="center"/>
    </xf>
    <xf numFmtId="0" fontId="28" fillId="0" borderId="19" xfId="0" applyFont="1" applyBorder="1" applyAlignment="1">
      <alignment horizontal="center" vertical="center"/>
    </xf>
    <xf numFmtId="0" fontId="28" fillId="0" borderId="21" xfId="0" applyFont="1" applyBorder="1" applyAlignment="1">
      <alignment horizontal="center" vertical="center"/>
    </xf>
    <xf numFmtId="0" fontId="54" fillId="0" borderId="0" xfId="0" applyFont="1" applyAlignment="1">
      <alignment horizontal="center" vertical="center"/>
    </xf>
    <xf numFmtId="0" fontId="54" fillId="0" borderId="50" xfId="0" applyFont="1" applyBorder="1" applyAlignment="1">
      <alignment horizontal="center" vertical="center"/>
    </xf>
    <xf numFmtId="0" fontId="29" fillId="0" borderId="15" xfId="0" applyFont="1" applyBorder="1" applyAlignment="1">
      <alignment horizontal="center" vertical="center"/>
    </xf>
    <xf numFmtId="0" fontId="29" fillId="0" borderId="27" xfId="0" applyFont="1" applyBorder="1" applyAlignment="1">
      <alignment horizontal="center" vertical="center"/>
    </xf>
    <xf numFmtId="0" fontId="29" fillId="0" borderId="17" xfId="0" applyFont="1" applyBorder="1" applyAlignment="1">
      <alignment horizontal="center" vertical="center"/>
    </xf>
    <xf numFmtId="0" fontId="54" fillId="0" borderId="0" xfId="0" applyFont="1" applyAlignment="1">
      <alignment vertical="center"/>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51" fillId="0" borderId="112" xfId="0" applyFont="1" applyBorder="1" applyAlignment="1">
      <alignment horizontal="center" vertical="center"/>
    </xf>
    <xf numFmtId="0" fontId="51" fillId="0" borderId="11" xfId="0" applyFont="1" applyBorder="1" applyAlignment="1">
      <alignment horizontal="center" vertical="center"/>
    </xf>
    <xf numFmtId="0" fontId="51" fillId="0" borderId="13" xfId="0" applyFont="1" applyBorder="1" applyAlignment="1">
      <alignment horizontal="center" vertical="center"/>
    </xf>
    <xf numFmtId="0" fontId="51" fillId="0" borderId="32" xfId="0" applyFont="1" applyBorder="1" applyAlignment="1">
      <alignment horizontal="center" vertical="center"/>
    </xf>
    <xf numFmtId="0" fontId="51" fillId="0" borderId="19" xfId="0" applyFont="1" applyBorder="1" applyAlignment="1">
      <alignment horizontal="center" vertical="center"/>
    </xf>
    <xf numFmtId="0" fontId="51" fillId="0" borderId="21" xfId="0" applyFont="1" applyBorder="1" applyAlignment="1">
      <alignment horizontal="center" vertical="center"/>
    </xf>
    <xf numFmtId="0" fontId="29" fillId="0" borderId="0" xfId="0" applyFont="1" applyAlignment="1">
      <alignment horizontal="left" vertical="center" shrinkToFit="1"/>
    </xf>
    <xf numFmtId="0" fontId="27" fillId="0" borderId="8" xfId="0" applyFont="1" applyBorder="1" applyAlignment="1">
      <alignment horizontal="center" vertical="center"/>
    </xf>
    <xf numFmtId="0" fontId="27" fillId="0" borderId="36" xfId="0" applyFont="1" applyBorder="1" applyAlignment="1">
      <alignment horizontal="center" vertical="center"/>
    </xf>
    <xf numFmtId="0" fontId="27" fillId="0" borderId="27" xfId="0" applyFont="1" applyBorder="1" applyAlignment="1">
      <alignment horizontal="center" vertical="center"/>
    </xf>
    <xf numFmtId="0" fontId="7" fillId="17" borderId="63" xfId="47" applyFont="1" applyFill="1" applyBorder="1" applyAlignment="1">
      <alignment horizontal="center" vertical="center" shrinkToFit="1"/>
      <protection/>
    </xf>
    <xf numFmtId="0" fontId="7" fillId="17" borderId="120" xfId="47" applyFont="1" applyFill="1" applyBorder="1" applyAlignment="1">
      <alignment horizontal="center" vertical="center" shrinkToFit="1"/>
      <protection/>
    </xf>
    <xf numFmtId="0" fontId="0" fillId="17" borderId="17" xfId="0" applyFill="1" applyBorder="1" applyAlignment="1">
      <alignment horizontal="center" vertical="center" shrinkToFit="1"/>
    </xf>
    <xf numFmtId="0" fontId="0" fillId="17" borderId="14" xfId="0" applyFill="1" applyBorder="1" applyAlignment="1">
      <alignment horizontal="center" vertical="center" shrinkToFit="1"/>
    </xf>
    <xf numFmtId="0" fontId="0" fillId="0" borderId="53" xfId="0" applyBorder="1" applyAlignment="1">
      <alignment horizontal="center" vertical="center" shrinkToFit="1"/>
    </xf>
    <xf numFmtId="0" fontId="0" fillId="0" borderId="0" xfId="0" applyAlignment="1">
      <alignment horizontal="center" vertical="center" shrinkToFit="1"/>
    </xf>
    <xf numFmtId="0" fontId="0" fillId="0" borderId="72" xfId="0" applyBorder="1" applyAlignment="1">
      <alignment horizontal="center" vertical="center" shrinkToFit="1"/>
    </xf>
    <xf numFmtId="0" fontId="0" fillId="0" borderId="90" xfId="0" applyBorder="1" applyAlignment="1">
      <alignment horizontal="center" vertical="center" shrinkToFit="1"/>
    </xf>
    <xf numFmtId="0" fontId="0" fillId="0" borderId="42" xfId="0" applyBorder="1" applyAlignment="1">
      <alignment horizontal="center" vertical="center" shrinkToFit="1"/>
    </xf>
    <xf numFmtId="0" fontId="0" fillId="0" borderId="145" xfId="0" applyBorder="1" applyAlignment="1">
      <alignment horizontal="center" vertical="center" shrinkToFit="1"/>
    </xf>
    <xf numFmtId="0" fontId="65" fillId="0" borderId="37" xfId="55" applyFont="1" applyFill="1" applyBorder="1" applyAlignment="1">
      <alignment horizontal="center" vertical="center"/>
      <protection/>
    </xf>
    <xf numFmtId="0" fontId="66" fillId="0" borderId="37" xfId="55" applyFont="1" applyFill="1" applyBorder="1" applyAlignment="1">
      <alignment horizontal="center" vertical="center"/>
      <protection/>
    </xf>
    <xf numFmtId="0" fontId="36" fillId="0" borderId="37" xfId="55" applyFont="1" applyFill="1" applyBorder="1" applyAlignment="1">
      <alignment horizontal="center" vertical="center"/>
      <protection/>
    </xf>
    <xf numFmtId="0" fontId="36" fillId="0" borderId="37" xfId="55" applyFont="1" applyFill="1" applyBorder="1" applyAlignment="1" quotePrefix="1">
      <alignment horizontal="center" vertical="center"/>
      <protection/>
    </xf>
    <xf numFmtId="0" fontId="5" fillId="0" borderId="0" xfId="55" applyFont="1" applyFill="1" applyAlignment="1">
      <alignment horizontal="center" vertical="center"/>
      <protection/>
    </xf>
    <xf numFmtId="0" fontId="5" fillId="0" borderId="37" xfId="55" applyFont="1" applyFill="1" applyBorder="1" applyAlignment="1">
      <alignment horizontal="center" vertical="center"/>
      <protection/>
    </xf>
    <xf numFmtId="0" fontId="5" fillId="0" borderId="0" xfId="55" applyFont="1" applyFill="1" applyAlignment="1">
      <alignment vertical="center"/>
      <protection/>
    </xf>
    <xf numFmtId="0" fontId="67" fillId="0" borderId="46" xfId="55" applyFont="1" applyFill="1" applyBorder="1" applyAlignment="1">
      <alignment horizontal="center" vertical="center" shrinkToFit="1"/>
      <protection/>
    </xf>
    <xf numFmtId="0" fontId="67" fillId="0" borderId="54" xfId="55" applyFont="1" applyFill="1" applyBorder="1" applyAlignment="1">
      <alignment horizontal="center" vertical="center" shrinkToFit="1"/>
      <protection/>
    </xf>
    <xf numFmtId="0" fontId="68" fillId="0" borderId="109" xfId="55" applyFont="1" applyFill="1" applyBorder="1" applyAlignment="1">
      <alignment horizontal="center" vertical="center" wrapText="1" shrinkToFit="1"/>
      <protection/>
    </xf>
    <xf numFmtId="0" fontId="68" fillId="0" borderId="53" xfId="55" applyFont="1" applyFill="1" applyBorder="1" applyAlignment="1">
      <alignment horizontal="center" vertical="center" shrinkToFit="1"/>
      <protection/>
    </xf>
    <xf numFmtId="0" fontId="68" fillId="0" borderId="54" xfId="55" applyFont="1" applyFill="1" applyBorder="1" applyAlignment="1">
      <alignment horizontal="center" vertical="center" shrinkToFit="1"/>
      <protection/>
    </xf>
    <xf numFmtId="0" fontId="67" fillId="0" borderId="12" xfId="55" applyFont="1" applyFill="1" applyBorder="1" applyAlignment="1">
      <alignment horizontal="center" vertical="center" shrinkToFit="1"/>
      <protection/>
    </xf>
    <xf numFmtId="0" fontId="67" fillId="0" borderId="22" xfId="55" applyFont="1" applyFill="1" applyBorder="1" applyAlignment="1">
      <alignment horizontal="center" vertical="center" shrinkToFit="1"/>
      <protection/>
    </xf>
    <xf numFmtId="0" fontId="67" fillId="0" borderId="10" xfId="55" applyFont="1" applyFill="1" applyBorder="1" applyAlignment="1">
      <alignment horizontal="center" vertical="center" shrinkToFit="1"/>
      <protection/>
    </xf>
    <xf numFmtId="0" fontId="68" fillId="0" borderId="109" xfId="55" applyFont="1" applyFill="1" applyBorder="1" applyAlignment="1">
      <alignment horizontal="center" vertical="center" shrinkToFit="1"/>
      <protection/>
    </xf>
    <xf numFmtId="0" fontId="68" fillId="0" borderId="53" xfId="55" applyFont="1" applyFill="1" applyBorder="1" applyAlignment="1">
      <alignment horizontal="center" vertical="center" shrinkToFit="1"/>
      <protection/>
    </xf>
    <xf numFmtId="0" fontId="68" fillId="0" borderId="54" xfId="55" applyFont="1" applyFill="1" applyBorder="1" applyAlignment="1">
      <alignment horizontal="center" vertical="center" shrinkToFit="1"/>
      <protection/>
    </xf>
    <xf numFmtId="0" fontId="67" fillId="0" borderId="109" xfId="55" applyFont="1" applyFill="1" applyBorder="1" applyAlignment="1">
      <alignment horizontal="center" vertical="center" shrinkToFit="1"/>
      <protection/>
    </xf>
    <xf numFmtId="0" fontId="67" fillId="0" borderId="151" xfId="55" applyFont="1" applyFill="1" applyBorder="1" applyAlignment="1">
      <alignment horizontal="center" vertical="center" shrinkToFit="1"/>
      <protection/>
    </xf>
    <xf numFmtId="0" fontId="67" fillId="0" borderId="53" xfId="55" applyFont="1" applyFill="1" applyBorder="1" applyAlignment="1">
      <alignment horizontal="center" vertical="center" shrinkToFit="1"/>
      <protection/>
    </xf>
    <xf numFmtId="0" fontId="67" fillId="0" borderId="90" xfId="55" applyFont="1" applyFill="1" applyBorder="1" applyAlignment="1">
      <alignment horizontal="center" vertical="center" shrinkToFit="1"/>
      <protection/>
    </xf>
    <xf numFmtId="0" fontId="67" fillId="0" borderId="41" xfId="55" applyFont="1" applyFill="1" applyBorder="1" applyAlignment="1">
      <alignment horizontal="center" vertical="center" shrinkToFit="1"/>
      <protection/>
    </xf>
    <xf numFmtId="0" fontId="67" fillId="0" borderId="0" xfId="55" applyFont="1" applyFill="1" applyAlignment="1">
      <alignment horizontal="center" vertical="center" shrinkToFit="1"/>
      <protection/>
    </xf>
    <xf numFmtId="0" fontId="68" fillId="0" borderId="99" xfId="55" applyFont="1" applyFill="1" applyBorder="1" applyAlignment="1">
      <alignment horizontal="center" vertical="center" shrinkToFit="1"/>
      <protection/>
    </xf>
    <xf numFmtId="0" fontId="68" fillId="0" borderId="0" xfId="55" applyFont="1" applyFill="1" applyAlignment="1">
      <alignment horizontal="center" vertical="center" shrinkToFit="1"/>
      <protection/>
    </xf>
    <xf numFmtId="0" fontId="68" fillId="0" borderId="50" xfId="55" applyFont="1" applyFill="1" applyBorder="1" applyAlignment="1">
      <alignment horizontal="center" vertical="center" shrinkToFit="1"/>
      <protection/>
    </xf>
    <xf numFmtId="0" fontId="67" fillId="0" borderId="62" xfId="55" applyFont="1" applyFill="1" applyBorder="1" applyAlignment="1">
      <alignment horizontal="center" vertical="center" shrinkToFit="1"/>
      <protection/>
    </xf>
    <xf numFmtId="0" fontId="67" fillId="0" borderId="64" xfId="55" applyFont="1" applyFill="1" applyBorder="1" applyAlignment="1">
      <alignment horizontal="center" vertical="center" shrinkToFit="1"/>
      <protection/>
    </xf>
    <xf numFmtId="0" fontId="67" fillId="0" borderId="8" xfId="55" applyFont="1" applyFill="1" applyBorder="1" applyAlignment="1">
      <alignment horizontal="center" vertical="center" shrinkToFit="1"/>
      <protection/>
    </xf>
    <xf numFmtId="0" fontId="67" fillId="0" borderId="152" xfId="55" applyFont="1" applyFill="1" applyBorder="1" applyAlignment="1">
      <alignment horizontal="center" vertical="center" shrinkToFit="1"/>
      <protection/>
    </xf>
    <xf numFmtId="0" fontId="67" fillId="0" borderId="57" xfId="55" applyFont="1" applyFill="1" applyBorder="1" applyAlignment="1">
      <alignment horizontal="center" vertical="center" shrinkToFit="1"/>
      <protection/>
    </xf>
    <xf numFmtId="0" fontId="67" fillId="0" borderId="99" xfId="55" applyFont="1" applyFill="1" applyBorder="1" applyAlignment="1">
      <alignment horizontal="center" vertical="center" shrinkToFit="1"/>
      <protection/>
    </xf>
    <xf numFmtId="0" fontId="67" fillId="0" borderId="153" xfId="55" applyFont="1" applyFill="1" applyBorder="1" applyAlignment="1">
      <alignment horizontal="center" vertical="center" shrinkToFit="1"/>
      <protection/>
    </xf>
    <xf numFmtId="0" fontId="67" fillId="0" borderId="42" xfId="55" applyFont="1" applyFill="1" applyBorder="1" applyAlignment="1">
      <alignment horizontal="center" vertical="center" shrinkToFit="1"/>
      <protection/>
    </xf>
    <xf numFmtId="0" fontId="67" fillId="0" borderId="24" xfId="55" applyFont="1" applyFill="1" applyBorder="1" applyAlignment="1">
      <alignment horizontal="center" vertical="center" shrinkToFit="1"/>
      <protection/>
    </xf>
    <xf numFmtId="0" fontId="68" fillId="0" borderId="8" xfId="55" applyFont="1" applyFill="1" applyBorder="1" applyAlignment="1">
      <alignment horizontal="center" vertical="center" shrinkToFit="1"/>
      <protection/>
    </xf>
    <xf numFmtId="0" fontId="68" fillId="0" borderId="36" xfId="55" applyFont="1" applyFill="1" applyBorder="1" applyAlignment="1">
      <alignment horizontal="center" vertical="center" shrinkToFit="1"/>
      <protection/>
    </xf>
    <xf numFmtId="0" fontId="68" fillId="0" borderId="57" xfId="55" applyFont="1" applyFill="1" applyBorder="1" applyAlignment="1">
      <alignment horizontal="center" vertical="center" shrinkToFit="1"/>
      <protection/>
    </xf>
    <xf numFmtId="0" fontId="67" fillId="0" borderId="8" xfId="55" applyFont="1" applyFill="1" applyBorder="1" applyAlignment="1">
      <alignment horizontal="center" vertical="center" shrinkToFit="1"/>
      <protection/>
    </xf>
    <xf numFmtId="0" fontId="67" fillId="0" borderId="154" xfId="55" applyFont="1" applyFill="1" applyBorder="1" applyAlignment="1">
      <alignment horizontal="center" vertical="center" shrinkToFit="1"/>
      <protection/>
    </xf>
    <xf numFmtId="0" fontId="67" fillId="0" borderId="17" xfId="55" applyFont="1" applyFill="1" applyBorder="1" applyAlignment="1">
      <alignment horizontal="center" vertical="center" shrinkToFit="1"/>
      <protection/>
    </xf>
    <xf numFmtId="0" fontId="67" fillId="0" borderId="36" xfId="55" applyFont="1" applyFill="1" applyBorder="1" applyAlignment="1">
      <alignment horizontal="center" vertical="center" shrinkToFit="1"/>
      <protection/>
    </xf>
    <xf numFmtId="0" fontId="67" fillId="0" borderId="121" xfId="55" applyFont="1" applyFill="1" applyBorder="1" applyAlignment="1">
      <alignment horizontal="center" vertical="center" shrinkToFit="1"/>
      <protection/>
    </xf>
    <xf numFmtId="0" fontId="69" fillId="0" borderId="0" xfId="55" applyFont="1" applyFill="1" applyAlignment="1">
      <alignment horizontal="center" vertical="center" shrinkToFit="1"/>
      <protection/>
    </xf>
    <xf numFmtId="0" fontId="69" fillId="0" borderId="0" xfId="55" applyFont="1" applyFill="1" applyAlignment="1">
      <alignment vertical="center" shrinkToFit="1"/>
      <protection/>
    </xf>
    <xf numFmtId="0" fontId="67" fillId="0" borderId="119" xfId="55" applyFont="1" applyFill="1" applyBorder="1" applyAlignment="1">
      <alignment horizontal="center" vertical="center" shrinkToFit="1"/>
      <protection/>
    </xf>
    <xf numFmtId="0" fontId="0" fillId="0" borderId="62" xfId="55" applyFont="1" applyFill="1" applyBorder="1" applyAlignment="1">
      <alignment horizontal="center" vertical="center" wrapText="1" shrinkToFit="1"/>
      <protection/>
    </xf>
    <xf numFmtId="0" fontId="0" fillId="0" borderId="63" xfId="55" applyFont="1" applyFill="1" applyBorder="1" applyAlignment="1">
      <alignment horizontal="center" vertical="center" shrinkToFit="1"/>
      <protection/>
    </xf>
    <xf numFmtId="0" fontId="0" fillId="0" borderId="64" xfId="55" applyFont="1" applyFill="1" applyBorder="1" applyAlignment="1">
      <alignment horizontal="center" vertical="center" shrinkToFit="1"/>
      <protection/>
    </xf>
    <xf numFmtId="0" fontId="67" fillId="0" borderId="155" xfId="55" applyFont="1" applyFill="1" applyBorder="1" applyAlignment="1">
      <alignment horizontal="center" vertical="center" shrinkToFit="1"/>
      <protection/>
    </xf>
    <xf numFmtId="0" fontId="67" fillId="0" borderId="64" xfId="55" applyFont="1" applyFill="1" applyBorder="1" applyAlignment="1">
      <alignment horizontal="center" vertical="center" shrinkToFit="1"/>
      <protection/>
    </xf>
    <xf numFmtId="0" fontId="67" fillId="0" borderId="15" xfId="55" applyFont="1" applyFill="1" applyBorder="1" applyAlignment="1">
      <alignment horizontal="center" vertical="center" shrinkToFit="1"/>
      <protection/>
    </xf>
    <xf numFmtId="0" fontId="67" fillId="0" borderId="156" xfId="55" applyFont="1" applyFill="1" applyBorder="1" applyAlignment="1">
      <alignment horizontal="center" vertical="center" shrinkToFit="1"/>
      <protection/>
    </xf>
    <xf numFmtId="0" fontId="67" fillId="0" borderId="156" xfId="55" applyFont="1" applyFill="1" applyBorder="1" applyAlignment="1">
      <alignment horizontal="center" vertical="center" shrinkToFit="1"/>
      <protection/>
    </xf>
    <xf numFmtId="0" fontId="67" fillId="0" borderId="157" xfId="55" applyFont="1" applyFill="1" applyBorder="1" applyAlignment="1">
      <alignment horizontal="center" vertical="center" shrinkToFit="1"/>
      <protection/>
    </xf>
    <xf numFmtId="0" fontId="67" fillId="0" borderId="158" xfId="55" applyFont="1" applyFill="1" applyBorder="1" applyAlignment="1">
      <alignment horizontal="center" vertical="center" shrinkToFit="1"/>
      <protection/>
    </xf>
    <xf numFmtId="0" fontId="67" fillId="0" borderId="62" xfId="55" applyFont="1" applyFill="1" applyBorder="1" applyAlignment="1">
      <alignment horizontal="center" vertical="center" shrinkToFit="1"/>
      <protection/>
    </xf>
    <xf numFmtId="0" fontId="67" fillId="0" borderId="159" xfId="55" applyFont="1" applyFill="1" applyBorder="1" applyAlignment="1">
      <alignment horizontal="center" vertical="center" shrinkToFit="1"/>
      <protection/>
    </xf>
    <xf numFmtId="0" fontId="67" fillId="0" borderId="160" xfId="55" applyFont="1" applyFill="1" applyBorder="1" applyAlignment="1">
      <alignment horizontal="center" vertical="center" shrinkToFit="1"/>
      <protection/>
    </xf>
    <xf numFmtId="0" fontId="67" fillId="0" borderId="63" xfId="55" applyFont="1" applyFill="1" applyBorder="1" applyAlignment="1">
      <alignment vertical="center"/>
      <protection/>
    </xf>
    <xf numFmtId="0" fontId="67" fillId="0" borderId="0" xfId="55" applyFont="1" applyFill="1" applyAlignment="1">
      <alignment vertical="center"/>
      <protection/>
    </xf>
    <xf numFmtId="0" fontId="67" fillId="0" borderId="161" xfId="55" applyFont="1" applyFill="1" applyBorder="1" applyAlignment="1">
      <alignment vertical="center"/>
      <protection/>
    </xf>
    <xf numFmtId="0" fontId="67" fillId="0" borderId="162" xfId="55" applyFont="1" applyFill="1" applyBorder="1" applyAlignment="1">
      <alignment vertical="center"/>
      <protection/>
    </xf>
    <xf numFmtId="0" fontId="67" fillId="0" borderId="120" xfId="55" applyFont="1" applyFill="1" applyBorder="1" applyAlignment="1">
      <alignment vertical="center"/>
      <protection/>
    </xf>
    <xf numFmtId="0" fontId="67" fillId="0" borderId="50" xfId="55" applyFont="1" applyFill="1" applyBorder="1" applyAlignment="1">
      <alignment horizontal="center" vertical="center" shrinkToFit="1"/>
      <protection/>
    </xf>
    <xf numFmtId="0" fontId="0" fillId="0" borderId="99" xfId="55" applyFont="1" applyFill="1" applyBorder="1" applyAlignment="1">
      <alignment horizontal="center" vertical="center" shrinkToFit="1"/>
      <protection/>
    </xf>
    <xf numFmtId="0" fontId="0" fillId="0" borderId="0" xfId="55" applyFont="1" applyFill="1" applyAlignment="1">
      <alignment horizontal="center" vertical="center" shrinkToFit="1"/>
      <protection/>
    </xf>
    <xf numFmtId="0" fontId="0" fillId="0" borderId="50" xfId="55" applyFont="1" applyFill="1" applyBorder="1" applyAlignment="1">
      <alignment horizontal="center" vertical="center" shrinkToFit="1"/>
      <protection/>
    </xf>
    <xf numFmtId="0" fontId="67" fillId="0" borderId="163" xfId="55" applyFont="1" applyFill="1" applyBorder="1" applyAlignment="1">
      <alignment horizontal="center" vertical="center" shrinkToFit="1"/>
      <protection/>
    </xf>
    <xf numFmtId="0" fontId="67" fillId="0" borderId="50" xfId="55" applyFont="1" applyFill="1" applyBorder="1" applyAlignment="1">
      <alignment horizontal="center" vertical="center" shrinkToFit="1"/>
      <protection/>
    </xf>
    <xf numFmtId="177" fontId="67" fillId="0" borderId="154" xfId="55" applyNumberFormat="1" applyFont="1" applyFill="1" applyBorder="1" applyAlignment="1">
      <alignment horizontal="center" vertical="center" shrinkToFit="1"/>
      <protection/>
    </xf>
    <xf numFmtId="177" fontId="67" fillId="0" borderId="27" xfId="55" applyNumberFormat="1" applyFont="1" applyFill="1" applyBorder="1" applyAlignment="1">
      <alignment horizontal="center" vertical="center" shrinkToFit="1"/>
      <protection/>
    </xf>
    <xf numFmtId="0" fontId="67" fillId="0" borderId="17" xfId="55" applyFont="1" applyFill="1" applyBorder="1" applyAlignment="1">
      <alignment horizontal="center" vertical="center" shrinkToFit="1"/>
      <protection/>
    </xf>
    <xf numFmtId="0" fontId="67" fillId="0" borderId="164" xfId="55" applyFont="1" applyFill="1" applyBorder="1" applyAlignment="1">
      <alignment horizontal="center" vertical="center" shrinkToFit="1"/>
      <protection/>
    </xf>
    <xf numFmtId="0" fontId="67" fillId="0" borderId="165" xfId="55" applyFont="1" applyFill="1" applyBorder="1" applyAlignment="1">
      <alignment horizontal="center" vertical="center" shrinkToFit="1"/>
      <protection/>
    </xf>
    <xf numFmtId="0" fontId="67" fillId="0" borderId="153" xfId="55" applyFont="1" applyFill="1" applyBorder="1" applyAlignment="1">
      <alignment horizontal="center" vertical="center"/>
      <protection/>
    </xf>
    <xf numFmtId="0" fontId="67" fillId="0" borderId="0" xfId="55" applyFont="1" applyFill="1" applyAlignment="1">
      <alignment horizontal="center" vertical="center"/>
      <protection/>
    </xf>
    <xf numFmtId="0" fontId="67" fillId="0" borderId="166" xfId="55" applyFont="1" applyFill="1" applyBorder="1" applyAlignment="1">
      <alignment horizontal="center" vertical="center"/>
      <protection/>
    </xf>
    <xf numFmtId="0" fontId="67" fillId="0" borderId="42" xfId="55" applyFont="1" applyFill="1" applyBorder="1" applyAlignment="1">
      <alignment horizontal="center" vertical="center"/>
      <protection/>
    </xf>
    <xf numFmtId="0" fontId="0" fillId="0" borderId="8" xfId="55" applyFont="1" applyFill="1" applyBorder="1" applyAlignment="1">
      <alignment horizontal="center" vertical="center" shrinkToFit="1"/>
      <protection/>
    </xf>
    <xf numFmtId="0" fontId="0" fillId="0" borderId="36" xfId="55" applyFont="1" applyFill="1" applyBorder="1" applyAlignment="1">
      <alignment horizontal="center" vertical="center" shrinkToFit="1"/>
      <protection/>
    </xf>
    <xf numFmtId="0" fontId="0" fillId="0" borderId="57" xfId="55" applyFont="1" applyFill="1" applyBorder="1" applyAlignment="1">
      <alignment horizontal="center" vertical="center" shrinkToFit="1"/>
      <protection/>
    </xf>
    <xf numFmtId="0" fontId="67" fillId="0" borderId="167" xfId="55" applyFont="1" applyFill="1" applyBorder="1" applyAlignment="1">
      <alignment horizontal="center" vertical="center" shrinkToFit="1"/>
      <protection/>
    </xf>
    <xf numFmtId="0" fontId="67" fillId="0" borderId="57" xfId="55" applyFont="1" applyFill="1" applyBorder="1" applyAlignment="1">
      <alignment horizontal="center" vertical="center" shrinkToFit="1"/>
      <protection/>
    </xf>
    <xf numFmtId="0" fontId="67" fillId="0" borderId="168" xfId="55" applyFont="1" applyFill="1" applyBorder="1" applyAlignment="1">
      <alignment horizontal="center" vertical="center" shrinkToFit="1"/>
      <protection/>
    </xf>
    <xf numFmtId="0" fontId="67" fillId="0" borderId="169" xfId="55" applyFont="1" applyFill="1" applyBorder="1" applyAlignment="1">
      <alignment horizontal="center" vertical="center" shrinkToFit="1"/>
      <protection/>
    </xf>
    <xf numFmtId="0" fontId="67" fillId="0" borderId="36" xfId="55" applyFont="1" applyFill="1" applyBorder="1" applyAlignment="1">
      <alignment vertical="center"/>
      <protection/>
    </xf>
    <xf numFmtId="0" fontId="67" fillId="0" borderId="170" xfId="55" applyFont="1" applyFill="1" applyBorder="1" applyAlignment="1">
      <alignment vertical="center"/>
      <protection/>
    </xf>
    <xf numFmtId="0" fontId="67" fillId="0" borderId="152" xfId="55" applyFont="1" applyFill="1" applyBorder="1" applyAlignment="1">
      <alignment horizontal="center" vertical="center"/>
      <protection/>
    </xf>
    <xf numFmtId="0" fontId="67" fillId="0" borderId="36" xfId="55" applyFont="1" applyFill="1" applyBorder="1" applyAlignment="1">
      <alignment horizontal="center" vertical="center"/>
      <protection/>
    </xf>
    <xf numFmtId="0" fontId="67" fillId="0" borderId="170" xfId="55" applyFont="1" applyFill="1" applyBorder="1" applyAlignment="1">
      <alignment horizontal="center" vertical="center"/>
      <protection/>
    </xf>
    <xf numFmtId="0" fontId="67" fillId="0" borderId="152" xfId="55" applyFont="1" applyFill="1" applyBorder="1" applyAlignment="1">
      <alignment vertical="center"/>
      <protection/>
    </xf>
    <xf numFmtId="0" fontId="67" fillId="0" borderId="121" xfId="55" applyFont="1" applyFill="1" applyBorder="1" applyAlignment="1">
      <alignment vertical="center"/>
      <protection/>
    </xf>
    <xf numFmtId="0" fontId="69" fillId="0" borderId="119" xfId="55" applyFont="1" applyFill="1" applyBorder="1" applyAlignment="1">
      <alignment horizontal="center" vertical="center" shrinkToFit="1"/>
      <protection/>
    </xf>
    <xf numFmtId="0" fontId="69" fillId="0" borderId="63" xfId="55" applyFont="1" applyFill="1" applyBorder="1" applyAlignment="1">
      <alignment horizontal="center" vertical="center" shrinkToFit="1"/>
      <protection/>
    </xf>
    <xf numFmtId="0" fontId="69" fillId="0" borderId="63" xfId="55" applyFont="1" applyFill="1" applyBorder="1" applyAlignment="1">
      <alignment horizontal="center" vertical="center" shrinkToFit="1"/>
      <protection/>
    </xf>
    <xf numFmtId="0" fontId="69" fillId="0" borderId="64" xfId="55" applyFont="1" applyFill="1" applyBorder="1" applyAlignment="1">
      <alignment horizontal="center" vertical="center" shrinkToFit="1"/>
      <protection/>
    </xf>
    <xf numFmtId="0" fontId="70" fillId="0" borderId="47" xfId="55" applyFont="1" applyFill="1" applyBorder="1" applyAlignment="1">
      <alignment horizontal="center" vertical="center"/>
      <protection/>
    </xf>
    <xf numFmtId="0" fontId="69" fillId="0" borderId="14" xfId="55" applyFont="1" applyFill="1" applyBorder="1" applyAlignment="1">
      <alignment horizontal="center" vertical="center" shrinkToFit="1"/>
      <protection/>
    </xf>
    <xf numFmtId="0" fontId="69" fillId="0" borderId="15" xfId="55" applyFont="1" applyFill="1" applyBorder="1" applyAlignment="1">
      <alignment horizontal="center" vertical="center" shrinkToFit="1"/>
      <protection/>
    </xf>
    <xf numFmtId="0" fontId="69" fillId="0" borderId="17" xfId="55" applyFont="1" applyFill="1" applyBorder="1" applyAlignment="1">
      <alignment horizontal="center" vertical="center" shrinkToFit="1"/>
      <protection/>
    </xf>
    <xf numFmtId="0" fontId="69" fillId="0" borderId="62" xfId="55" applyFont="1" applyFill="1" applyBorder="1" applyAlignment="1">
      <alignment horizontal="center" vertical="center" shrinkToFit="1"/>
      <protection/>
    </xf>
    <xf numFmtId="0" fontId="69" fillId="0" borderId="120" xfId="55" applyFont="1" applyFill="1" applyBorder="1" applyAlignment="1">
      <alignment horizontal="center" vertical="center" shrinkToFit="1"/>
      <protection/>
    </xf>
    <xf numFmtId="0" fontId="69" fillId="0" borderId="41" xfId="55" applyFont="1" applyFill="1" applyBorder="1" applyAlignment="1">
      <alignment horizontal="center" vertical="center" shrinkToFit="1"/>
      <protection/>
    </xf>
    <xf numFmtId="0" fontId="36" fillId="0" borderId="0" xfId="55" applyFont="1" applyFill="1" applyAlignment="1">
      <alignment horizontal="center" vertical="center" shrinkToFit="1"/>
      <protection/>
    </xf>
    <xf numFmtId="0" fontId="69" fillId="0" borderId="0" xfId="55" applyFont="1" applyFill="1" applyAlignment="1">
      <alignment horizontal="center" vertical="center" shrinkToFit="1"/>
      <protection/>
    </xf>
    <xf numFmtId="0" fontId="69" fillId="0" borderId="50" xfId="55" applyFont="1" applyFill="1" applyBorder="1" applyAlignment="1">
      <alignment horizontal="center" vertical="center" shrinkToFit="1"/>
      <protection/>
    </xf>
    <xf numFmtId="0" fontId="70" fillId="0" borderId="124" xfId="55" applyFont="1" applyFill="1" applyBorder="1" applyAlignment="1">
      <alignment horizontal="center" vertical="center"/>
      <protection/>
    </xf>
    <xf numFmtId="0" fontId="69" fillId="0" borderId="99" xfId="55" applyFont="1" applyFill="1" applyBorder="1" applyAlignment="1">
      <alignment horizontal="center" vertical="center" shrinkToFit="1"/>
      <protection/>
    </xf>
    <xf numFmtId="0" fontId="69" fillId="0" borderId="42" xfId="55" applyFont="1" applyFill="1" applyBorder="1" applyAlignment="1">
      <alignment horizontal="center" vertical="center" shrinkToFit="1"/>
      <protection/>
    </xf>
    <xf numFmtId="0" fontId="69" fillId="0" borderId="24" xfId="55" applyFont="1" applyFill="1" applyBorder="1" applyAlignment="1">
      <alignment horizontal="center" vertical="center" shrinkToFit="1"/>
      <protection/>
    </xf>
    <xf numFmtId="0" fontId="69" fillId="0" borderId="36" xfId="55" applyFont="1" applyFill="1" applyBorder="1" applyAlignment="1">
      <alignment horizontal="center" vertical="center" shrinkToFit="1"/>
      <protection/>
    </xf>
    <xf numFmtId="0" fontId="69" fillId="0" borderId="36" xfId="55" applyFont="1" applyFill="1" applyBorder="1" applyAlignment="1">
      <alignment horizontal="center" vertical="center" shrinkToFit="1"/>
      <protection/>
    </xf>
    <xf numFmtId="0" fontId="69" fillId="0" borderId="57" xfId="55" applyFont="1" applyFill="1" applyBorder="1" applyAlignment="1">
      <alignment horizontal="center" vertical="center" shrinkToFit="1"/>
      <protection/>
    </xf>
    <xf numFmtId="0" fontId="69" fillId="0" borderId="8" xfId="55" applyFont="1" applyFill="1" applyBorder="1" applyAlignment="1">
      <alignment horizontal="center" vertical="center" shrinkToFit="1"/>
      <protection/>
    </xf>
    <xf numFmtId="0" fontId="69" fillId="0" borderId="121" xfId="55" applyFont="1" applyFill="1" applyBorder="1" applyAlignment="1">
      <alignment horizontal="center" vertical="center" shrinkToFit="1"/>
      <protection/>
    </xf>
    <xf numFmtId="0" fontId="69" fillId="0" borderId="26" xfId="55" applyFont="1" applyFill="1" applyBorder="1" applyAlignment="1">
      <alignment horizontal="center" vertical="center" shrinkToFit="1"/>
      <protection/>
    </xf>
    <xf numFmtId="0" fontId="69" fillId="0" borderId="15" xfId="55" applyFont="1" applyFill="1" applyBorder="1" applyAlignment="1">
      <alignment horizontal="center" vertical="center" shrinkToFit="1"/>
      <protection/>
    </xf>
    <xf numFmtId="0" fontId="69" fillId="0" borderId="14" xfId="55" applyFont="1" applyFill="1" applyBorder="1" applyAlignment="1">
      <alignment horizontal="center" vertical="center" shrinkToFit="1"/>
      <protection/>
    </xf>
    <xf numFmtId="0" fontId="69" fillId="0" borderId="28" xfId="55" applyFont="1" applyFill="1" applyBorder="1" applyAlignment="1">
      <alignment horizontal="center" vertical="center" shrinkToFit="1"/>
      <protection/>
    </xf>
    <xf numFmtId="0" fontId="69" fillId="0" borderId="47" xfId="55" applyFont="1" applyFill="1" applyBorder="1" applyAlignment="1">
      <alignment horizontal="center" vertical="center" shrinkToFit="1"/>
      <protection/>
    </xf>
    <xf numFmtId="0" fontId="69" fillId="0" borderId="17" xfId="55" applyFont="1" applyFill="1" applyBorder="1" applyAlignment="1">
      <alignment horizontal="center" vertical="center" shrinkToFit="1"/>
      <protection/>
    </xf>
    <xf numFmtId="0" fontId="70" fillId="0" borderId="7" xfId="55" applyFont="1" applyFill="1" applyBorder="1" applyAlignment="1">
      <alignment horizontal="center" vertical="center"/>
      <protection/>
    </xf>
    <xf numFmtId="0" fontId="69" fillId="0" borderId="57" xfId="55" applyFont="1" applyFill="1" applyBorder="1" applyAlignment="1">
      <alignment horizontal="center" vertical="center" shrinkToFit="1"/>
      <protection/>
    </xf>
    <xf numFmtId="0" fontId="69" fillId="0" borderId="119" xfId="55" applyFont="1" applyFill="1" applyBorder="1" applyAlignment="1">
      <alignment horizontal="center" vertical="center" shrinkToFit="1"/>
      <protection/>
    </xf>
    <xf numFmtId="0" fontId="69" fillId="0" borderId="27" xfId="55" applyFont="1" applyFill="1" applyBorder="1" applyAlignment="1">
      <alignment horizontal="center" vertical="center" shrinkToFit="1"/>
      <protection/>
    </xf>
    <xf numFmtId="0" fontId="69" fillId="0" borderId="62" xfId="55" applyFont="1" applyFill="1" applyBorder="1" applyAlignment="1">
      <alignment horizontal="center" vertical="center" shrinkToFit="1"/>
      <protection/>
    </xf>
    <xf numFmtId="0" fontId="69" fillId="0" borderId="64" xfId="55" applyFont="1" applyFill="1" applyBorder="1" applyAlignment="1">
      <alignment horizontal="center" vertical="center" shrinkToFit="1"/>
      <protection/>
    </xf>
    <xf numFmtId="0" fontId="69" fillId="0" borderId="120" xfId="55" applyFont="1" applyFill="1" applyBorder="1" applyAlignment="1">
      <alignment horizontal="center" vertical="center" shrinkToFit="1"/>
      <protection/>
    </xf>
    <xf numFmtId="0" fontId="69" fillId="0" borderId="15" xfId="55" applyFont="1" applyFill="1" applyBorder="1" applyAlignment="1">
      <alignment vertical="center"/>
      <protection/>
    </xf>
    <xf numFmtId="0" fontId="69" fillId="0" borderId="17" xfId="55" applyFont="1" applyFill="1" applyBorder="1" applyAlignment="1">
      <alignment vertical="center"/>
      <protection/>
    </xf>
    <xf numFmtId="0" fontId="69" fillId="0" borderId="27" xfId="55" applyFont="1" applyFill="1" applyBorder="1" applyAlignment="1">
      <alignment vertical="center"/>
      <protection/>
    </xf>
    <xf numFmtId="0" fontId="69" fillId="0" borderId="17" xfId="55" applyFont="1" applyFill="1" applyBorder="1" applyAlignment="1">
      <alignment vertical="center"/>
      <protection/>
    </xf>
    <xf numFmtId="0" fontId="69" fillId="0" borderId="14" xfId="55" applyFont="1" applyFill="1" applyBorder="1" applyAlignment="1">
      <alignment vertical="center"/>
      <protection/>
    </xf>
    <xf numFmtId="0" fontId="5" fillId="0" borderId="15" xfId="55" applyFont="1" applyFill="1" applyBorder="1" applyAlignment="1">
      <alignment vertical="center"/>
      <protection/>
    </xf>
    <xf numFmtId="0" fontId="69" fillId="0" borderId="47" xfId="55" applyFont="1" applyFill="1" applyBorder="1" applyAlignment="1">
      <alignment horizontal="center" vertical="center" shrinkToFit="1"/>
      <protection/>
    </xf>
    <xf numFmtId="0" fontId="69" fillId="0" borderId="99" xfId="55" applyFont="1" applyFill="1" applyBorder="1" applyAlignment="1">
      <alignment horizontal="center" vertical="center" shrinkToFit="1"/>
      <protection/>
    </xf>
    <xf numFmtId="0" fontId="69" fillId="0" borderId="124" xfId="55" applyFont="1" applyFill="1" applyBorder="1" applyAlignment="1">
      <alignment horizontal="center" vertical="center" shrinkToFit="1"/>
      <protection/>
    </xf>
    <xf numFmtId="0" fontId="69" fillId="0" borderId="50" xfId="55" applyFont="1" applyFill="1" applyBorder="1" applyAlignment="1">
      <alignment horizontal="center" vertical="center" shrinkToFit="1"/>
      <protection/>
    </xf>
    <xf numFmtId="0" fontId="69" fillId="0" borderId="27" xfId="55" applyFont="1" applyFill="1" applyBorder="1" applyAlignment="1">
      <alignment vertical="center"/>
      <protection/>
    </xf>
    <xf numFmtId="0" fontId="69" fillId="0" borderId="64" xfId="55" applyFont="1" applyFill="1" applyBorder="1" applyAlignment="1">
      <alignment vertical="center"/>
      <protection/>
    </xf>
    <xf numFmtId="0" fontId="69" fillId="0" borderId="0" xfId="55" applyFont="1" applyFill="1" applyAlignment="1">
      <alignment vertical="center"/>
      <protection/>
    </xf>
    <xf numFmtId="0" fontId="69" fillId="0" borderId="47" xfId="55" applyFont="1" applyFill="1" applyBorder="1" applyAlignment="1">
      <alignment vertical="center"/>
      <protection/>
    </xf>
    <xf numFmtId="0" fontId="69" fillId="0" borderId="24" xfId="55" applyFont="1" applyFill="1" applyBorder="1" applyAlignment="1">
      <alignment horizontal="center" vertical="center" shrinkToFit="1"/>
      <protection/>
    </xf>
    <xf numFmtId="0" fontId="69" fillId="0" borderId="7" xfId="55" applyFont="1" applyFill="1" applyBorder="1" applyAlignment="1">
      <alignment horizontal="center" vertical="center" shrinkToFit="1"/>
      <protection/>
    </xf>
    <xf numFmtId="0" fontId="69" fillId="0" borderId="7" xfId="55" applyFont="1" applyFill="1" applyBorder="1" applyAlignment="1">
      <alignment horizontal="center" vertical="center" shrinkToFit="1"/>
      <protection/>
    </xf>
    <xf numFmtId="0" fontId="69" fillId="0" borderId="8" xfId="55" applyFont="1" applyFill="1" applyBorder="1" applyAlignment="1">
      <alignment horizontal="center" vertical="center" shrinkToFit="1"/>
      <protection/>
    </xf>
    <xf numFmtId="0" fontId="69" fillId="0" borderId="121" xfId="55" applyFont="1" applyFill="1" applyBorder="1" applyAlignment="1">
      <alignment horizontal="center" vertical="center" shrinkToFit="1"/>
      <protection/>
    </xf>
    <xf numFmtId="0" fontId="69" fillId="0" borderId="26" xfId="55" applyFont="1" applyFill="1" applyBorder="1" applyAlignment="1">
      <alignment horizontal="center" vertical="center"/>
      <protection/>
    </xf>
    <xf numFmtId="0" fontId="69" fillId="0" borderId="17" xfId="55" applyFont="1" applyFill="1" applyBorder="1" applyAlignment="1">
      <alignment horizontal="center" vertical="center"/>
      <protection/>
    </xf>
    <xf numFmtId="0" fontId="69" fillId="0" borderId="0" xfId="55" applyFont="1" applyFill="1" applyAlignment="1">
      <alignment horizontal="center" vertical="center"/>
      <protection/>
    </xf>
    <xf numFmtId="0" fontId="69" fillId="0" borderId="15" xfId="46" applyFont="1" applyFill="1" applyBorder="1" applyAlignment="1">
      <alignment vertical="center"/>
      <protection/>
    </xf>
    <xf numFmtId="0" fontId="69" fillId="0" borderId="15" xfId="46" applyFont="1" applyFill="1" applyBorder="1" applyAlignment="1">
      <alignment horizontal="center" vertical="center"/>
      <protection/>
    </xf>
    <xf numFmtId="0" fontId="69" fillId="0" borderId="27" xfId="46" applyFont="1" applyFill="1" applyBorder="1" applyAlignment="1">
      <alignment horizontal="center" vertical="center"/>
      <protection/>
    </xf>
    <xf numFmtId="0" fontId="69" fillId="0" borderId="17" xfId="46" applyFont="1" applyFill="1" applyBorder="1" applyAlignment="1">
      <alignment horizontal="center" vertical="center"/>
      <protection/>
    </xf>
    <xf numFmtId="0" fontId="69" fillId="0" borderId="14" xfId="55" applyFont="1" applyFill="1" applyBorder="1" applyAlignment="1">
      <alignment horizontal="center" vertical="center"/>
      <protection/>
    </xf>
    <xf numFmtId="0" fontId="69" fillId="0" borderId="16" xfId="55" applyFont="1" applyFill="1" applyBorder="1" applyAlignment="1">
      <alignment horizontal="center" vertical="center"/>
      <protection/>
    </xf>
    <xf numFmtId="0" fontId="69" fillId="0" borderId="15" xfId="46" applyFont="1" applyFill="1" applyBorder="1" applyAlignment="1">
      <alignment vertical="center" shrinkToFit="1"/>
      <protection/>
    </xf>
    <xf numFmtId="0" fontId="69" fillId="0" borderId="14" xfId="46" applyFont="1" applyFill="1" applyBorder="1" applyAlignment="1">
      <alignment horizontal="center" vertical="center" shrinkToFit="1"/>
      <protection/>
    </xf>
    <xf numFmtId="0" fontId="69" fillId="0" borderId="27" xfId="55" applyFont="1" applyFill="1" applyBorder="1" applyAlignment="1">
      <alignment horizontal="center" vertical="center"/>
      <protection/>
    </xf>
    <xf numFmtId="0" fontId="69" fillId="0" borderId="27" xfId="55" applyFont="1" applyFill="1" applyBorder="1" applyAlignment="1">
      <alignment horizontal="center" vertical="center" shrinkToFit="1"/>
      <protection/>
    </xf>
    <xf numFmtId="0" fontId="69" fillId="0" borderId="57" xfId="55" applyFont="1" applyFill="1" applyBorder="1" applyAlignment="1">
      <alignment horizontal="center" vertical="center"/>
      <protection/>
    </xf>
    <xf numFmtId="0" fontId="69" fillId="0" borderId="24" xfId="55" applyFont="1" applyFill="1" applyBorder="1" applyAlignment="1">
      <alignment horizontal="center" vertical="center"/>
      <protection/>
    </xf>
    <xf numFmtId="0" fontId="69" fillId="0" borderId="50" xfId="55" applyFont="1" applyFill="1" applyBorder="1" applyAlignment="1">
      <alignment horizontal="center" vertical="center"/>
      <protection/>
    </xf>
    <xf numFmtId="0" fontId="69" fillId="0" borderId="36" xfId="55" applyFont="1" applyFill="1" applyBorder="1" applyAlignment="1">
      <alignment horizontal="center" vertical="center"/>
      <protection/>
    </xf>
    <xf numFmtId="0" fontId="69" fillId="0" borderId="36" xfId="55" applyFont="1" applyFill="1" applyBorder="1" applyAlignment="1">
      <alignment horizontal="center" vertical="center"/>
      <protection/>
    </xf>
    <xf numFmtId="0" fontId="69" fillId="0" borderId="121" xfId="55" applyFont="1" applyFill="1" applyBorder="1" applyAlignment="1">
      <alignment horizontal="center" vertical="center"/>
      <protection/>
    </xf>
    <xf numFmtId="0" fontId="69" fillId="0" borderId="46" xfId="55" applyFont="1" applyFill="1" applyBorder="1" applyAlignment="1">
      <alignment horizontal="center" vertical="center" shrinkToFit="1"/>
      <protection/>
    </xf>
    <xf numFmtId="0" fontId="69" fillId="0" borderId="53" xfId="55" applyFont="1" applyFill="1" applyBorder="1" applyAlignment="1">
      <alignment horizontal="center" vertical="center" shrinkToFit="1"/>
      <protection/>
    </xf>
    <xf numFmtId="0" fontId="69" fillId="0" borderId="53" xfId="55" applyFont="1" applyFill="1" applyBorder="1" applyAlignment="1">
      <alignment horizontal="center" vertical="center" shrinkToFit="1"/>
      <protection/>
    </xf>
    <xf numFmtId="0" fontId="2" fillId="0" borderId="53" xfId="55" applyFont="1" applyFill="1" applyBorder="1" applyAlignment="1">
      <alignment horizontal="center" vertical="center" wrapText="1" shrinkToFit="1"/>
      <protection/>
    </xf>
    <xf numFmtId="0" fontId="69" fillId="0" borderId="90" xfId="55" applyFont="1" applyFill="1" applyBorder="1" applyAlignment="1">
      <alignment horizontal="center" vertical="center" shrinkToFit="1"/>
      <protection/>
    </xf>
    <xf numFmtId="0" fontId="69" fillId="0" borderId="66" xfId="55" applyFont="1" applyFill="1" applyBorder="1" applyAlignment="1">
      <alignment horizontal="center" vertical="center" shrinkToFit="1"/>
      <protection/>
    </xf>
    <xf numFmtId="0" fontId="69" fillId="0" borderId="37" xfId="55" applyFont="1" applyFill="1" applyBorder="1" applyAlignment="1">
      <alignment horizontal="center" vertical="center" shrinkToFit="1"/>
      <protection/>
    </xf>
    <xf numFmtId="0" fontId="69" fillId="0" borderId="37" xfId="55" applyFont="1" applyFill="1" applyBorder="1" applyAlignment="1">
      <alignment horizontal="center" vertical="center" shrinkToFit="1"/>
      <protection/>
    </xf>
    <xf numFmtId="0" fontId="2" fillId="0" borderId="37" xfId="55" applyFont="1" applyFill="1" applyBorder="1" applyAlignment="1">
      <alignment horizontal="center" vertical="center" wrapText="1" shrinkToFit="1"/>
      <protection/>
    </xf>
    <xf numFmtId="0" fontId="2" fillId="0" borderId="0" xfId="55" applyFont="1" applyFill="1" applyAlignment="1">
      <alignment horizontal="center" vertical="center" wrapText="1" shrinkToFit="1"/>
      <protection/>
    </xf>
    <xf numFmtId="0" fontId="69" fillId="0" borderId="42" xfId="55" applyFont="1" applyFill="1" applyBorder="1" applyAlignment="1">
      <alignment horizontal="center" vertical="center" shrinkToFit="1"/>
      <protection/>
    </xf>
    <xf numFmtId="0" fontId="69" fillId="0" borderId="90" xfId="55" applyFont="1" applyFill="1" applyBorder="1" applyAlignment="1">
      <alignment horizontal="center" vertical="center"/>
      <protection/>
    </xf>
    <xf numFmtId="0" fontId="69" fillId="0" borderId="42" xfId="55" applyFont="1" applyFill="1" applyBorder="1" applyAlignment="1">
      <alignment horizontal="center" vertical="center"/>
      <protection/>
    </xf>
    <xf numFmtId="0" fontId="69" fillId="0" borderId="82" xfId="55" applyFont="1" applyFill="1" applyBorder="1" applyAlignment="1">
      <alignment horizontal="center" vertical="center"/>
      <protection/>
    </xf>
    <xf numFmtId="0" fontId="2" fillId="0" borderId="8" xfId="55" applyFont="1" applyFill="1" applyBorder="1" applyAlignment="1">
      <alignment horizontal="center" vertical="center" wrapText="1" shrinkToFit="1"/>
      <protection/>
    </xf>
    <xf numFmtId="0" fontId="2" fillId="0" borderId="57" xfId="55" applyFont="1" applyFill="1" applyBorder="1" applyAlignment="1">
      <alignment horizontal="center" vertical="center" shrinkToFit="1"/>
      <protection/>
    </xf>
    <xf numFmtId="0" fontId="69" fillId="0" borderId="41" xfId="55" applyFont="1" applyFill="1" applyBorder="1" applyAlignment="1">
      <alignment horizontal="center" vertical="center" shrinkToFit="1"/>
      <protection/>
    </xf>
    <xf numFmtId="0" fontId="69" fillId="0" borderId="26" xfId="55" applyFont="1" applyFill="1" applyBorder="1" applyAlignment="1">
      <alignment horizontal="center" vertical="center" shrinkToFit="1"/>
      <protection/>
    </xf>
    <xf numFmtId="0" fontId="69" fillId="0" borderId="28" xfId="55" applyFont="1" applyFill="1" applyBorder="1" applyAlignment="1">
      <alignment horizontal="center" vertical="center" shrinkToFit="1"/>
      <protection/>
    </xf>
    <xf numFmtId="0" fontId="71" fillId="0" borderId="29" xfId="55" applyFont="1" applyFill="1" applyBorder="1" applyAlignment="1">
      <alignment horizontal="center" vertical="center" shrinkToFit="1"/>
      <protection/>
    </xf>
    <xf numFmtId="0" fontId="71" fillId="0" borderId="23" xfId="55" applyFont="1" applyFill="1" applyBorder="1" applyAlignment="1">
      <alignment horizontal="center" vertical="center" shrinkToFit="1"/>
      <protection/>
    </xf>
    <xf numFmtId="0" fontId="69" fillId="0" borderId="23" xfId="55" applyFont="1" applyFill="1" applyBorder="1" applyAlignment="1">
      <alignment horizontal="center" vertical="center" shrinkToFit="1"/>
      <protection/>
    </xf>
    <xf numFmtId="0" fontId="69" fillId="0" borderId="23" xfId="55" applyFont="1" applyFill="1" applyBorder="1" applyAlignment="1">
      <alignment horizontal="center" vertical="center" shrinkToFit="1"/>
      <protection/>
    </xf>
    <xf numFmtId="0" fontId="69" fillId="0" borderId="30" xfId="55" applyFont="1" applyFill="1" applyBorder="1" applyAlignment="1">
      <alignment horizontal="center" vertical="center" shrinkToFit="1"/>
      <protection/>
    </xf>
    <xf numFmtId="0" fontId="0" fillId="0" borderId="53" xfId="0" applyFill="1" applyBorder="1" applyAlignment="1">
      <alignment vertical="center" shrinkToFit="1"/>
    </xf>
    <xf numFmtId="0" fontId="69" fillId="0" borderId="0" xfId="0" applyFont="1" applyFill="1" applyAlignment="1">
      <alignment horizontal="center" vertical="center" shrinkToFit="1"/>
    </xf>
    <xf numFmtId="0" fontId="0" fillId="0" borderId="0" xfId="0" applyFill="1" applyAlignment="1">
      <alignment vertical="center" shrinkToFit="1"/>
    </xf>
    <xf numFmtId="0" fontId="5" fillId="0" borderId="37" xfId="0" applyFont="1" applyFill="1" applyBorder="1" applyAlignment="1">
      <alignment horizontal="center" vertical="center"/>
    </xf>
    <xf numFmtId="0" fontId="5" fillId="0" borderId="0" xfId="0" applyFont="1" applyFill="1" applyAlignment="1">
      <alignment horizontal="center" vertical="center"/>
    </xf>
    <xf numFmtId="0" fontId="69" fillId="0" borderId="111"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22" xfId="0" applyFont="1" applyFill="1" applyBorder="1" applyAlignment="1">
      <alignment horizontal="center" vertical="center"/>
    </xf>
    <xf numFmtId="0" fontId="69" fillId="0" borderId="22" xfId="0" applyFont="1" applyFill="1" applyBorder="1" applyAlignment="1">
      <alignment horizontal="center" vertical="center" shrinkToFit="1"/>
    </xf>
    <xf numFmtId="0" fontId="69" fillId="0" borderId="25" xfId="0" applyFont="1" applyFill="1" applyBorder="1" applyAlignment="1">
      <alignment horizontal="center" vertical="center"/>
    </xf>
    <xf numFmtId="0" fontId="69" fillId="0" borderId="0" xfId="0" applyFont="1" applyFill="1" applyAlignment="1">
      <alignment horizontal="center" vertical="center"/>
    </xf>
    <xf numFmtId="0" fontId="0" fillId="0" borderId="119" xfId="0" applyFill="1" applyBorder="1" applyAlignment="1">
      <alignment vertical="top" wrapText="1"/>
    </xf>
    <xf numFmtId="0" fontId="5" fillId="0" borderId="63" xfId="0" applyFont="1" applyFill="1" applyBorder="1" applyAlignment="1">
      <alignment vertical="top" wrapText="1"/>
    </xf>
    <xf numFmtId="0" fontId="5" fillId="0" borderId="120" xfId="0" applyFont="1" applyFill="1" applyBorder="1" applyAlignment="1">
      <alignment vertical="top" wrapText="1"/>
    </xf>
    <xf numFmtId="0" fontId="5" fillId="0" borderId="41" xfId="0" applyFont="1" applyFill="1" applyBorder="1" applyAlignment="1">
      <alignment vertical="top" wrapText="1"/>
    </xf>
    <xf numFmtId="0" fontId="5" fillId="0" borderId="0" xfId="0" applyFont="1" applyFill="1" applyAlignment="1">
      <alignment vertical="top" wrapText="1"/>
    </xf>
    <xf numFmtId="0" fontId="5" fillId="0" borderId="42" xfId="0" applyFont="1" applyFill="1" applyBorder="1" applyAlignment="1">
      <alignment vertical="top" wrapText="1"/>
    </xf>
    <xf numFmtId="0" fontId="5" fillId="0" borderId="66" xfId="0" applyFont="1" applyFill="1" applyBorder="1" applyAlignment="1">
      <alignment vertical="top" wrapText="1"/>
    </xf>
    <xf numFmtId="0" fontId="5" fillId="0" borderId="37" xfId="0" applyFont="1" applyFill="1" applyBorder="1" applyAlignment="1">
      <alignment vertical="top" wrapText="1"/>
    </xf>
    <xf numFmtId="0" fontId="5" fillId="0" borderId="82" xfId="0" applyFont="1" applyFill="1" applyBorder="1" applyAlignment="1">
      <alignment vertical="top" wrapText="1"/>
    </xf>
    <xf numFmtId="0" fontId="69" fillId="0" borderId="0" xfId="48" applyFont="1" applyFill="1" applyAlignment="1">
      <alignment horizontal="center" vertical="center"/>
      <protection/>
    </xf>
    <xf numFmtId="0" fontId="69" fillId="0" borderId="14" xfId="48" applyFont="1" applyFill="1" applyBorder="1" applyAlignment="1">
      <alignment horizontal="center" vertical="center"/>
      <protection/>
    </xf>
    <xf numFmtId="0" fontId="69" fillId="0" borderId="15" xfId="48" applyFont="1" applyFill="1" applyBorder="1" applyAlignment="1">
      <alignment horizontal="center" vertical="center"/>
      <protection/>
    </xf>
    <xf numFmtId="0" fontId="69" fillId="0" borderId="27" xfId="48" applyFont="1" applyFill="1" applyBorder="1" applyAlignment="1">
      <alignment horizontal="center" vertical="center"/>
      <protection/>
    </xf>
    <xf numFmtId="0" fontId="69" fillId="0" borderId="17" xfId="48" applyFont="1" applyFill="1" applyBorder="1" applyAlignment="1">
      <alignment horizontal="center" vertical="center"/>
      <protection/>
    </xf>
    <xf numFmtId="0" fontId="5" fillId="0" borderId="0" xfId="48" applyFont="1" applyFill="1" applyAlignment="1">
      <alignment horizontal="center" vertical="center"/>
      <protection/>
    </xf>
    <xf numFmtId="0" fontId="72" fillId="0" borderId="14" xfId="48" applyFont="1" applyFill="1" applyBorder="1" applyAlignment="1">
      <alignment horizontal="center" vertical="center"/>
      <protection/>
    </xf>
    <xf numFmtId="0" fontId="72" fillId="0" borderId="62" xfId="48" applyFont="1" applyFill="1" applyBorder="1" applyAlignment="1">
      <alignment horizontal="center" vertical="center"/>
      <protection/>
    </xf>
    <xf numFmtId="0" fontId="72" fillId="0" borderId="63" xfId="48" applyFont="1" applyFill="1" applyBorder="1" applyAlignment="1">
      <alignment horizontal="center" vertical="center"/>
      <protection/>
    </xf>
    <xf numFmtId="0" fontId="72" fillId="0" borderId="64" xfId="48" applyFont="1" applyFill="1" applyBorder="1" applyAlignment="1">
      <alignment horizontal="center" vertical="center"/>
      <protection/>
    </xf>
    <xf numFmtId="0" fontId="72" fillId="0" borderId="99" xfId="48" applyFont="1" applyFill="1" applyBorder="1" applyAlignment="1">
      <alignment horizontal="center" vertical="center"/>
      <protection/>
    </xf>
    <xf numFmtId="0" fontId="72" fillId="0" borderId="0" xfId="48" applyFont="1" applyFill="1" applyAlignment="1">
      <alignment horizontal="center" vertical="center"/>
      <protection/>
    </xf>
    <xf numFmtId="0" fontId="72" fillId="0" borderId="50" xfId="48" applyFont="1" applyFill="1" applyBorder="1" applyAlignment="1">
      <alignment horizontal="center" vertical="center"/>
      <protection/>
    </xf>
    <xf numFmtId="0" fontId="72" fillId="0" borderId="8" xfId="48" applyFont="1" applyFill="1" applyBorder="1" applyAlignment="1">
      <alignment horizontal="center" vertical="center"/>
      <protection/>
    </xf>
    <xf numFmtId="0" fontId="72" fillId="0" borderId="36" xfId="48" applyFont="1" applyFill="1" applyBorder="1" applyAlignment="1">
      <alignment horizontal="center" vertical="center"/>
      <protection/>
    </xf>
    <xf numFmtId="0" fontId="72" fillId="0" borderId="57" xfId="48" applyFont="1" applyFill="1" applyBorder="1" applyAlignment="1">
      <alignment horizontal="center" vertical="center"/>
      <protection/>
    </xf>
  </cellXfs>
  <cellStyles count="50">
    <cellStyle name="Normal" xfId="0"/>
    <cellStyle name="Percent" xfId="15"/>
    <cellStyle name="Currency" xfId="16"/>
    <cellStyle name="Currency [0]" xfId="17"/>
    <cellStyle name="Comma" xfId="18"/>
    <cellStyle name="Comma [0]" xfId="19"/>
    <cellStyle name="20% - アクセント1" xfId="20"/>
    <cellStyle name="20% - アクセント2" xfId="21"/>
    <cellStyle name="20% - アクセント3" xfId="22"/>
    <cellStyle name="20% - アクセント4" xfId="23"/>
    <cellStyle name="20% - アクセント5" xfId="24"/>
    <cellStyle name="20% - アクセント6" xfId="25"/>
    <cellStyle name="40% - アクセント1" xfId="26"/>
    <cellStyle name="40% - アクセント2" xfId="27"/>
    <cellStyle name="40% - アクセント3" xfId="28"/>
    <cellStyle name="40% - アクセント4" xfId="29"/>
    <cellStyle name="40% - アクセント5" xfId="30"/>
    <cellStyle name="40% - アクセント6" xfId="31"/>
    <cellStyle name="60% - アクセント1" xfId="32"/>
    <cellStyle name="60% - アクセント2" xfId="33"/>
    <cellStyle name="60% - アクセント3" xfId="34"/>
    <cellStyle name="60% - アクセント4" xfId="35"/>
    <cellStyle name="60% - アクセント5" xfId="36"/>
    <cellStyle name="60% - アクセント6" xfId="37"/>
    <cellStyle name="ハイパーリンク 2" xfId="38"/>
    <cellStyle name="ハイパーリンク 3" xfId="39"/>
    <cellStyle name="桁区切り 2" xfId="40"/>
    <cellStyle name="合計" xfId="41"/>
    <cellStyle name="通貨 2" xfId="42"/>
    <cellStyle name="標準 10" xfId="43"/>
    <cellStyle name="標準 10 3" xfId="44"/>
    <cellStyle name="標準 2" xfId="45"/>
    <cellStyle name="標準 2 2" xfId="46"/>
    <cellStyle name="標準 2 3" xfId="47"/>
    <cellStyle name="標準 2 4" xfId="48"/>
    <cellStyle name="標準 2_参加申込書" xfId="49"/>
    <cellStyle name="標準 3" xfId="50"/>
    <cellStyle name="標準 3 2" xfId="51"/>
    <cellStyle name="標準 4" xfId="52"/>
    <cellStyle name="標準 5" xfId="53"/>
    <cellStyle name="標準 6" xfId="54"/>
    <cellStyle name="標準 7" xfId="55"/>
    <cellStyle name="標準 8" xfId="56"/>
    <cellStyle name="標準 9" xfId="57"/>
    <cellStyle name="標準_２０００年度春ﾘｰｸﾞ成績表" xfId="58"/>
    <cellStyle name="標準_結果報告用紙_３７全少抽選会資料" xfId="59"/>
    <cellStyle name="標準_組み合わせ作成" xfId="60"/>
    <cellStyle name="標準_組合せ　抽選用" xfId="61"/>
    <cellStyle name="標準_予選" xfId="62"/>
    <cellStyle name="普通" xfId="63"/>
  </cellStyles>
  <dxfs count="75">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
      <fill>
        <patternFill patternType="solid">
          <fgColor indexed="10"/>
          <bgColor indexed="10"/>
        </patternFill>
      </fill>
      <border/>
    </dxf>
    <dxf>
      <fill>
        <patternFill patternType="solid">
          <fgColor indexed="13"/>
          <bgColor indexed="13"/>
        </patternFill>
      </fill>
      <border/>
    </dxf>
    <dxf>
      <fill>
        <gradientFill type="path">
          <stop position="0">
            <color indexed="13"/>
          </stop>
          <stop position="1">
            <color indexed="10"/>
          </stop>
        </gradient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xdr:row>
      <xdr:rowOff>95250</xdr:rowOff>
    </xdr:from>
    <xdr:to>
      <xdr:col>27</xdr:col>
      <xdr:colOff>85725</xdr:colOff>
      <xdr:row>7</xdr:row>
      <xdr:rowOff>381000</xdr:rowOff>
    </xdr:to>
    <xdr:sp macro="" textlink="">
      <xdr:nvSpPr>
        <xdr:cNvPr id="2" name="楕円 1"/>
        <xdr:cNvSpPr/>
      </xdr:nvSpPr>
      <xdr:spPr bwMode="auto">
        <a:xfrm>
          <a:off x="11410950" y="2924175"/>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twoCellAnchor>
    <xdr:from>
      <xdr:col>8</xdr:col>
      <xdr:colOff>314325</xdr:colOff>
      <xdr:row>3</xdr:row>
      <xdr:rowOff>304800</xdr:rowOff>
    </xdr:from>
    <xdr:to>
      <xdr:col>18</xdr:col>
      <xdr:colOff>114300</xdr:colOff>
      <xdr:row>5</xdr:row>
      <xdr:rowOff>95250</xdr:rowOff>
    </xdr:to>
    <xdr:sp macro="" textlink="">
      <xdr:nvSpPr>
        <xdr:cNvPr id="3" name="吹き出し: 線 2"/>
        <xdr:cNvSpPr/>
      </xdr:nvSpPr>
      <xdr:spPr bwMode="auto">
        <a:xfrm>
          <a:off x="3819525" y="1571625"/>
          <a:ext cx="4181475" cy="571500"/>
        </a:xfrm>
        <a:prstGeom prst="borderCallout1">
          <a:avLst>
            <a:gd name="adj1" fmla="val 1359"/>
            <a:gd name="adj2" fmla="val 55745"/>
            <a:gd name="adj3" fmla="val -102277"/>
            <a:gd name="adj4" fmla="val 16639"/>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大会名はリストから選択できます</a:t>
          </a:r>
          <a:endParaRPr/>
        </a:p>
      </xdr:txBody>
    </xdr:sp>
    <xdr:clientData/>
  </xdr:twoCellAnchor>
  <xdr:twoCellAnchor>
    <xdr:from>
      <xdr:col>0</xdr:col>
      <xdr:colOff>95250</xdr:colOff>
      <xdr:row>4</xdr:row>
      <xdr:rowOff>66675</xdr:rowOff>
    </xdr:from>
    <xdr:to>
      <xdr:col>6</xdr:col>
      <xdr:colOff>57150</xdr:colOff>
      <xdr:row>5</xdr:row>
      <xdr:rowOff>114300</xdr:rowOff>
    </xdr:to>
    <xdr:sp macro="" textlink="">
      <xdr:nvSpPr>
        <xdr:cNvPr id="4" name="吹き出し: 線 3"/>
        <xdr:cNvSpPr/>
      </xdr:nvSpPr>
      <xdr:spPr bwMode="auto">
        <a:xfrm>
          <a:off x="95250" y="1724025"/>
          <a:ext cx="2590800" cy="438150"/>
        </a:xfrm>
        <a:prstGeom prst="borderCallout1">
          <a:avLst>
            <a:gd name="adj1" fmla="val 1359"/>
            <a:gd name="adj2" fmla="val 55745"/>
            <a:gd name="adj3" fmla="val -67288"/>
            <a:gd name="adj4" fmla="val 87538"/>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感染対策責任者を記入願います</a:t>
          </a:r>
          <a:endParaRPr/>
        </a:p>
      </xdr:txBody>
    </xdr:sp>
    <xdr:clientData/>
  </xdr:twoCellAnchor>
  <xdr:twoCellAnchor>
    <xdr:from>
      <xdr:col>29</xdr:col>
      <xdr:colOff>352425</xdr:colOff>
      <xdr:row>1</xdr:row>
      <xdr:rowOff>76200</xdr:rowOff>
    </xdr:from>
    <xdr:to>
      <xdr:col>35</xdr:col>
      <xdr:colOff>314325</xdr:colOff>
      <xdr:row>4</xdr:row>
      <xdr:rowOff>47625</xdr:rowOff>
    </xdr:to>
    <xdr:sp macro="" textlink="">
      <xdr:nvSpPr>
        <xdr:cNvPr id="5" name="吹き出し: 線 4"/>
        <xdr:cNvSpPr/>
      </xdr:nvSpPr>
      <xdr:spPr bwMode="auto">
        <a:xfrm>
          <a:off x="13058775" y="561975"/>
          <a:ext cx="3695700" cy="1143000"/>
        </a:xfrm>
        <a:prstGeom prst="borderCallout1">
          <a:avLst>
            <a:gd name="adj1" fmla="val 1359"/>
            <a:gd name="adj2" fmla="val 55745"/>
            <a:gd name="adj3" fmla="val 29448"/>
            <a:gd name="adj4" fmla="val -88137"/>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期日・会場はリストから選択できます</a:t>
          </a:r>
          <a:endParaRPr/>
        </a:p>
      </xdr:txBody>
    </xdr:sp>
    <xdr:clientData/>
  </xdr:twoCellAnchor>
  <xdr:twoCellAnchor>
    <xdr:from>
      <xdr:col>29</xdr:col>
      <xdr:colOff>190500</xdr:colOff>
      <xdr:row>5</xdr:row>
      <xdr:rowOff>114300</xdr:rowOff>
    </xdr:from>
    <xdr:to>
      <xdr:col>34</xdr:col>
      <xdr:colOff>285750</xdr:colOff>
      <xdr:row>6</xdr:row>
      <xdr:rowOff>285750</xdr:rowOff>
    </xdr:to>
    <xdr:sp macro="" textlink="">
      <xdr:nvSpPr>
        <xdr:cNvPr id="6" name="吹き出し: 線 5"/>
        <xdr:cNvSpPr/>
      </xdr:nvSpPr>
      <xdr:spPr bwMode="auto">
        <a:xfrm>
          <a:off x="12896850" y="2162175"/>
          <a:ext cx="3114675" cy="561975"/>
        </a:xfrm>
        <a:prstGeom prst="borderCallout1">
          <a:avLst>
            <a:gd name="adj1" fmla="val 1359"/>
            <a:gd name="adj2" fmla="val 55745"/>
            <a:gd name="adj3" fmla="val -108718"/>
            <a:gd name="adj4" fmla="val -57241"/>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r>
            <a:rPr lang="ja-JP" sz="1100" b="1">
              <a:solidFill>
                <a:schemeClr val="bg1"/>
              </a:solidFill>
              <a:latin typeface="Meiryo UI"/>
              <a:ea typeface="Meiryo UI"/>
            </a:rPr>
            <a:t>感染対策責任者を電話番号記入願います</a:t>
          </a:r>
          <a:endParaRPr/>
        </a:p>
      </xdr:txBody>
    </xdr:sp>
    <xdr:clientData/>
  </xdr:twoCellAnchor>
  <xdr:twoCellAnchor>
    <xdr:from>
      <xdr:col>26</xdr:col>
      <xdr:colOff>0</xdr:colOff>
      <xdr:row>8</xdr:row>
      <xdr:rowOff>0</xdr:rowOff>
    </xdr:from>
    <xdr:to>
      <xdr:col>27</xdr:col>
      <xdr:colOff>66675</xdr:colOff>
      <xdr:row>8</xdr:row>
      <xdr:rowOff>285750</xdr:rowOff>
    </xdr:to>
    <xdr:sp macro="" textlink="">
      <xdr:nvSpPr>
        <xdr:cNvPr id="7" name="楕円 6"/>
        <xdr:cNvSpPr/>
      </xdr:nvSpPr>
      <xdr:spPr bwMode="auto">
        <a:xfrm>
          <a:off x="11391900" y="3219450"/>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twoCellAnchor>
    <xdr:from>
      <xdr:col>26</xdr:col>
      <xdr:colOff>0</xdr:colOff>
      <xdr:row>9</xdr:row>
      <xdr:rowOff>0</xdr:rowOff>
    </xdr:from>
    <xdr:to>
      <xdr:col>27</xdr:col>
      <xdr:colOff>66675</xdr:colOff>
      <xdr:row>9</xdr:row>
      <xdr:rowOff>285750</xdr:rowOff>
    </xdr:to>
    <xdr:sp macro="" textlink="">
      <xdr:nvSpPr>
        <xdr:cNvPr id="8" name="楕円 7"/>
        <xdr:cNvSpPr/>
      </xdr:nvSpPr>
      <xdr:spPr bwMode="auto">
        <a:xfrm>
          <a:off x="11391900" y="3609975"/>
          <a:ext cx="504825" cy="285750"/>
        </a:xfrm>
        <a:prstGeom prst="ellipse">
          <a:avLst/>
        </a:prstGeom>
        <a:noFill/>
        <a:ln w="19050" cap="flat" cmpd="sng" algn="ctr">
          <a:solidFill>
            <a:sysClr val="windowText" lastClr="000000"/>
          </a:solidFill>
          <a:prstDash val="solid"/>
          <a:miter lim="800000"/>
          <a:headEnd type="none"/>
          <a:tailEnd type="none"/>
        </a:ln>
      </xdr:spPr>
      <xdr:txBody>
        <a:bodyPr vertOverflow="clip" horzOverflow="clip" rtlCol="0" anchor="t"/>
        <a:lstStyle/>
        <a:p>
          <a:pPr marL="0" marR="0" lvl="0" indent="0" algn="l" defTabSz="914400">
            <a:lnSpc>
              <a:spcPct val="100000"/>
            </a:lnSpc>
            <a:spcBef>
              <a:spcPts val="0"/>
            </a:spcBef>
            <a:spcAft>
              <a:spcPts val="0"/>
            </a:spcAft>
            <a:buClrTx/>
            <a:buSzTx/>
            <a:buFontTx/>
            <a:buNone/>
            <a:defRPr/>
          </a:pPr>
          <a:endParaRPr lang="ja-JP" sz="1100" b="0" i="0" u="none" strike="noStrike" cap="none" spc="0">
            <a:ln>
              <a:noFill/>
            </a:ln>
            <a:solidFill>
              <a:sysClr val="window" lastClr="FFFFFF"/>
            </a:solidFill>
            <a:latin typeface="Calibri"/>
            <a:ea typeface="游ゴシック"/>
            <a:cs typeface="Arial"/>
          </a:endParaRPr>
        </a:p>
      </xdr:txBody>
    </xdr:sp>
    <xdr:clientData/>
  </xdr:twoCellAnchor>
  <xdr:twoCellAnchor>
    <xdr:from>
      <xdr:col>26</xdr:col>
      <xdr:colOff>0</xdr:colOff>
      <xdr:row>11</xdr:row>
      <xdr:rowOff>0</xdr:rowOff>
    </xdr:from>
    <xdr:to>
      <xdr:col>27</xdr:col>
      <xdr:colOff>66675</xdr:colOff>
      <xdr:row>11</xdr:row>
      <xdr:rowOff>285750</xdr:rowOff>
    </xdr:to>
    <xdr:sp macro="" textlink="">
      <xdr:nvSpPr>
        <xdr:cNvPr id="9" name="楕円 8"/>
        <xdr:cNvSpPr/>
      </xdr:nvSpPr>
      <xdr:spPr bwMode="auto">
        <a:xfrm>
          <a:off x="11391900" y="4391025"/>
          <a:ext cx="504825" cy="285750"/>
        </a:xfrm>
        <a:prstGeom prst="ellipse">
          <a:avLst/>
        </a:prstGeom>
        <a:noFill/>
        <a:ln w="19050" cap="flat" cmpd="sng" algn="ctr">
          <a:solidFill>
            <a:sysClr val="windowText" lastClr="000000"/>
          </a:solidFill>
          <a:prstDash val="solid"/>
          <a:miter lim="800000"/>
          <a:headEnd type="none"/>
          <a:tailEnd type="none"/>
        </a:ln>
      </xdr:spPr>
      <xdr:txBody>
        <a:bodyPr vertOverflow="clip" horzOverflow="clip" rtlCol="0" anchor="t"/>
        <a:lstStyle/>
        <a:p>
          <a:pPr marL="0" marR="0" lvl="0" indent="0" algn="l" defTabSz="914400">
            <a:lnSpc>
              <a:spcPct val="100000"/>
            </a:lnSpc>
            <a:spcBef>
              <a:spcPts val="0"/>
            </a:spcBef>
            <a:spcAft>
              <a:spcPts val="0"/>
            </a:spcAft>
            <a:buClrTx/>
            <a:buSzTx/>
            <a:buFontTx/>
            <a:buNone/>
            <a:defRPr/>
          </a:pPr>
          <a:endParaRPr lang="ja-JP" sz="1100" b="0" i="0" u="none" strike="noStrike" cap="none" spc="0">
            <a:ln>
              <a:noFill/>
            </a:ln>
            <a:solidFill>
              <a:sysClr val="window" lastClr="FFFFFF"/>
            </a:solidFill>
            <a:latin typeface="Calibri"/>
            <a:ea typeface="游ゴシック"/>
            <a:cs typeface="Arial"/>
          </a:endParaRPr>
        </a:p>
      </xdr:txBody>
    </xdr:sp>
    <xdr:clientData/>
  </xdr:twoCellAnchor>
  <xdr:twoCellAnchor>
    <xdr:from>
      <xdr:col>6</xdr:col>
      <xdr:colOff>171450</xdr:colOff>
      <xdr:row>12</xdr:row>
      <xdr:rowOff>161925</xdr:rowOff>
    </xdr:from>
    <xdr:to>
      <xdr:col>23</xdr:col>
      <xdr:colOff>161925</xdr:colOff>
      <xdr:row>14</xdr:row>
      <xdr:rowOff>76200</xdr:rowOff>
    </xdr:to>
    <xdr:sp macro="" textlink="">
      <xdr:nvSpPr>
        <xdr:cNvPr id="10" name="吹き出し: 線 9"/>
        <xdr:cNvSpPr/>
      </xdr:nvSpPr>
      <xdr:spPr bwMode="auto">
        <a:xfrm>
          <a:off x="2800350" y="4943475"/>
          <a:ext cx="7439025" cy="695325"/>
        </a:xfrm>
        <a:prstGeom prst="borderCallout1">
          <a:avLst>
            <a:gd name="adj1" fmla="val 1359"/>
            <a:gd name="adj2" fmla="val 55745"/>
            <a:gd name="adj3" fmla="val -165141"/>
            <a:gd name="adj4" fmla="val 36304"/>
          </a:avLst>
        </a:prstGeom>
        <a:solidFill>
          <a:srgbClr val="0000CC"/>
        </a:solidFill>
        <a:ln>
          <a:solidFill>
            <a:srgbClr val="0000CC"/>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defRPr/>
          </a:pPr>
          <a:r>
            <a:rPr lang="ja-JP" sz="1100" b="1">
              <a:solidFill>
                <a:schemeClr val="lt1"/>
              </a:solidFill>
              <a:latin typeface="Meiryo UI"/>
              <a:ea typeface="Meiryo UI"/>
              <a:cs typeface="Arial"/>
            </a:rPr>
            <a:t>チーム登録を行っている指導者・選手及び関係する保護者をあらかじめ入力しておき、参加時した場合に</a:t>
          </a:r>
          <a:r>
            <a:rPr lang="en-US" sz="1100" b="1">
              <a:solidFill>
                <a:schemeClr val="lt1"/>
              </a:solidFill>
              <a:latin typeface="Meiryo UI"/>
              <a:ea typeface="Meiryo UI"/>
              <a:cs typeface="Arial"/>
            </a:rPr>
            <a:t>『</a:t>
          </a:r>
          <a:r>
            <a:rPr lang="ja-JP" sz="1100" b="1">
              <a:solidFill>
                <a:schemeClr val="lt1"/>
              </a:solidFill>
              <a:latin typeface="Meiryo UI"/>
              <a:ea typeface="Meiryo UI"/>
              <a:cs typeface="Arial"/>
            </a:rPr>
            <a:t>参加者種別</a:t>
          </a:r>
          <a:r>
            <a:rPr lang="en-US" sz="1100" b="1">
              <a:solidFill>
                <a:schemeClr val="lt1"/>
              </a:solidFill>
              <a:latin typeface="Meiryo UI"/>
              <a:ea typeface="Meiryo UI"/>
              <a:cs typeface="Arial"/>
            </a:rPr>
            <a:t>』</a:t>
          </a:r>
          <a:r>
            <a:rPr lang="ja-JP" sz="1100" b="1">
              <a:solidFill>
                <a:schemeClr val="lt1"/>
              </a:solidFill>
              <a:latin typeface="Meiryo UI"/>
              <a:ea typeface="Meiryo UI"/>
              <a:cs typeface="Arial"/>
            </a:rPr>
            <a:t>へチェックすると記入の手間が省けます。</a:t>
          </a:r>
          <a:endParaRPr lang="ja-JP">
            <a:latin typeface="Meiryo UI"/>
            <a:ea typeface="Meiryo UI"/>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19050</xdr:colOff>
      <xdr:row>7</xdr:row>
      <xdr:rowOff>95250</xdr:rowOff>
    </xdr:from>
    <xdr:to>
      <xdr:col>27</xdr:col>
      <xdr:colOff>85725</xdr:colOff>
      <xdr:row>7</xdr:row>
      <xdr:rowOff>381000</xdr:rowOff>
    </xdr:to>
    <xdr:sp macro="" textlink="">
      <xdr:nvSpPr>
        <xdr:cNvPr id="2" name="楕円 1"/>
        <xdr:cNvSpPr/>
      </xdr:nvSpPr>
      <xdr:spPr bwMode="auto">
        <a:xfrm>
          <a:off x="11410950" y="2924175"/>
          <a:ext cx="504825" cy="285750"/>
        </a:xfrm>
        <a:prstGeom prst="ellipse">
          <a:avLst/>
        </a:prstGeom>
        <a:no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defRPr/>
          </a:pPr>
          <a:endParaRPr lang="ja-JP"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29</xdr:row>
      <xdr:rowOff>38100</xdr:rowOff>
    </xdr:from>
    <xdr:to>
      <xdr:col>10</xdr:col>
      <xdr:colOff>38100</xdr:colOff>
      <xdr:row>29</xdr:row>
      <xdr:rowOff>190500</xdr:rowOff>
    </xdr:to>
    <xdr:sp macro="" textlink="">
      <xdr:nvSpPr>
        <xdr:cNvPr id="21" name="大かっこ 20"/>
        <xdr:cNvSpPr/>
      </xdr:nvSpPr>
      <xdr:spPr bwMode="auto">
        <a:xfrm>
          <a:off x="381000" y="6105525"/>
          <a:ext cx="1657350" cy="152400"/>
        </a:xfrm>
        <a:prstGeom prst="bracketPair">
          <a:avLst>
            <a:gd name="adj" fmla="val 16667"/>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defRPr/>
          </a:pPr>
          <a:endParaRPr lang="ja-JP"/>
        </a:p>
      </xdr:txBody>
    </xdr:sp>
    <xdr:clientData/>
  </xdr:twoCellAnchor>
  <xdr:twoCellAnchor>
    <xdr:from>
      <xdr:col>1</xdr:col>
      <xdr:colOff>180975</xdr:colOff>
      <xdr:row>30</xdr:row>
      <xdr:rowOff>38100</xdr:rowOff>
    </xdr:from>
    <xdr:to>
      <xdr:col>10</xdr:col>
      <xdr:colOff>38100</xdr:colOff>
      <xdr:row>30</xdr:row>
      <xdr:rowOff>190500</xdr:rowOff>
    </xdr:to>
    <xdr:sp macro="" textlink="">
      <xdr:nvSpPr>
        <xdr:cNvPr id="22" name="大かっこ 21"/>
        <xdr:cNvSpPr/>
      </xdr:nvSpPr>
      <xdr:spPr bwMode="auto">
        <a:xfrm>
          <a:off x="381000" y="6315075"/>
          <a:ext cx="1657350" cy="152400"/>
        </a:xfrm>
        <a:prstGeom prst="bracketPair">
          <a:avLst>
            <a:gd name="adj" fmla="val 16667"/>
          </a:avLst>
        </a:prstGeom>
        <a:ln>
          <a:headEnd type="none"/>
          <a:tailEnd type="none"/>
        </a:ln>
      </xdr:spPr>
      <xdr:style>
        <a:lnRef idx="1">
          <a:schemeClr val="tx1"/>
        </a:lnRef>
        <a:fillRef idx="0">
          <a:schemeClr val="tx1"/>
        </a:fillRef>
        <a:effectRef idx="0">
          <a:schemeClr val="tx1"/>
        </a:effectRef>
        <a:fontRef idx="minor">
          <a:schemeClr val="tx1"/>
        </a:fontRef>
      </xdr:style>
      <xdr:txBody>
        <a:bodyPr vertOverflow="clip" horzOverflow="clip" rtlCol="0" anchor="t"/>
        <a:lstStyle/>
        <a:p>
          <a:pPr>
            <a:defRPr/>
          </a:pPr>
          <a:endParaRPr lang="ja-JP"/>
        </a:p>
      </xdr:txBody>
    </xdr:sp>
    <xdr:clientData/>
  </xdr:twoCellAnchor>
  <xdr:twoCellAnchor editAs="oneCell">
    <xdr:from>
      <xdr:col>26</xdr:col>
      <xdr:colOff>114300</xdr:colOff>
      <xdr:row>109</xdr:row>
      <xdr:rowOff>9525</xdr:rowOff>
    </xdr:from>
    <xdr:to>
      <xdr:col>35</xdr:col>
      <xdr:colOff>161925</xdr:colOff>
      <xdr:row>112</xdr:row>
      <xdr:rowOff>142875</xdr:rowOff>
    </xdr:to>
    <xdr:pic>
      <xdr:nvPicPr>
        <xdr:cNvPr id="25" name="図 1"/>
        <xdr:cNvPicPr preferRelativeResize="1">
          <a:picLocks noChangeAspect="1"/>
        </xdr:cNvPicPr>
      </xdr:nvPicPr>
      <xdr:blipFill>
        <a:blip r:embed="rId1"/>
        <a:stretch>
          <a:fillRect/>
        </a:stretch>
      </xdr:blipFill>
      <xdr:spPr bwMode="auto">
        <a:xfrm>
          <a:off x="5314950" y="23002875"/>
          <a:ext cx="1847850" cy="762000"/>
        </a:xfrm>
        <a:prstGeom prst="rect">
          <a:avLst/>
        </a:prstGeom>
        <a:noFill/>
        <a:ln w="9525">
          <a:noFill/>
        </a:ln>
      </xdr:spPr>
    </xdr:pic>
    <xdr:clientData/>
  </xdr:twoCellAnchor>
  <xdr:twoCellAnchor editAs="oneCell">
    <xdr:from>
      <xdr:col>22</xdr:col>
      <xdr:colOff>85725</xdr:colOff>
      <xdr:row>109</xdr:row>
      <xdr:rowOff>57150</xdr:rowOff>
    </xdr:from>
    <xdr:to>
      <xdr:col>27</xdr:col>
      <xdr:colOff>19050</xdr:colOff>
      <xdr:row>112</xdr:row>
      <xdr:rowOff>47625</xdr:rowOff>
    </xdr:to>
    <xdr:pic>
      <xdr:nvPicPr>
        <xdr:cNvPr id="24" name="図 23"/>
        <xdr:cNvPicPr preferRelativeResize="1">
          <a:picLocks noChangeAspect="1"/>
        </xdr:cNvPicPr>
      </xdr:nvPicPr>
      <xdr:blipFill>
        <a:blip r:embed="rId2"/>
        <a:stretch>
          <a:fillRect/>
        </a:stretch>
      </xdr:blipFill>
      <xdr:spPr bwMode="auto">
        <a:xfrm>
          <a:off x="4486275" y="23050500"/>
          <a:ext cx="933450" cy="619125"/>
        </a:xfrm>
        <a:prstGeom prst="rect">
          <a:avLst/>
        </a:prstGeom>
        <a:noFill/>
        <a:ln w="9525">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15</xdr:col>
      <xdr:colOff>0</xdr:colOff>
      <xdr:row>19</xdr:row>
      <xdr:rowOff>0</xdr:rowOff>
    </xdr:to>
    <xdr:sp macro="" textlink="">
      <xdr:nvSpPr>
        <xdr:cNvPr id="1711" name="Line 1"/>
        <xdr:cNvSpPr>
          <a:spLocks noChangeShapeType="1"/>
        </xdr:cNvSpPr>
      </xdr:nvSpPr>
      <xdr:spPr bwMode="auto">
        <a:xfrm flipV="1">
          <a:off x="685800" y="3790950"/>
          <a:ext cx="7372350" cy="0"/>
        </a:xfrm>
        <a:prstGeom prst="line">
          <a:avLst/>
        </a:prstGeom>
        <a:noFill/>
        <a:ln w="12700">
          <a:solidFill>
            <a:srgbClr val="000000"/>
          </a:solidFill>
          <a:prstDash val="dashDot"/>
          <a:round/>
          <a:headEnd type="none"/>
          <a:tailEnd type="none"/>
        </a:ln>
      </xdr:spPr>
    </xdr:sp>
    <xdr:clientData/>
  </xdr:twoCellAnchor>
  <xdr:twoCellAnchor>
    <xdr:from>
      <xdr:col>8</xdr:col>
      <xdr:colOff>0</xdr:colOff>
      <xdr:row>3</xdr:row>
      <xdr:rowOff>0</xdr:rowOff>
    </xdr:from>
    <xdr:to>
      <xdr:col>8</xdr:col>
      <xdr:colOff>0</xdr:colOff>
      <xdr:row>36</xdr:row>
      <xdr:rowOff>0</xdr:rowOff>
    </xdr:to>
    <xdr:sp macro="" textlink="">
      <xdr:nvSpPr>
        <xdr:cNvPr id="1712" name="Line 2"/>
        <xdr:cNvSpPr>
          <a:spLocks noChangeShapeType="1"/>
        </xdr:cNvSpPr>
      </xdr:nvSpPr>
      <xdr:spPr bwMode="auto">
        <a:xfrm>
          <a:off x="4371975" y="590550"/>
          <a:ext cx="0" cy="6600825"/>
        </a:xfrm>
        <a:prstGeom prst="line">
          <a:avLst/>
        </a:prstGeom>
        <a:noFill/>
        <a:ln w="38100">
          <a:solidFill>
            <a:srgbClr val="000000"/>
          </a:solidFill>
          <a:prstDash val="dashDot"/>
          <a:round/>
          <a:headEnd type="none"/>
          <a:tailEnd type="none"/>
        </a:ln>
      </xdr:spPr>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0</xdr:rowOff>
    </xdr:from>
    <xdr:to>
      <xdr:col>4</xdr:col>
      <xdr:colOff>0</xdr:colOff>
      <xdr:row>6</xdr:row>
      <xdr:rowOff>0</xdr:rowOff>
    </xdr:to>
    <xdr:sp macro="" textlink="">
      <xdr:nvSpPr>
        <xdr:cNvPr id="66784" name="AutoShape 2"/>
        <xdr:cNvSpPr>
          <a:spLocks noChangeArrowheads="1"/>
        </xdr:cNvSpPr>
      </xdr:nvSpPr>
      <xdr:spPr bwMode="auto">
        <a:xfrm>
          <a:off x="180022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5</xdr:row>
      <xdr:rowOff>0</xdr:rowOff>
    </xdr:from>
    <xdr:to>
      <xdr:col>7</xdr:col>
      <xdr:colOff>0</xdr:colOff>
      <xdr:row>6</xdr:row>
      <xdr:rowOff>0</xdr:rowOff>
    </xdr:to>
    <xdr:sp macro="" textlink="">
      <xdr:nvSpPr>
        <xdr:cNvPr id="66785" name="AutoShape 3"/>
        <xdr:cNvSpPr>
          <a:spLocks noChangeArrowheads="1"/>
        </xdr:cNvSpPr>
      </xdr:nvSpPr>
      <xdr:spPr bwMode="auto">
        <a:xfrm>
          <a:off x="415290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5</xdr:row>
      <xdr:rowOff>0</xdr:rowOff>
    </xdr:from>
    <xdr:to>
      <xdr:col>10</xdr:col>
      <xdr:colOff>0</xdr:colOff>
      <xdr:row>6</xdr:row>
      <xdr:rowOff>0</xdr:rowOff>
    </xdr:to>
    <xdr:sp macro="" textlink="">
      <xdr:nvSpPr>
        <xdr:cNvPr id="66786" name="AutoShape 4"/>
        <xdr:cNvSpPr>
          <a:spLocks noChangeArrowheads="1"/>
        </xdr:cNvSpPr>
      </xdr:nvSpPr>
      <xdr:spPr bwMode="auto">
        <a:xfrm>
          <a:off x="6505575"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5</xdr:row>
      <xdr:rowOff>0</xdr:rowOff>
    </xdr:from>
    <xdr:to>
      <xdr:col>13</xdr:col>
      <xdr:colOff>0</xdr:colOff>
      <xdr:row>6</xdr:row>
      <xdr:rowOff>0</xdr:rowOff>
    </xdr:to>
    <xdr:sp macro="" textlink="">
      <xdr:nvSpPr>
        <xdr:cNvPr id="66787" name="AutoShape 5"/>
        <xdr:cNvSpPr>
          <a:spLocks noChangeArrowheads="1"/>
        </xdr:cNvSpPr>
      </xdr:nvSpPr>
      <xdr:spPr bwMode="auto">
        <a:xfrm>
          <a:off x="8858250" y="26574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3</xdr:col>
      <xdr:colOff>0</xdr:colOff>
      <xdr:row>10</xdr:row>
      <xdr:rowOff>0</xdr:rowOff>
    </xdr:from>
    <xdr:to>
      <xdr:col>4</xdr:col>
      <xdr:colOff>0</xdr:colOff>
      <xdr:row>11</xdr:row>
      <xdr:rowOff>0</xdr:rowOff>
    </xdr:to>
    <xdr:sp macro="" textlink="">
      <xdr:nvSpPr>
        <xdr:cNvPr id="66788" name="AutoShape 6"/>
        <xdr:cNvSpPr>
          <a:spLocks noChangeArrowheads="1"/>
        </xdr:cNvSpPr>
      </xdr:nvSpPr>
      <xdr:spPr bwMode="auto">
        <a:xfrm>
          <a:off x="1800225"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6</xdr:col>
      <xdr:colOff>0</xdr:colOff>
      <xdr:row>10</xdr:row>
      <xdr:rowOff>0</xdr:rowOff>
    </xdr:from>
    <xdr:to>
      <xdr:col>7</xdr:col>
      <xdr:colOff>0</xdr:colOff>
      <xdr:row>11</xdr:row>
      <xdr:rowOff>0</xdr:rowOff>
    </xdr:to>
    <xdr:sp macro="" textlink="">
      <xdr:nvSpPr>
        <xdr:cNvPr id="66789" name="AutoShape 7"/>
        <xdr:cNvSpPr>
          <a:spLocks noChangeArrowheads="1"/>
        </xdr:cNvSpPr>
      </xdr:nvSpPr>
      <xdr:spPr bwMode="auto">
        <a:xfrm>
          <a:off x="4152900"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9</xdr:col>
      <xdr:colOff>0</xdr:colOff>
      <xdr:row>10</xdr:row>
      <xdr:rowOff>0</xdr:rowOff>
    </xdr:from>
    <xdr:to>
      <xdr:col>10</xdr:col>
      <xdr:colOff>0</xdr:colOff>
      <xdr:row>11</xdr:row>
      <xdr:rowOff>0</xdr:rowOff>
    </xdr:to>
    <xdr:sp macro="" textlink="">
      <xdr:nvSpPr>
        <xdr:cNvPr id="66790" name="AutoShape 8"/>
        <xdr:cNvSpPr>
          <a:spLocks noChangeArrowheads="1"/>
        </xdr:cNvSpPr>
      </xdr:nvSpPr>
      <xdr:spPr bwMode="auto">
        <a:xfrm>
          <a:off x="6505575" y="5514975"/>
          <a:ext cx="809625" cy="571500"/>
        </a:xfrm>
        <a:prstGeom prst="triangle">
          <a:avLst>
            <a:gd name="adj" fmla="val 50000"/>
          </a:avLst>
        </a:prstGeom>
        <a:noFill/>
        <a:ln w="12700">
          <a:solidFill>
            <a:srgbClr val="000000"/>
          </a:solidFill>
          <a:miter lim="800000"/>
          <a:headEnd type="none"/>
          <a:tailEnd type="none"/>
        </a:ln>
      </xdr:spPr>
    </xdr:sp>
    <xdr:clientData/>
  </xdr:twoCellAnchor>
  <xdr:twoCellAnchor>
    <xdr:from>
      <xdr:col>12</xdr:col>
      <xdr:colOff>0</xdr:colOff>
      <xdr:row>10</xdr:row>
      <xdr:rowOff>0</xdr:rowOff>
    </xdr:from>
    <xdr:to>
      <xdr:col>13</xdr:col>
      <xdr:colOff>0</xdr:colOff>
      <xdr:row>11</xdr:row>
      <xdr:rowOff>0</xdr:rowOff>
    </xdr:to>
    <xdr:sp macro="" textlink="">
      <xdr:nvSpPr>
        <xdr:cNvPr id="66791" name="AutoShape 9"/>
        <xdr:cNvSpPr>
          <a:spLocks noChangeArrowheads="1"/>
        </xdr:cNvSpPr>
      </xdr:nvSpPr>
      <xdr:spPr bwMode="auto">
        <a:xfrm>
          <a:off x="8858250" y="5514975"/>
          <a:ext cx="809625" cy="571500"/>
        </a:xfrm>
        <a:prstGeom prst="triangle">
          <a:avLst>
            <a:gd name="adj" fmla="val 50000"/>
          </a:avLst>
        </a:prstGeom>
        <a:noFill/>
        <a:ln w="12700">
          <a:solidFill>
            <a:srgbClr val="000000"/>
          </a:solidFill>
          <a:miter lim="800000"/>
          <a:headEnd type="none"/>
          <a:tailEnd type="none"/>
        </a:ln>
      </xdr:spPr>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80</xdr:row>
      <xdr:rowOff>0</xdr:rowOff>
    </xdr:from>
    <xdr:to>
      <xdr:col>4</xdr:col>
      <xdr:colOff>0</xdr:colOff>
      <xdr:row>84</xdr:row>
      <xdr:rowOff>0</xdr:rowOff>
    </xdr:to>
    <xdr:cxnSp macro="">
      <xdr:nvCxnSpPr>
        <xdr:cNvPr id="3" name="直線コネクタ 2"/>
        <xdr:cNvCxnSpPr>
          <a:cxnSpLocks/>
        </xdr:cNvCxnSpPr>
      </xdr:nvCxnSpPr>
      <xdr:spPr bwMode="auto">
        <a:xfrm>
          <a:off x="0" y="13354050"/>
          <a:ext cx="2581275" cy="1333500"/>
        </a:xfrm>
        <a:prstGeom prst="line">
          <a:avLst/>
        </a:prstGeom>
        <a:ln>
          <a:solidFill>
            <a:schemeClr val="tx1"/>
          </a:solidFill>
          <a:headEnd type="none"/>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80</xdr:row>
      <xdr:rowOff>0</xdr:rowOff>
    </xdr:from>
    <xdr:to>
      <xdr:col>4</xdr:col>
      <xdr:colOff>0</xdr:colOff>
      <xdr:row>84</xdr:row>
      <xdr:rowOff>0</xdr:rowOff>
    </xdr:to>
    <xdr:cxnSp macro="">
      <xdr:nvCxnSpPr>
        <xdr:cNvPr id="7" name="直線コネクタ 6"/>
        <xdr:cNvCxnSpPr>
          <a:cxnSpLocks/>
        </xdr:cNvCxnSpPr>
      </xdr:nvCxnSpPr>
      <xdr:spPr bwMode="auto">
        <a:xfrm flipH="1">
          <a:off x="0" y="13354050"/>
          <a:ext cx="2581275" cy="1333500"/>
        </a:xfrm>
        <a:prstGeom prst="line">
          <a:avLst/>
        </a:prstGeom>
        <a:ln>
          <a:solidFill>
            <a:schemeClr val="tx1"/>
          </a:solidFill>
          <a:headEnd type="none"/>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110</xdr:row>
      <xdr:rowOff>0</xdr:rowOff>
    </xdr:from>
    <xdr:to>
      <xdr:col>3</xdr:col>
      <xdr:colOff>400050</xdr:colOff>
      <xdr:row>114</xdr:row>
      <xdr:rowOff>9525</xdr:rowOff>
    </xdr:to>
    <xdr:cxnSp macro="">
      <xdr:nvCxnSpPr>
        <xdr:cNvPr id="11" name="直線コネクタ 10"/>
        <xdr:cNvCxnSpPr>
          <a:cxnSpLocks/>
        </xdr:cNvCxnSpPr>
      </xdr:nvCxnSpPr>
      <xdr:spPr bwMode="auto">
        <a:xfrm>
          <a:off x="0" y="18221325"/>
          <a:ext cx="2466975" cy="1343025"/>
        </a:xfrm>
        <a:prstGeom prst="line">
          <a:avLst/>
        </a:prstGeom>
        <a:ln>
          <a:solidFill>
            <a:schemeClr val="tx1"/>
          </a:solidFill>
          <a:headEnd type="none"/>
          <a:tailEnd type="none"/>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0</xdr:col>
      <xdr:colOff>0</xdr:colOff>
      <xdr:row>110</xdr:row>
      <xdr:rowOff>0</xdr:rowOff>
    </xdr:from>
    <xdr:to>
      <xdr:col>4</xdr:col>
      <xdr:colOff>0</xdr:colOff>
      <xdr:row>114</xdr:row>
      <xdr:rowOff>0</xdr:rowOff>
    </xdr:to>
    <xdr:cxnSp macro="">
      <xdr:nvCxnSpPr>
        <xdr:cNvPr id="12" name="直線コネクタ 11"/>
        <xdr:cNvCxnSpPr>
          <a:cxnSpLocks/>
        </xdr:cNvCxnSpPr>
      </xdr:nvCxnSpPr>
      <xdr:spPr bwMode="auto">
        <a:xfrm flipH="1">
          <a:off x="0" y="18221325"/>
          <a:ext cx="2581275" cy="1333500"/>
        </a:xfrm>
        <a:prstGeom prst="line">
          <a:avLst/>
        </a:prstGeom>
        <a:ln>
          <a:solidFill>
            <a:schemeClr val="tx1"/>
          </a:solidFill>
          <a:headEnd type="none"/>
          <a:tailEnd type="none"/>
        </a:ln>
      </xdr:spPr>
      <xdr:style>
        <a:lnRef idx="2">
          <a:schemeClr val="accent1"/>
        </a:lnRef>
        <a:fillRef idx="0">
          <a:schemeClr val="accent1"/>
        </a:fillRef>
        <a:effectRef idx="1">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9</xdr:row>
      <xdr:rowOff>19050</xdr:rowOff>
    </xdr:from>
    <xdr:to>
      <xdr:col>15</xdr:col>
      <xdr:colOff>0</xdr:colOff>
      <xdr:row>10</xdr:row>
      <xdr:rowOff>19050</xdr:rowOff>
    </xdr:to>
    <xdr:sp macro="" textlink="">
      <xdr:nvSpPr>
        <xdr:cNvPr id="7" name="Oval 5"/>
        <xdr:cNvSpPr>
          <a:spLocks noChangeArrowheads="1"/>
        </xdr:cNvSpPr>
      </xdr:nvSpPr>
      <xdr:spPr bwMode="auto">
        <a:xfrm>
          <a:off x="3543300" y="2381250"/>
          <a:ext cx="885825" cy="247650"/>
        </a:xfrm>
        <a:prstGeom prst="ellipse">
          <a:avLst/>
        </a:prstGeom>
        <a:noFill/>
        <a:ln w="25400">
          <a:solidFill>
            <a:srgbClr val="000000"/>
          </a:solidFill>
          <a:round/>
          <a:headEnd type="none"/>
          <a:tailEnd type="none"/>
        </a:ln>
      </xdr:spPr>
    </xdr:sp>
    <xdr:clientData/>
  </xdr:twoCellAnchor>
  <xdr:twoCellAnchor>
    <xdr:from>
      <xdr:col>16</xdr:col>
      <xdr:colOff>0</xdr:colOff>
      <xdr:row>3</xdr:row>
      <xdr:rowOff>0</xdr:rowOff>
    </xdr:from>
    <xdr:to>
      <xdr:col>18</xdr:col>
      <xdr:colOff>0</xdr:colOff>
      <xdr:row>4</xdr:row>
      <xdr:rowOff>0</xdr:rowOff>
    </xdr:to>
    <xdr:sp macro="" textlink="">
      <xdr:nvSpPr>
        <xdr:cNvPr id="8" name="Oval 1"/>
        <xdr:cNvSpPr>
          <a:spLocks noChangeArrowheads="1"/>
        </xdr:cNvSpPr>
      </xdr:nvSpPr>
      <xdr:spPr bwMode="auto">
        <a:xfrm>
          <a:off x="4724400" y="876300"/>
          <a:ext cx="590550" cy="247650"/>
        </a:xfrm>
        <a:prstGeom prst="ellipse">
          <a:avLst/>
        </a:prstGeom>
        <a:noFill/>
        <a:ln w="25400">
          <a:solidFill>
            <a:srgbClr val="000000"/>
          </a:solidFill>
          <a:round/>
          <a:headEnd type="none"/>
          <a:tailEnd type="none"/>
        </a:ln>
      </xdr:spPr>
    </xdr:sp>
    <xdr:clientData/>
  </xdr:twoCellAnchor>
  <xdr:twoCellAnchor>
    <xdr:from>
      <xdr:col>16</xdr:col>
      <xdr:colOff>0</xdr:colOff>
      <xdr:row>4</xdr:row>
      <xdr:rowOff>0</xdr:rowOff>
    </xdr:from>
    <xdr:to>
      <xdr:col>17</xdr:col>
      <xdr:colOff>0</xdr:colOff>
      <xdr:row>5</xdr:row>
      <xdr:rowOff>0</xdr:rowOff>
    </xdr:to>
    <xdr:sp macro="" textlink="">
      <xdr:nvSpPr>
        <xdr:cNvPr id="10" name="Oval 4"/>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17</xdr:col>
      <xdr:colOff>257175</xdr:colOff>
      <xdr:row>3</xdr:row>
      <xdr:rowOff>247650</xdr:rowOff>
    </xdr:from>
    <xdr:to>
      <xdr:col>19</xdr:col>
      <xdr:colOff>257175</xdr:colOff>
      <xdr:row>4</xdr:row>
      <xdr:rowOff>247650</xdr:rowOff>
    </xdr:to>
    <xdr:sp macro="" textlink="">
      <xdr:nvSpPr>
        <xdr:cNvPr id="11" name="Oval 5"/>
        <xdr:cNvSpPr>
          <a:spLocks noChangeArrowheads="1"/>
        </xdr:cNvSpPr>
      </xdr:nvSpPr>
      <xdr:spPr bwMode="auto">
        <a:xfrm>
          <a:off x="5276850" y="1123950"/>
          <a:ext cx="590550" cy="247650"/>
        </a:xfrm>
        <a:prstGeom prst="ellipse">
          <a:avLst/>
        </a:prstGeom>
        <a:noFill/>
        <a:ln w="25400">
          <a:solidFill>
            <a:srgbClr val="000000"/>
          </a:solidFill>
          <a:round/>
          <a:headEnd type="none"/>
          <a:tailEnd type="none"/>
        </a:ln>
      </xdr:spPr>
    </xdr:sp>
    <xdr:clientData/>
  </xdr:twoCellAnchor>
  <xdr:twoCellAnchor>
    <xdr:from>
      <xdr:col>12</xdr:col>
      <xdr:colOff>257175</xdr:colOff>
      <xdr:row>3</xdr:row>
      <xdr:rowOff>247650</xdr:rowOff>
    </xdr:from>
    <xdr:to>
      <xdr:col>13</xdr:col>
      <xdr:colOff>257175</xdr:colOff>
      <xdr:row>4</xdr:row>
      <xdr:rowOff>247650</xdr:rowOff>
    </xdr:to>
    <xdr:sp macro="" textlink="">
      <xdr:nvSpPr>
        <xdr:cNvPr id="12" name="Oval 2"/>
        <xdr:cNvSpPr>
          <a:spLocks noChangeArrowheads="1"/>
        </xdr:cNvSpPr>
      </xdr:nvSpPr>
      <xdr:spPr bwMode="auto">
        <a:xfrm>
          <a:off x="3800475" y="1123950"/>
          <a:ext cx="295275" cy="247650"/>
        </a:xfrm>
        <a:prstGeom prst="ellipse">
          <a:avLst/>
        </a:prstGeom>
        <a:noFill/>
        <a:ln w="25400">
          <a:solidFill>
            <a:srgbClr val="000000"/>
          </a:solidFill>
          <a:round/>
          <a:headEnd type="none"/>
          <a:tailEnd type="none"/>
        </a:ln>
      </xdr:spPr>
    </xdr:sp>
    <xdr:clientData/>
  </xdr:twoCellAnchor>
  <xdr:twoCellAnchor>
    <xdr:from>
      <xdr:col>16</xdr:col>
      <xdr:colOff>0</xdr:colOff>
      <xdr:row>3</xdr:row>
      <xdr:rowOff>0</xdr:rowOff>
    </xdr:from>
    <xdr:to>
      <xdr:col>18</xdr:col>
      <xdr:colOff>0</xdr:colOff>
      <xdr:row>4</xdr:row>
      <xdr:rowOff>0</xdr:rowOff>
    </xdr:to>
    <xdr:sp macro="" textlink="">
      <xdr:nvSpPr>
        <xdr:cNvPr id="13" name="Oval 1"/>
        <xdr:cNvSpPr>
          <a:spLocks noChangeArrowheads="1"/>
        </xdr:cNvSpPr>
      </xdr:nvSpPr>
      <xdr:spPr bwMode="auto">
        <a:xfrm>
          <a:off x="4724400" y="876300"/>
          <a:ext cx="590550" cy="247650"/>
        </a:xfrm>
        <a:prstGeom prst="ellipse">
          <a:avLst/>
        </a:prstGeom>
        <a:noFill/>
        <a:ln w="25400">
          <a:solidFill>
            <a:srgbClr val="000000"/>
          </a:solidFill>
          <a:round/>
          <a:headEnd type="none"/>
          <a:tailEnd type="none"/>
        </a:ln>
      </xdr:spPr>
    </xdr:sp>
    <xdr:clientData/>
  </xdr:twoCellAnchor>
  <xdr:twoCellAnchor>
    <xdr:from>
      <xdr:col>16</xdr:col>
      <xdr:colOff>0</xdr:colOff>
      <xdr:row>4</xdr:row>
      <xdr:rowOff>0</xdr:rowOff>
    </xdr:from>
    <xdr:to>
      <xdr:col>17</xdr:col>
      <xdr:colOff>0</xdr:colOff>
      <xdr:row>5</xdr:row>
      <xdr:rowOff>0</xdr:rowOff>
    </xdr:to>
    <xdr:sp macro="" textlink="">
      <xdr:nvSpPr>
        <xdr:cNvPr id="14" name="Oval 4"/>
        <xdr:cNvSpPr>
          <a:spLocks noChangeArrowheads="1"/>
        </xdr:cNvSpPr>
      </xdr:nvSpPr>
      <xdr:spPr bwMode="auto">
        <a:xfrm>
          <a:off x="4724400" y="1123950"/>
          <a:ext cx="295275" cy="247650"/>
        </a:xfrm>
        <a:prstGeom prst="ellipse">
          <a:avLst/>
        </a:prstGeom>
        <a:noFill/>
        <a:ln w="25400">
          <a:solidFill>
            <a:srgbClr val="000000"/>
          </a:solidFill>
          <a:round/>
          <a:headEnd type="none"/>
          <a:tailEnd type="none"/>
        </a:ln>
      </xdr:spPr>
    </xdr:sp>
    <xdr:clientData/>
  </xdr:twoCellAnchor>
  <xdr:twoCellAnchor>
    <xdr:from>
      <xdr:col>9</xdr:col>
      <xdr:colOff>257175</xdr:colOff>
      <xdr:row>4</xdr:row>
      <xdr:rowOff>247650</xdr:rowOff>
    </xdr:from>
    <xdr:to>
      <xdr:col>10</xdr:col>
      <xdr:colOff>257175</xdr:colOff>
      <xdr:row>5</xdr:row>
      <xdr:rowOff>247650</xdr:rowOff>
    </xdr:to>
    <xdr:sp macro="" textlink="">
      <xdr:nvSpPr>
        <xdr:cNvPr id="16" name="Oval 2"/>
        <xdr:cNvSpPr>
          <a:spLocks noChangeArrowheads="1"/>
        </xdr:cNvSpPr>
      </xdr:nvSpPr>
      <xdr:spPr bwMode="auto">
        <a:xfrm>
          <a:off x="2914650" y="1371600"/>
          <a:ext cx="295275" cy="247650"/>
        </a:xfrm>
        <a:prstGeom prst="ellipse">
          <a:avLst/>
        </a:prstGeom>
        <a:noFill/>
        <a:ln w="25400">
          <a:solidFill>
            <a:srgbClr val="000000"/>
          </a:solidFill>
          <a:round/>
          <a:headEnd type="none"/>
          <a:tailEnd type="none"/>
        </a:ln>
      </xdr:spPr>
    </xdr: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spDef>
      <a:spPr bwMode="auto"/>
      <a:bodyPr/>
      <a:lstStyle/>
      <a:style>
        <a:lnRef idx="1">
          <a:schemeClr val="accent1"/>
        </a:lnRef>
        <a:fillRef idx="3">
          <a:schemeClr val="accent1"/>
        </a:fillRef>
        <a:effectRef idx="2">
          <a:schemeClr val="accent1"/>
        </a:effectRef>
        <a:fontRef idx="minor">
          <a:schemeClr val="lt1"/>
        </a:fontRef>
      </a:style>
    </a:spDef>
    <a:lnDef>
      <a:spPr bwMode="auto"/>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45"/>
  <sheetViews>
    <sheetView zoomScale="80" zoomScaleNormal="80" workbookViewId="0" topLeftCell="A1">
      <selection activeCell="A2" sqref="A2"/>
    </sheetView>
  </sheetViews>
  <sheetFormatPr defaultColWidth="8.875" defaultRowHeight="19.5" customHeight="1"/>
  <cols>
    <col min="1" max="1" width="11.625" style="1" customWidth="1"/>
    <col min="2" max="2" width="28.25390625" style="1" customWidth="1"/>
    <col min="3" max="4" width="7.50390625" style="1" customWidth="1"/>
    <col min="5" max="5" width="6.375" style="1" customWidth="1"/>
    <col min="6" max="7" width="3.50390625" style="2" customWidth="1"/>
    <col min="8" max="8" width="11.625" style="1" customWidth="1"/>
    <col min="9" max="9" width="28.25390625" style="1" customWidth="1"/>
    <col min="10" max="11" width="7.50390625" style="1" customWidth="1"/>
    <col min="12" max="12" width="5.625" style="1" customWidth="1"/>
    <col min="13" max="13" width="3.50390625" style="2" customWidth="1"/>
    <col min="14" max="14" width="48.75390625" style="1" bestFit="1" customWidth="1"/>
    <col min="15" max="15" width="11.875" style="1" bestFit="1" customWidth="1"/>
    <col min="16" max="16384" width="8.875" style="1" customWidth="1"/>
  </cols>
  <sheetData>
    <row r="1" spans="1:14" ht="20.15" customHeight="1">
      <c r="A1" s="425" t="str">
        <f>'大会要項'!B3</f>
        <v>第11回 全日本不動産協会杯争奪U-12サッカー大会【ラビットカップ】大分県大会</v>
      </c>
      <c r="B1" s="425"/>
      <c r="C1" s="425"/>
      <c r="D1" s="425"/>
      <c r="E1" s="425"/>
      <c r="F1" s="425"/>
      <c r="G1" s="425"/>
      <c r="H1" s="425"/>
      <c r="I1" s="425"/>
      <c r="J1" s="425" t="s">
        <v>0</v>
      </c>
      <c r="K1" s="425"/>
      <c r="L1" s="425"/>
      <c r="M1" s="3"/>
      <c r="N1" s="4"/>
    </row>
    <row r="2" spans="1:14" ht="20.15" customHeight="1">
      <c r="A2" s="3"/>
      <c r="B2" s="3"/>
      <c r="C2" s="3"/>
      <c r="D2" s="3"/>
      <c r="E2" s="3"/>
      <c r="F2" s="3"/>
      <c r="G2" s="3"/>
      <c r="H2" s="3"/>
      <c r="I2" s="3"/>
      <c r="J2" s="3"/>
      <c r="K2" s="3"/>
      <c r="L2" s="3"/>
      <c r="M2" s="3"/>
      <c r="N2" s="4"/>
    </row>
    <row r="3" spans="1:2" ht="20.15" customHeight="1">
      <c r="A3" s="5" t="s">
        <v>1</v>
      </c>
      <c r="B3" s="6" t="str">
        <f>'大会要項'!D48</f>
        <v>日時:コロナ禍により、各地域委員長によるリモート抽選形式にて組合せを決定する。</v>
      </c>
    </row>
    <row r="5" spans="1:8" ht="20.15" customHeight="1">
      <c r="A5" s="7" t="s">
        <v>2</v>
      </c>
      <c r="B5" s="1" t="str">
        <f>'大会要項'!D49</f>
        <v>場所:上記</v>
      </c>
      <c r="H5" s="8"/>
    </row>
    <row r="7" spans="1:4" ht="20.15" customHeight="1">
      <c r="A7" s="7" t="s">
        <v>3</v>
      </c>
      <c r="B7" s="1" t="s">
        <v>4</v>
      </c>
      <c r="C7" s="1">
        <v>24</v>
      </c>
      <c r="D7" s="1" t="s">
        <v>5</v>
      </c>
    </row>
    <row r="9" spans="1:8" ht="20.15" customHeight="1">
      <c r="A9" s="9" t="s">
        <v>6</v>
      </c>
      <c r="B9" s="9"/>
      <c r="C9" s="9"/>
      <c r="D9" s="9"/>
      <c r="E9" s="9"/>
      <c r="F9" s="10"/>
      <c r="G9" s="10"/>
      <c r="H9" s="9" t="s">
        <v>7</v>
      </c>
    </row>
    <row r="10" spans="1:12" ht="27.75" customHeight="1">
      <c r="A10" s="11" t="s">
        <v>8</v>
      </c>
      <c r="B10" s="12" t="s">
        <v>9</v>
      </c>
      <c r="C10" s="13" t="s">
        <v>10</v>
      </c>
      <c r="D10" s="14" t="s">
        <v>11</v>
      </c>
      <c r="E10" s="15" t="s">
        <v>12</v>
      </c>
      <c r="F10" s="1"/>
      <c r="H10" s="11" t="s">
        <v>8</v>
      </c>
      <c r="I10" s="12" t="s">
        <v>9</v>
      </c>
      <c r="J10" s="13" t="s">
        <v>10</v>
      </c>
      <c r="K10" s="14" t="s">
        <v>11</v>
      </c>
      <c r="L10" s="15" t="s">
        <v>12</v>
      </c>
    </row>
    <row r="11" spans="1:12" ht="27.75" customHeight="1">
      <c r="A11" s="426" t="s">
        <v>13</v>
      </c>
      <c r="B11" s="16" t="s">
        <v>14</v>
      </c>
      <c r="C11" s="17" t="s">
        <v>15</v>
      </c>
      <c r="D11" s="18"/>
      <c r="E11" s="19" t="s">
        <v>16</v>
      </c>
      <c r="F11" s="6"/>
      <c r="G11" s="20"/>
      <c r="H11" s="428" t="s">
        <v>17</v>
      </c>
      <c r="I11" s="21" t="s">
        <v>18</v>
      </c>
      <c r="J11" s="22" t="s">
        <v>15</v>
      </c>
      <c r="K11" s="23"/>
      <c r="L11" s="24" t="s">
        <v>16</v>
      </c>
    </row>
    <row r="12" spans="1:12" ht="27.75" customHeight="1">
      <c r="A12" s="426"/>
      <c r="B12" s="25" t="s">
        <v>19</v>
      </c>
      <c r="C12" s="26" t="s">
        <v>15</v>
      </c>
      <c r="D12" s="27"/>
      <c r="E12" s="28" t="s">
        <v>16</v>
      </c>
      <c r="F12" s="6"/>
      <c r="G12" s="20"/>
      <c r="H12" s="429"/>
      <c r="I12" s="29" t="s">
        <v>20</v>
      </c>
      <c r="J12" s="30" t="s">
        <v>15</v>
      </c>
      <c r="K12" s="31"/>
      <c r="L12" s="32" t="s">
        <v>16</v>
      </c>
    </row>
    <row r="13" spans="1:12" ht="27.75" customHeight="1">
      <c r="A13" s="426"/>
      <c r="B13" s="25" t="s">
        <v>21</v>
      </c>
      <c r="C13" s="26" t="s">
        <v>15</v>
      </c>
      <c r="D13" s="27"/>
      <c r="E13" s="28" t="s">
        <v>16</v>
      </c>
      <c r="F13" s="6"/>
      <c r="G13" s="20"/>
      <c r="H13" s="430"/>
      <c r="I13" s="33" t="s">
        <v>22</v>
      </c>
      <c r="J13" s="34" t="s">
        <v>15</v>
      </c>
      <c r="K13" s="35"/>
      <c r="L13" s="36" t="s">
        <v>16</v>
      </c>
    </row>
    <row r="14" spans="1:12" ht="27.75" customHeight="1">
      <c r="A14" s="426"/>
      <c r="B14" s="25" t="s">
        <v>23</v>
      </c>
      <c r="C14" s="26" t="s">
        <v>15</v>
      </c>
      <c r="D14" s="27"/>
      <c r="E14" s="28" t="s">
        <v>16</v>
      </c>
      <c r="F14" s="6"/>
      <c r="G14" s="20"/>
      <c r="H14" s="428" t="s">
        <v>24</v>
      </c>
      <c r="I14" s="37" t="s">
        <v>25</v>
      </c>
      <c r="J14" s="22" t="s">
        <v>15</v>
      </c>
      <c r="K14" s="23"/>
      <c r="L14" s="24" t="s">
        <v>16</v>
      </c>
    </row>
    <row r="15" spans="1:12" ht="27.75" customHeight="1">
      <c r="A15" s="426"/>
      <c r="B15" s="25" t="s">
        <v>26</v>
      </c>
      <c r="C15" s="26" t="s">
        <v>15</v>
      </c>
      <c r="D15" s="27"/>
      <c r="E15" s="28" t="s">
        <v>16</v>
      </c>
      <c r="F15" s="6"/>
      <c r="G15" s="20"/>
      <c r="H15" s="430"/>
      <c r="I15" s="38" t="s">
        <v>27</v>
      </c>
      <c r="J15" s="34" t="s">
        <v>15</v>
      </c>
      <c r="K15" s="35"/>
      <c r="L15" s="36" t="s">
        <v>16</v>
      </c>
    </row>
    <row r="16" spans="1:12" ht="27.75" customHeight="1">
      <c r="A16" s="426"/>
      <c r="B16" s="25" t="s">
        <v>28</v>
      </c>
      <c r="C16" s="26" t="s">
        <v>15</v>
      </c>
      <c r="D16" s="27"/>
      <c r="E16" s="28" t="s">
        <v>16</v>
      </c>
      <c r="F16" s="6"/>
      <c r="G16" s="20"/>
      <c r="H16" s="428" t="s">
        <v>29</v>
      </c>
      <c r="I16" s="37" t="s">
        <v>30</v>
      </c>
      <c r="J16" s="22" t="s">
        <v>15</v>
      </c>
      <c r="K16" s="39"/>
      <c r="L16" s="24" t="s">
        <v>16</v>
      </c>
    </row>
    <row r="17" spans="1:12" ht="27.75" customHeight="1">
      <c r="A17" s="426"/>
      <c r="B17" s="25" t="s">
        <v>31</v>
      </c>
      <c r="C17" s="26" t="s">
        <v>15</v>
      </c>
      <c r="D17" s="27"/>
      <c r="E17" s="28" t="s">
        <v>16</v>
      </c>
      <c r="F17" s="6"/>
      <c r="G17" s="20"/>
      <c r="H17" s="430"/>
      <c r="I17" s="38" t="s">
        <v>32</v>
      </c>
      <c r="J17" s="34" t="s">
        <v>15</v>
      </c>
      <c r="K17" s="35"/>
      <c r="L17" s="36" t="s">
        <v>16</v>
      </c>
    </row>
    <row r="18" spans="1:12" ht="27.75" customHeight="1">
      <c r="A18" s="426"/>
      <c r="B18" s="25" t="s">
        <v>33</v>
      </c>
      <c r="C18" s="26" t="s">
        <v>15</v>
      </c>
      <c r="D18" s="27"/>
      <c r="E18" s="28" t="s">
        <v>16</v>
      </c>
      <c r="F18" s="6"/>
      <c r="G18" s="20"/>
      <c r="H18" s="428" t="s">
        <v>34</v>
      </c>
      <c r="I18" s="37" t="s">
        <v>35</v>
      </c>
      <c r="J18" s="22" t="s">
        <v>15</v>
      </c>
      <c r="K18" s="39"/>
      <c r="L18" s="24" t="s">
        <v>16</v>
      </c>
    </row>
    <row r="19" spans="1:12" ht="27.75" customHeight="1">
      <c r="A19" s="426"/>
      <c r="B19" s="25" t="s">
        <v>36</v>
      </c>
      <c r="C19" s="26" t="s">
        <v>15</v>
      </c>
      <c r="D19" s="27"/>
      <c r="E19" s="28" t="s">
        <v>16</v>
      </c>
      <c r="F19" s="6"/>
      <c r="G19" s="20"/>
      <c r="H19" s="430"/>
      <c r="I19" s="38" t="s">
        <v>37</v>
      </c>
      <c r="J19" s="34" t="s">
        <v>15</v>
      </c>
      <c r="K19" s="35"/>
      <c r="L19" s="36" t="s">
        <v>16</v>
      </c>
    </row>
    <row r="20" spans="1:12" ht="27.75" customHeight="1">
      <c r="A20" s="426"/>
      <c r="B20" s="25" t="s">
        <v>38</v>
      </c>
      <c r="C20" s="26" t="s">
        <v>15</v>
      </c>
      <c r="D20" s="27"/>
      <c r="E20" s="28" t="s">
        <v>16</v>
      </c>
      <c r="F20" s="6"/>
      <c r="G20" s="20"/>
      <c r="H20" s="40" t="s">
        <v>39</v>
      </c>
      <c r="I20" s="41" t="s">
        <v>40</v>
      </c>
      <c r="J20" s="42" t="s">
        <v>15</v>
      </c>
      <c r="K20" s="43"/>
      <c r="L20" s="44" t="s">
        <v>16</v>
      </c>
    </row>
    <row r="21" spans="1:12" ht="27.75" customHeight="1">
      <c r="A21" s="427"/>
      <c r="B21" s="38" t="s">
        <v>41</v>
      </c>
      <c r="C21" s="45" t="s">
        <v>15</v>
      </c>
      <c r="D21" s="46"/>
      <c r="E21" s="47" t="s">
        <v>16</v>
      </c>
      <c r="F21" s="6"/>
      <c r="G21" s="20"/>
      <c r="H21" s="40" t="s">
        <v>42</v>
      </c>
      <c r="I21" s="41" t="s">
        <v>43</v>
      </c>
      <c r="J21" s="48" t="s">
        <v>15</v>
      </c>
      <c r="K21" s="49"/>
      <c r="L21" s="44" t="s">
        <v>16</v>
      </c>
    </row>
    <row r="22" spans="2:12" ht="27.75" customHeight="1">
      <c r="B22" s="6"/>
      <c r="C22" s="6"/>
      <c r="D22" s="6"/>
      <c r="E22" s="50"/>
      <c r="F22" s="51"/>
      <c r="G22" s="51"/>
      <c r="H22" s="40" t="s">
        <v>44</v>
      </c>
      <c r="I22" s="41" t="s">
        <v>45</v>
      </c>
      <c r="J22" s="48" t="s">
        <v>15</v>
      </c>
      <c r="K22" s="52"/>
      <c r="L22" s="44" t="s">
        <v>16</v>
      </c>
    </row>
    <row r="23" spans="2:12" ht="27.75" customHeight="1">
      <c r="B23" s="6"/>
      <c r="C23" s="6"/>
      <c r="D23" s="6"/>
      <c r="E23" s="6"/>
      <c r="F23" s="51"/>
      <c r="G23" s="51"/>
      <c r="H23" s="40" t="s">
        <v>46</v>
      </c>
      <c r="I23" s="41" t="s">
        <v>47</v>
      </c>
      <c r="J23" s="48" t="s">
        <v>15</v>
      </c>
      <c r="K23" s="52"/>
      <c r="L23" s="44" t="s">
        <v>16</v>
      </c>
    </row>
    <row r="24" spans="2:9" ht="20.15" customHeight="1">
      <c r="B24" s="6"/>
      <c r="C24" s="6"/>
      <c r="D24" s="6"/>
      <c r="E24" s="6"/>
      <c r="F24" s="51"/>
      <c r="G24" s="51"/>
      <c r="H24" s="6"/>
      <c r="I24" s="6"/>
    </row>
    <row r="25" spans="1:15" ht="20.15" customHeight="1">
      <c r="A25" s="1" t="s">
        <v>48</v>
      </c>
      <c r="O25" s="53"/>
    </row>
    <row r="26" spans="1:15" ht="20.15" customHeight="1">
      <c r="A26" s="1" t="s">
        <v>49</v>
      </c>
      <c r="O26" s="53"/>
    </row>
    <row r="27" spans="1:15" ht="20.15" customHeight="1">
      <c r="A27" s="1" t="s">
        <v>50</v>
      </c>
      <c r="O27" s="53"/>
    </row>
    <row r="28" spans="1:15" ht="20.15" customHeight="1">
      <c r="A28" s="1" t="s">
        <v>51</v>
      </c>
      <c r="O28" s="53"/>
    </row>
    <row r="29" spans="1:15" ht="20.15" customHeight="1">
      <c r="A29" s="1" t="s">
        <v>52</v>
      </c>
      <c r="O29" s="53"/>
    </row>
    <row r="30" spans="1:15" ht="20.15" customHeight="1">
      <c r="A30" s="54" t="s">
        <v>53</v>
      </c>
      <c r="O30" s="53"/>
    </row>
    <row r="31" spans="1:15" ht="20.15" customHeight="1">
      <c r="A31" s="1" t="s">
        <v>54</v>
      </c>
      <c r="O31" s="53"/>
    </row>
    <row r="32" spans="1:15" ht="20.15" customHeight="1">
      <c r="A32" s="1" t="s">
        <v>55</v>
      </c>
      <c r="O32" s="53"/>
    </row>
    <row r="33" ht="20.15" customHeight="1">
      <c r="O33" s="53"/>
    </row>
    <row r="34" spans="1:15" ht="20.15" customHeight="1">
      <c r="A34" s="1" t="s">
        <v>56</v>
      </c>
      <c r="O34" s="53"/>
    </row>
    <row r="35" spans="1:15" ht="20.15" customHeight="1">
      <c r="A35" s="1" t="s">
        <v>57</v>
      </c>
      <c r="O35" s="53"/>
    </row>
    <row r="36" spans="1:15" ht="20.15" customHeight="1">
      <c r="A36" s="1" t="s">
        <v>58</v>
      </c>
      <c r="O36" s="53"/>
    </row>
    <row r="37" spans="1:15" ht="20.15" customHeight="1">
      <c r="A37" s="1" t="s">
        <v>59</v>
      </c>
      <c r="O37" s="53"/>
    </row>
    <row r="38" spans="1:15" ht="20.15" customHeight="1">
      <c r="A38" s="55" t="s">
        <v>60</v>
      </c>
      <c r="O38" s="53"/>
    </row>
    <row r="39" spans="1:15" ht="20.15" customHeight="1">
      <c r="A39" s="56" t="s">
        <v>61</v>
      </c>
      <c r="O39" s="53"/>
    </row>
    <row r="40" spans="1:15" ht="20.15" customHeight="1">
      <c r="A40" s="56" t="s">
        <v>62</v>
      </c>
      <c r="O40" s="53"/>
    </row>
    <row r="42" ht="20.15" customHeight="1">
      <c r="A42" s="1" t="s">
        <v>63</v>
      </c>
    </row>
    <row r="43" spans="1:12" ht="20.15" customHeight="1">
      <c r="A43" s="57"/>
      <c r="B43" s="422" t="s">
        <v>64</v>
      </c>
      <c r="C43" s="422"/>
      <c r="D43" s="422"/>
      <c r="E43" s="422"/>
      <c r="F43" s="422"/>
      <c r="G43" s="422"/>
      <c r="H43" s="422" t="s">
        <v>65</v>
      </c>
      <c r="I43" s="422"/>
      <c r="J43" s="422"/>
      <c r="K43" s="422"/>
      <c r="L43" s="422"/>
    </row>
    <row r="44" spans="1:12" ht="42" customHeight="1">
      <c r="A44" s="58" t="s">
        <v>66</v>
      </c>
      <c r="B44" s="422" t="s">
        <v>67</v>
      </c>
      <c r="C44" s="422"/>
      <c r="D44" s="422"/>
      <c r="E44" s="422"/>
      <c r="F44" s="422"/>
      <c r="G44" s="422"/>
      <c r="H44" s="423" t="s">
        <v>68</v>
      </c>
      <c r="I44" s="423"/>
      <c r="J44" s="423"/>
      <c r="K44" s="423"/>
      <c r="L44" s="423"/>
    </row>
    <row r="45" spans="1:12" ht="42" customHeight="1">
      <c r="A45" s="59" t="s">
        <v>69</v>
      </c>
      <c r="B45" s="424" t="s">
        <v>70</v>
      </c>
      <c r="C45" s="424"/>
      <c r="D45" s="424"/>
      <c r="E45" s="424"/>
      <c r="F45" s="424"/>
      <c r="G45" s="424"/>
      <c r="H45" s="424" t="s">
        <v>71</v>
      </c>
      <c r="I45" s="424"/>
      <c r="J45" s="424"/>
      <c r="K45" s="424"/>
      <c r="L45" s="424"/>
    </row>
  </sheetData>
  <mergeCells count="13">
    <mergeCell ref="A1:I1"/>
    <mergeCell ref="J1:L1"/>
    <mergeCell ref="A11:A21"/>
    <mergeCell ref="H11:H13"/>
    <mergeCell ref="H14:H15"/>
    <mergeCell ref="H16:H17"/>
    <mergeCell ref="H18:H19"/>
    <mergeCell ref="B43:G43"/>
    <mergeCell ref="H43:L43"/>
    <mergeCell ref="B44:G44"/>
    <mergeCell ref="H44:L44"/>
    <mergeCell ref="B45:G45"/>
    <mergeCell ref="H45:L45"/>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7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C89"/>
  <sheetViews>
    <sheetView zoomScale="70" zoomScaleNormal="70" workbookViewId="0" topLeftCell="A1">
      <selection activeCell="A2" sqref="A2"/>
    </sheetView>
  </sheetViews>
  <sheetFormatPr defaultColWidth="9.00390625" defaultRowHeight="20.25" customHeight="1"/>
  <cols>
    <col min="1" max="1" width="12.125" style="303" customWidth="1"/>
    <col min="2" max="2" width="11.875" style="303" bestFit="1" customWidth="1"/>
    <col min="3" max="3" width="3.125" style="303" customWidth="1"/>
    <col min="4" max="4" width="6.75390625" style="303" bestFit="1" customWidth="1"/>
    <col min="5" max="5" width="10.125" style="303" bestFit="1" customWidth="1"/>
    <col min="6" max="6" width="20.625" style="303" customWidth="1"/>
    <col min="7" max="7" width="7.625" style="303" customWidth="1"/>
    <col min="8" max="9" width="4.875" style="303" customWidth="1"/>
    <col min="10" max="10" width="5.25390625" style="303" customWidth="1"/>
    <col min="11" max="12" width="4.875" style="303" customWidth="1"/>
    <col min="13" max="13" width="7.625" style="303" customWidth="1"/>
    <col min="14" max="14" width="20.625" style="303" customWidth="1"/>
    <col min="15" max="15" width="5.00390625" style="303" bestFit="1" customWidth="1"/>
    <col min="16" max="16" width="12.125" style="303" customWidth="1"/>
    <col min="17" max="17" width="11.875" style="303" bestFit="1" customWidth="1"/>
    <col min="18" max="18" width="3.125" style="303" customWidth="1"/>
    <col min="19" max="19" width="6.75390625" style="303" bestFit="1" customWidth="1"/>
    <col min="20" max="20" width="10.125" style="303" bestFit="1" customWidth="1"/>
    <col min="21" max="21" width="20.625" style="303" customWidth="1"/>
    <col min="22" max="22" width="7.625" style="303" customWidth="1"/>
    <col min="23" max="24" width="4.875" style="303" customWidth="1"/>
    <col min="25" max="25" width="5.25390625" style="303" customWidth="1"/>
    <col min="26" max="27" width="4.875" style="303" customWidth="1"/>
    <col min="28" max="28" width="7.625" style="303" customWidth="1"/>
    <col min="29" max="29" width="20.625" style="303" customWidth="1"/>
    <col min="30" max="16384" width="9.00390625" style="303" customWidth="1"/>
  </cols>
  <sheetData>
    <row r="1" spans="1:29" s="304" customFormat="1" ht="20.25" customHeight="1">
      <c r="A1" s="779" t="str">
        <f>'大会要項'!$B$3</f>
        <v>第11回 全日本不動産協会杯争奪U-12サッカー大会【ラビットカップ】大分県大会</v>
      </c>
      <c r="B1" s="779"/>
      <c r="C1" s="779"/>
      <c r="D1" s="779"/>
      <c r="E1" s="779"/>
      <c r="F1" s="779"/>
      <c r="G1" s="779"/>
      <c r="H1" s="779"/>
      <c r="I1" s="779"/>
      <c r="J1" s="779"/>
      <c r="K1" s="779" t="s">
        <v>545</v>
      </c>
      <c r="L1" s="779"/>
      <c r="M1" s="779"/>
      <c r="N1" s="779"/>
      <c r="O1" s="305"/>
      <c r="P1" s="779" t="str">
        <f>'大会要項'!$B$3</f>
        <v>第11回 全日本不動産協会杯争奪U-12サッカー大会【ラビットカップ】大分県大会</v>
      </c>
      <c r="Q1" s="779"/>
      <c r="R1" s="779"/>
      <c r="S1" s="779"/>
      <c r="T1" s="779"/>
      <c r="U1" s="779"/>
      <c r="V1" s="779"/>
      <c r="W1" s="779"/>
      <c r="X1" s="779"/>
      <c r="Y1" s="779"/>
      <c r="Z1" s="779" t="s">
        <v>545</v>
      </c>
      <c r="AA1" s="779"/>
      <c r="AB1" s="779"/>
      <c r="AC1" s="779"/>
    </row>
    <row r="2" spans="16:29" ht="20.25" customHeight="1">
      <c r="P2" s="306"/>
      <c r="Q2" s="306"/>
      <c r="R2" s="306"/>
      <c r="S2" s="306"/>
      <c r="T2" s="306"/>
      <c r="U2" s="306"/>
      <c r="V2" s="306"/>
      <c r="W2" s="306"/>
      <c r="X2" s="306"/>
      <c r="Y2" s="306"/>
      <c r="Z2" s="306"/>
      <c r="AA2" s="306"/>
      <c r="AB2" s="306"/>
      <c r="AC2" s="306"/>
    </row>
    <row r="3" spans="1:29" ht="20.25" customHeight="1">
      <c r="A3" s="303" t="s">
        <v>64</v>
      </c>
      <c r="B3" s="780" t="str">
        <f>'予選リーグ'!C14</f>
        <v>昭和電工ｻｯｶｰ･ﾗｸﾞﾋﾞｰ場　Bｺｰﾄ</v>
      </c>
      <c r="C3" s="780"/>
      <c r="D3" s="780"/>
      <c r="E3" s="780"/>
      <c r="F3" s="307" t="str">
        <f>'予選リーグ'!C15</f>
        <v>「南」コート</v>
      </c>
      <c r="H3" s="307"/>
      <c r="I3" s="307"/>
      <c r="J3" s="307"/>
      <c r="K3" s="307"/>
      <c r="L3" s="307"/>
      <c r="P3" s="303" t="s">
        <v>64</v>
      </c>
      <c r="Q3" s="780" t="str">
        <f>'予選リーグ'!C14</f>
        <v>昭和電工ｻｯｶｰ･ﾗｸﾞﾋﾞｰ場　Bｺｰﾄ</v>
      </c>
      <c r="R3" s="780"/>
      <c r="S3" s="780"/>
      <c r="T3" s="780"/>
      <c r="U3" s="307" t="str">
        <f>'予選リーグ'!C15</f>
        <v>「南」コート</v>
      </c>
      <c r="W3" s="308"/>
      <c r="X3" s="308"/>
      <c r="Y3" s="308"/>
      <c r="Z3" s="308"/>
      <c r="AA3" s="308"/>
      <c r="AB3" s="308"/>
      <c r="AC3" s="308"/>
    </row>
    <row r="4" spans="16:29" ht="20.25" customHeight="1">
      <c r="P4" s="306"/>
      <c r="Q4" s="306"/>
      <c r="R4" s="306"/>
      <c r="S4" s="306"/>
      <c r="T4" s="306"/>
      <c r="U4" s="306"/>
      <c r="V4" s="306"/>
      <c r="W4" s="306"/>
      <c r="X4" s="306"/>
      <c r="Y4" s="306"/>
      <c r="Z4" s="306"/>
      <c r="AA4" s="306"/>
      <c r="AB4" s="306"/>
      <c r="AC4" s="306"/>
    </row>
    <row r="5" spans="5:29" ht="20.25" customHeight="1">
      <c r="E5" s="309" t="s">
        <v>429</v>
      </c>
      <c r="F5" s="781" t="str">
        <f>VLOOKUP(E5,'組合せ抽選用'!$Q:$U,5,FALSE)</f>
        <v>東　Ｆ．Ｃ．</v>
      </c>
      <c r="G5" s="781"/>
      <c r="H5" s="781"/>
      <c r="I5" s="781"/>
      <c r="J5" s="781"/>
      <c r="K5" s="781"/>
      <c r="L5" s="781"/>
      <c r="M5" s="781" t="str">
        <f>VLOOKUP(E5,'組合せ抽選用'!$Q:$V,6,FALSE)</f>
        <v>速杵国東</v>
      </c>
      <c r="N5" s="782"/>
      <c r="R5" s="306"/>
      <c r="S5" s="306"/>
      <c r="T5" s="309" t="s">
        <v>430</v>
      </c>
      <c r="U5" s="781" t="str">
        <f>VLOOKUP(T5,'組合せ抽選用'!$Q:$U,5,FALSE)</f>
        <v>ＯＫＹ山香サッカークラブ</v>
      </c>
      <c r="V5" s="781"/>
      <c r="W5" s="781"/>
      <c r="X5" s="781"/>
      <c r="Y5" s="781"/>
      <c r="Z5" s="781"/>
      <c r="AA5" s="781"/>
      <c r="AB5" s="781" t="str">
        <f>VLOOKUP(T5,'組合せ抽選用'!$Q:$V,6,FALSE)</f>
        <v>速杵国東</v>
      </c>
      <c r="AC5" s="782"/>
    </row>
    <row r="6" spans="5:29" ht="20.25" customHeight="1">
      <c r="E6" s="310" t="s">
        <v>427</v>
      </c>
      <c r="F6" s="775" t="str">
        <f>VLOOKUP(E6,'組合せ抽選用'!$Q:$U,5,FALSE)</f>
        <v>リノスフットボールクラブ　Ｕ－１２</v>
      </c>
      <c r="G6" s="775"/>
      <c r="H6" s="775"/>
      <c r="I6" s="775"/>
      <c r="J6" s="775"/>
      <c r="K6" s="775"/>
      <c r="L6" s="775"/>
      <c r="M6" s="775" t="str">
        <f>VLOOKUP(E6,'組合せ抽選用'!$Q:$V,6,FALSE)</f>
        <v>大分</v>
      </c>
      <c r="N6" s="776"/>
      <c r="P6" s="306"/>
      <c r="Q6" s="306"/>
      <c r="R6" s="306"/>
      <c r="S6" s="306"/>
      <c r="T6" s="310" t="s">
        <v>437</v>
      </c>
      <c r="U6" s="775" t="str">
        <f>VLOOKUP(T6,'組合せ抽選用'!$Q:$U,5,FALSE)</f>
        <v>スマイス　セレソン　スポーツクラブ</v>
      </c>
      <c r="V6" s="775"/>
      <c r="W6" s="775"/>
      <c r="X6" s="775"/>
      <c r="Y6" s="775"/>
      <c r="Z6" s="775"/>
      <c r="AA6" s="775"/>
      <c r="AB6" s="775" t="str">
        <f>VLOOKUP(T6,'組合せ抽選用'!$Q:$V,6,FALSE)</f>
        <v>大分</v>
      </c>
      <c r="AC6" s="776"/>
    </row>
    <row r="7" spans="5:29" ht="20.25" customHeight="1">
      <c r="E7" s="311" t="s">
        <v>439</v>
      </c>
      <c r="F7" s="777" t="str">
        <f>VLOOKUP(E7,'組合せ抽選用'!$Q:$U,5,FALSE)</f>
        <v>明治サッカースポーツ少年団</v>
      </c>
      <c r="G7" s="777"/>
      <c r="H7" s="777"/>
      <c r="I7" s="777"/>
      <c r="J7" s="777"/>
      <c r="K7" s="777"/>
      <c r="L7" s="777"/>
      <c r="M7" s="777" t="str">
        <f>VLOOKUP(E7,'組合せ抽選用'!$Q:$V,6,FALSE)</f>
        <v>大分</v>
      </c>
      <c r="N7" s="778"/>
      <c r="P7" s="306"/>
      <c r="Q7" s="306"/>
      <c r="R7" s="306"/>
      <c r="S7" s="306"/>
      <c r="T7" s="311" t="s">
        <v>440</v>
      </c>
      <c r="U7" s="777" t="str">
        <f>VLOOKUP(T7,'組合せ抽選用'!$Q:$U,5,FALSE)</f>
        <v>下毛ＦＣ</v>
      </c>
      <c r="V7" s="777"/>
      <c r="W7" s="777"/>
      <c r="X7" s="777"/>
      <c r="Y7" s="777"/>
      <c r="Z7" s="777"/>
      <c r="AA7" s="777"/>
      <c r="AB7" s="777" t="str">
        <f>VLOOKUP(T7,'組合せ抽選用'!$Q:$V,6,FALSE)</f>
        <v>中津</v>
      </c>
      <c r="AC7" s="778"/>
    </row>
    <row r="8" spans="16:29" ht="20.25" customHeight="1">
      <c r="P8" s="306"/>
      <c r="Q8" s="306"/>
      <c r="R8" s="306"/>
      <c r="S8" s="306"/>
      <c r="T8" s="306"/>
      <c r="U8" s="306"/>
      <c r="V8" s="306"/>
      <c r="W8" s="306"/>
      <c r="X8" s="306"/>
      <c r="Y8" s="306"/>
      <c r="Z8" s="306"/>
      <c r="AA8" s="306"/>
      <c r="AB8" s="306"/>
      <c r="AC8" s="306"/>
    </row>
    <row r="10" spans="1:29" ht="27.4" customHeight="1">
      <c r="A10" s="312" t="s">
        <v>546</v>
      </c>
      <c r="B10" s="772" t="s">
        <v>547</v>
      </c>
      <c r="C10" s="773"/>
      <c r="D10" s="774"/>
      <c r="E10" s="756">
        <v>0.4375</v>
      </c>
      <c r="F10" s="759" t="str">
        <f>F5</f>
        <v>東　Ｆ．Ｃ．</v>
      </c>
      <c r="G10" s="762">
        <f>SUM(I10:I11)</f>
        <v>3</v>
      </c>
      <c r="H10" s="765" t="s">
        <v>294</v>
      </c>
      <c r="I10" s="313">
        <v>1</v>
      </c>
      <c r="J10" s="313" t="s">
        <v>548</v>
      </c>
      <c r="K10" s="313">
        <v>2</v>
      </c>
      <c r="L10" s="765" t="s">
        <v>549</v>
      </c>
      <c r="M10" s="762">
        <f>SUM(K10:K11)</f>
        <v>2</v>
      </c>
      <c r="N10" s="768" t="str">
        <f>F6</f>
        <v>リノスフットボールクラブ　Ｕ－１２</v>
      </c>
      <c r="P10" s="312" t="s">
        <v>546</v>
      </c>
      <c r="Q10" s="772" t="s">
        <v>550</v>
      </c>
      <c r="R10" s="773"/>
      <c r="S10" s="774"/>
      <c r="T10" s="756">
        <v>0.4791666666666667</v>
      </c>
      <c r="U10" s="759" t="str">
        <f>U5</f>
        <v>ＯＫＹ山香サッカークラブ</v>
      </c>
      <c r="V10" s="762">
        <f>SUM(X10:X11)</f>
        <v>0</v>
      </c>
      <c r="W10" s="765" t="s">
        <v>294</v>
      </c>
      <c r="X10" s="313">
        <v>0</v>
      </c>
      <c r="Y10" s="313" t="s">
        <v>548</v>
      </c>
      <c r="Z10" s="313">
        <v>3</v>
      </c>
      <c r="AA10" s="765" t="s">
        <v>549</v>
      </c>
      <c r="AB10" s="762">
        <f>SUM(Z10:Z11)</f>
        <v>5</v>
      </c>
      <c r="AC10" s="768" t="str">
        <f>U6</f>
        <v>スマイス　セレソン　スポーツクラブ</v>
      </c>
    </row>
    <row r="11" spans="1:29" ht="27.4" customHeight="1">
      <c r="A11" s="314" t="s">
        <v>551</v>
      </c>
      <c r="B11" s="771" t="s">
        <v>16</v>
      </c>
      <c r="C11" s="771"/>
      <c r="D11" s="772"/>
      <c r="E11" s="757"/>
      <c r="F11" s="760"/>
      <c r="G11" s="763"/>
      <c r="H11" s="766"/>
      <c r="I11" s="303">
        <v>2</v>
      </c>
      <c r="J11" s="303" t="s">
        <v>552</v>
      </c>
      <c r="K11" s="303">
        <v>0</v>
      </c>
      <c r="L11" s="766"/>
      <c r="M11" s="763"/>
      <c r="N11" s="769"/>
      <c r="P11" s="314" t="s">
        <v>551</v>
      </c>
      <c r="Q11" s="771" t="s">
        <v>16</v>
      </c>
      <c r="R11" s="771"/>
      <c r="S11" s="772"/>
      <c r="T11" s="757"/>
      <c r="U11" s="760"/>
      <c r="V11" s="763"/>
      <c r="W11" s="766"/>
      <c r="X11" s="303">
        <v>0</v>
      </c>
      <c r="Y11" s="303" t="s">
        <v>552</v>
      </c>
      <c r="Z11" s="303">
        <v>2</v>
      </c>
      <c r="AA11" s="766"/>
      <c r="AB11" s="763"/>
      <c r="AC11" s="769"/>
    </row>
    <row r="12" spans="1:29" ht="27.4" customHeight="1">
      <c r="A12" s="314" t="s">
        <v>553</v>
      </c>
      <c r="B12" s="771" t="s">
        <v>554</v>
      </c>
      <c r="C12" s="771"/>
      <c r="D12" s="772"/>
      <c r="E12" s="758"/>
      <c r="F12" s="761"/>
      <c r="G12" s="764"/>
      <c r="H12" s="767"/>
      <c r="I12" s="315"/>
      <c r="J12" s="315" t="s">
        <v>555</v>
      </c>
      <c r="K12" s="315"/>
      <c r="L12" s="767"/>
      <c r="M12" s="764"/>
      <c r="N12" s="770"/>
      <c r="P12" s="314" t="s">
        <v>553</v>
      </c>
      <c r="Q12" s="771" t="s">
        <v>547</v>
      </c>
      <c r="R12" s="771"/>
      <c r="S12" s="772"/>
      <c r="T12" s="758"/>
      <c r="U12" s="761"/>
      <c r="V12" s="764"/>
      <c r="W12" s="767"/>
      <c r="X12" s="315"/>
      <c r="Y12" s="315" t="s">
        <v>555</v>
      </c>
      <c r="Z12" s="315"/>
      <c r="AA12" s="767"/>
      <c r="AB12" s="764"/>
      <c r="AC12" s="770"/>
    </row>
    <row r="13" spans="1:29" ht="20.25" customHeight="1">
      <c r="A13" s="754" t="s">
        <v>556</v>
      </c>
      <c r="B13" s="754"/>
      <c r="C13" s="754"/>
      <c r="D13" s="754"/>
      <c r="E13" s="316"/>
      <c r="F13" s="317" t="s">
        <v>418</v>
      </c>
      <c r="G13" s="317" t="s">
        <v>557</v>
      </c>
      <c r="H13" s="317" t="s">
        <v>524</v>
      </c>
      <c r="I13" s="317"/>
      <c r="J13" s="318"/>
      <c r="K13" s="317"/>
      <c r="L13" s="317" t="s">
        <v>524</v>
      </c>
      <c r="M13" s="317" t="s">
        <v>557</v>
      </c>
      <c r="N13" s="319" t="s">
        <v>418</v>
      </c>
      <c r="P13" s="754" t="s">
        <v>556</v>
      </c>
      <c r="Q13" s="754"/>
      <c r="R13" s="754"/>
      <c r="S13" s="755"/>
      <c r="T13" s="316"/>
      <c r="U13" s="317" t="s">
        <v>418</v>
      </c>
      <c r="V13" s="317" t="s">
        <v>557</v>
      </c>
      <c r="W13" s="317" t="s">
        <v>524</v>
      </c>
      <c r="X13" s="317"/>
      <c r="Y13" s="318"/>
      <c r="Z13" s="317"/>
      <c r="AA13" s="317" t="s">
        <v>524</v>
      </c>
      <c r="AB13" s="317" t="s">
        <v>557</v>
      </c>
      <c r="AC13" s="319" t="s">
        <v>418</v>
      </c>
    </row>
    <row r="14" spans="5:29" ht="20.25" customHeight="1" hidden="1">
      <c r="E14" s="320" t="s">
        <v>558</v>
      </c>
      <c r="F14" s="321" t="str">
        <f>IF(ISERROR(VLOOKUP(CONCATENATE($F$10,"_",G14),'選手名簿'!$A:$E,5,FALSE))=TRUE,"",VLOOKUP(CONCATENATE($F$10,"_",G14),'選手名簿'!$A:$E,5,FALSE))</f>
        <v/>
      </c>
      <c r="G14" s="322"/>
      <c r="H14" s="322"/>
      <c r="I14" s="322"/>
      <c r="J14" s="323"/>
      <c r="K14" s="322"/>
      <c r="L14" s="322"/>
      <c r="M14" s="322"/>
      <c r="N14" s="324" t="str">
        <f>IF(ISERROR(VLOOKUP(CONCATENATE($N$10,"_",M14),'選手名簿'!$A:$E,5,FALSE))=TRUE,"",VLOOKUP(CONCATENATE($N$10,"_",M14),'選手名簿'!$A:$E,5,FALSE))</f>
        <v/>
      </c>
      <c r="T14" s="320" t="s">
        <v>558</v>
      </c>
      <c r="U14" s="321" t="str">
        <f>IF(ISERROR(VLOOKUP(CONCATENATE($U$10,"_",V14),'選手名簿'!$A:$E,5,FALSE))=TRUE,"",VLOOKUP(CONCATENATE($U$10,"_",V14),'選手名簿'!$A:$E,5,FALSE))</f>
        <v/>
      </c>
      <c r="V14" s="322"/>
      <c r="W14" s="322"/>
      <c r="X14" s="322"/>
      <c r="Y14" s="323"/>
      <c r="Z14" s="322"/>
      <c r="AA14" s="322"/>
      <c r="AB14" s="322"/>
      <c r="AC14" s="324" t="str">
        <f>IF(ISERROR(VLOOKUP(CONCATENATE($AC$10,"_",AB14),'選手名簿'!$A:$E,5,FALSE))=TRUE,"",VLOOKUP(CONCATENATE($AC$10,"_",AB14),'選手名簿'!$A:$E,5,FALSE))</f>
        <v/>
      </c>
    </row>
    <row r="15" spans="5:29" ht="20.25" customHeight="1" hidden="1">
      <c r="E15" s="320" t="s">
        <v>558</v>
      </c>
      <c r="F15" s="321" t="str">
        <f>IF(ISERROR(VLOOKUP(CONCATENATE($F$10,"_",G15),'選手名簿'!$A:$E,5,FALSE))=TRUE,"",VLOOKUP(CONCATENATE($F$10,"_",G15),'選手名簿'!$A:$E,5,FALSE))</f>
        <v/>
      </c>
      <c r="G15" s="322"/>
      <c r="H15" s="322"/>
      <c r="I15" s="322"/>
      <c r="J15" s="323"/>
      <c r="K15" s="322"/>
      <c r="L15" s="322"/>
      <c r="M15" s="322"/>
      <c r="N15" s="324" t="str">
        <f>IF(ISERROR(VLOOKUP(CONCATENATE($N$10,"_",M15),'選手名簿'!$A:$E,5,FALSE))=TRUE,"",VLOOKUP(CONCATENATE($N$10,"_",M15),'選手名簿'!$A:$E,5,FALSE))</f>
        <v/>
      </c>
      <c r="T15" s="320" t="s">
        <v>558</v>
      </c>
      <c r="U15" s="321" t="str">
        <f>IF(ISERROR(VLOOKUP(CONCATENATE($U$10,"_",V15),'選手名簿'!$A:$E,5,FALSE))=TRUE,"",VLOOKUP(CONCATENATE($U$10,"_",V15),'選手名簿'!$A:$E,5,FALSE))</f>
        <v/>
      </c>
      <c r="V15" s="322"/>
      <c r="W15" s="322"/>
      <c r="X15" s="322"/>
      <c r="Y15" s="323"/>
      <c r="Z15" s="322"/>
      <c r="AA15" s="322"/>
      <c r="AB15" s="322"/>
      <c r="AC15" s="324" t="str">
        <f>IF(ISERROR(VLOOKUP(CONCATENATE($AC$10,"_",AB15),'選手名簿'!$A:$E,5,FALSE))=TRUE,"",VLOOKUP(CONCATENATE($AC$10,"_",AB15),'選手名簿'!$A:$E,5,FALSE))</f>
        <v/>
      </c>
    </row>
    <row r="16" spans="5:29" ht="20.25" customHeight="1" hidden="1">
      <c r="E16" s="320" t="s">
        <v>558</v>
      </c>
      <c r="F16" s="321" t="str">
        <f>IF(ISERROR(VLOOKUP(CONCATENATE($F$10,"_",G16),'選手名簿'!$A:$E,5,FALSE))=TRUE,"",VLOOKUP(CONCATENATE($F$10,"_",G16),'選手名簿'!$A:$E,5,FALSE))</f>
        <v/>
      </c>
      <c r="G16" s="322"/>
      <c r="H16" s="322"/>
      <c r="I16" s="322"/>
      <c r="J16" s="323"/>
      <c r="K16" s="322"/>
      <c r="L16" s="322"/>
      <c r="M16" s="322"/>
      <c r="N16" s="324" t="str">
        <f>IF(ISERROR(VLOOKUP(CONCATENATE($N$10,"_",M16),'選手名簿'!$A:$E,5,FALSE))=TRUE,"",VLOOKUP(CONCATENATE($N$10,"_",M16),'選手名簿'!$A:$E,5,FALSE))</f>
        <v/>
      </c>
      <c r="T16" s="320" t="s">
        <v>558</v>
      </c>
      <c r="U16" s="321" t="str">
        <f>IF(ISERROR(VLOOKUP(CONCATENATE($U$10,"_",V16),'選手名簿'!$A:$E,5,FALSE))=TRUE,"",VLOOKUP(CONCATENATE($U$10,"_",V16),'選手名簿'!$A:$E,5,FALSE))</f>
        <v/>
      </c>
      <c r="V16" s="322"/>
      <c r="W16" s="322"/>
      <c r="X16" s="322"/>
      <c r="Y16" s="323"/>
      <c r="Z16" s="322"/>
      <c r="AA16" s="322"/>
      <c r="AB16" s="322"/>
      <c r="AC16" s="324" t="str">
        <f>IF(ISERROR(VLOOKUP(CONCATENATE($AC$10,"_",AB16),'選手名簿'!$A:$E,5,FALSE))=TRUE,"",VLOOKUP(CONCATENATE($AC$10,"_",AB16),'選手名簿'!$A:$E,5,FALSE))</f>
        <v/>
      </c>
    </row>
    <row r="17" spans="5:29" ht="20.25" customHeight="1" hidden="1">
      <c r="E17" s="320" t="s">
        <v>558</v>
      </c>
      <c r="F17" s="321" t="str">
        <f>IF(ISERROR(VLOOKUP(CONCATENATE($F$10,"_",G17),'選手名簿'!$A:$E,5,FALSE))=TRUE,"",VLOOKUP(CONCATENATE($F$10,"_",G17),'選手名簿'!$A:$E,5,FALSE))</f>
        <v/>
      </c>
      <c r="G17" s="322"/>
      <c r="H17" s="322"/>
      <c r="I17" s="322"/>
      <c r="J17" s="323"/>
      <c r="K17" s="322"/>
      <c r="L17" s="322"/>
      <c r="M17" s="322"/>
      <c r="N17" s="324" t="str">
        <f>IF(ISERROR(VLOOKUP(CONCATENATE($N$10,"_",M17),'選手名簿'!$A:$E,5,FALSE))=TRUE,"",VLOOKUP(CONCATENATE($N$10,"_",M17),'選手名簿'!$A:$E,5,FALSE))</f>
        <v/>
      </c>
      <c r="T17" s="320" t="s">
        <v>558</v>
      </c>
      <c r="U17" s="321" t="str">
        <f>IF(ISERROR(VLOOKUP(CONCATENATE($U$10,"_",V17),'選手名簿'!$A:$E,5,FALSE))=TRUE,"",VLOOKUP(CONCATENATE($U$10,"_",V17),'選手名簿'!$A:$E,5,FALSE))</f>
        <v/>
      </c>
      <c r="V17" s="322"/>
      <c r="W17" s="322"/>
      <c r="X17" s="322"/>
      <c r="Y17" s="323"/>
      <c r="Z17" s="322"/>
      <c r="AA17" s="322"/>
      <c r="AB17" s="322"/>
      <c r="AC17" s="324" t="str">
        <f>IF(ISERROR(VLOOKUP(CONCATENATE($AC$10,"_",AB17),'選手名簿'!$A:$E,5,FALSE))=TRUE,"",VLOOKUP(CONCATENATE($AC$10,"_",AB17),'選手名簿'!$A:$E,5,FALSE))</f>
        <v/>
      </c>
    </row>
    <row r="18" spans="5:29" ht="20.25" customHeight="1" hidden="1">
      <c r="E18" s="320" t="s">
        <v>558</v>
      </c>
      <c r="F18" s="321" t="str">
        <f>IF(ISERROR(VLOOKUP(CONCATENATE($F$10,"_",G18),'選手名簿'!$A:$E,5,FALSE))=TRUE,"",VLOOKUP(CONCATENATE($F$10,"_",G18),'選手名簿'!$A:$E,5,FALSE))</f>
        <v/>
      </c>
      <c r="G18" s="322"/>
      <c r="H18" s="322"/>
      <c r="I18" s="322"/>
      <c r="J18" s="323"/>
      <c r="K18" s="322"/>
      <c r="L18" s="322"/>
      <c r="M18" s="322"/>
      <c r="N18" s="324" t="str">
        <f>IF(ISERROR(VLOOKUP(CONCATENATE($N$10,"_",M18),'選手名簿'!$A:$E,5,FALSE))=TRUE,"",VLOOKUP(CONCATENATE($N$10,"_",M18),'選手名簿'!$A:$E,5,FALSE))</f>
        <v/>
      </c>
      <c r="T18" s="320" t="s">
        <v>558</v>
      </c>
      <c r="U18" s="321" t="str">
        <f>IF(ISERROR(VLOOKUP(CONCATENATE($U$10,"_",V18),'選手名簿'!$A:$E,5,FALSE))=TRUE,"",VLOOKUP(CONCATENATE($U$10,"_",V18),'選手名簿'!$A:$E,5,FALSE))</f>
        <v/>
      </c>
      <c r="V18" s="322"/>
      <c r="W18" s="322"/>
      <c r="X18" s="322"/>
      <c r="Y18" s="323"/>
      <c r="Z18" s="322"/>
      <c r="AA18" s="322"/>
      <c r="AB18" s="322"/>
      <c r="AC18" s="324" t="str">
        <f>IF(ISERROR(VLOOKUP(CONCATENATE($AC$10,"_",AB18),'選手名簿'!$A:$E,5,FALSE))=TRUE,"",VLOOKUP(CONCATENATE($AC$10,"_",AB18),'選手名簿'!$A:$E,5,FALSE))</f>
        <v/>
      </c>
    </row>
    <row r="19" spans="5:29" ht="20.25" customHeight="1" hidden="1">
      <c r="E19" s="320" t="s">
        <v>558</v>
      </c>
      <c r="F19" s="321" t="str">
        <f>IF(ISERROR(VLOOKUP(CONCATENATE($F$10,"_",G19),'選手名簿'!$A:$E,5,FALSE))=TRUE,"",VLOOKUP(CONCATENATE($F$10,"_",G19),'選手名簿'!$A:$E,5,FALSE))</f>
        <v/>
      </c>
      <c r="G19" s="322"/>
      <c r="H19" s="322"/>
      <c r="I19" s="322"/>
      <c r="J19" s="323"/>
      <c r="K19" s="322"/>
      <c r="L19" s="322"/>
      <c r="M19" s="322"/>
      <c r="N19" s="324" t="str">
        <f>IF(ISERROR(VLOOKUP(CONCATENATE($N$10,"_",M19),'選手名簿'!$A:$E,5,FALSE))=TRUE,"",VLOOKUP(CONCATENATE($N$10,"_",M19),'選手名簿'!$A:$E,5,FALSE))</f>
        <v/>
      </c>
      <c r="T19" s="320" t="s">
        <v>558</v>
      </c>
      <c r="U19" s="321" t="str">
        <f>IF(ISERROR(VLOOKUP(CONCATENATE($U$10,"_",V19),'選手名簿'!$A:$E,5,FALSE))=TRUE,"",VLOOKUP(CONCATENATE($U$10,"_",V19),'選手名簿'!$A:$E,5,FALSE))</f>
        <v/>
      </c>
      <c r="V19" s="322"/>
      <c r="W19" s="322"/>
      <c r="X19" s="322"/>
      <c r="Y19" s="323"/>
      <c r="Z19" s="322"/>
      <c r="AA19" s="322"/>
      <c r="AB19" s="322"/>
      <c r="AC19" s="324" t="str">
        <f>IF(ISERROR(VLOOKUP(CONCATENATE($AC$10,"_",AB19),'選手名簿'!$A:$E,5,FALSE))=TRUE,"",VLOOKUP(CONCATENATE($AC$10,"_",AB19),'選手名簿'!$A:$E,5,FALSE))</f>
        <v/>
      </c>
    </row>
    <row r="20" spans="5:29" ht="20.25" customHeight="1" hidden="1">
      <c r="E20" s="320" t="s">
        <v>558</v>
      </c>
      <c r="F20" s="321" t="str">
        <f>IF(ISERROR(VLOOKUP(CONCATENATE($F$10,"_",G20),'選手名簿'!$A:$E,5,FALSE))=TRUE,"",VLOOKUP(CONCATENATE($F$10,"_",G20),'選手名簿'!$A:$E,5,FALSE))</f>
        <v/>
      </c>
      <c r="G20" s="322"/>
      <c r="H20" s="322"/>
      <c r="I20" s="322"/>
      <c r="J20" s="323"/>
      <c r="K20" s="322"/>
      <c r="L20" s="322"/>
      <c r="M20" s="322"/>
      <c r="N20" s="324" t="str">
        <f>IF(ISERROR(VLOOKUP(CONCATENATE($N$10,"_",M20),'選手名簿'!$A:$E,5,FALSE))=TRUE,"",VLOOKUP(CONCATENATE($N$10,"_",M20),'選手名簿'!$A:$E,5,FALSE))</f>
        <v/>
      </c>
      <c r="T20" s="320" t="s">
        <v>558</v>
      </c>
      <c r="U20" s="321" t="str">
        <f>IF(ISERROR(VLOOKUP(CONCATENATE($U$10,"_",V20),'選手名簿'!$A:$E,5,FALSE))=TRUE,"",VLOOKUP(CONCATENATE($U$10,"_",V20),'選手名簿'!$A:$E,5,FALSE))</f>
        <v/>
      </c>
      <c r="V20" s="322"/>
      <c r="W20" s="322"/>
      <c r="X20" s="322"/>
      <c r="Y20" s="323"/>
      <c r="Z20" s="322"/>
      <c r="AA20" s="322"/>
      <c r="AB20" s="322"/>
      <c r="AC20" s="324" t="str">
        <f>IF(ISERROR(VLOOKUP(CONCATENATE($AC$10,"_",AB20),'選手名簿'!$A:$E,5,FALSE))=TRUE,"",VLOOKUP(CONCATENATE($AC$10,"_",AB20),'選手名簿'!$A:$E,5,FALSE))</f>
        <v/>
      </c>
    </row>
    <row r="21" spans="5:29" ht="20.25" customHeight="1" hidden="1">
      <c r="E21" s="320" t="s">
        <v>558</v>
      </c>
      <c r="F21" s="321" t="str">
        <f>IF(ISERROR(VLOOKUP(CONCATENATE($F$10,"_",G21),'選手名簿'!$A:$E,5,FALSE))=TRUE,"",VLOOKUP(CONCATENATE($F$10,"_",G21),'選手名簿'!$A:$E,5,FALSE))</f>
        <v/>
      </c>
      <c r="G21" s="322"/>
      <c r="H21" s="322"/>
      <c r="I21" s="322"/>
      <c r="J21" s="323"/>
      <c r="K21" s="322"/>
      <c r="L21" s="322"/>
      <c r="M21" s="322"/>
      <c r="N21" s="324" t="str">
        <f>IF(ISERROR(VLOOKUP(CONCATENATE($N$10,"_",M21),'選手名簿'!$A:$E,5,FALSE))=TRUE,"",VLOOKUP(CONCATENATE($N$10,"_",M21),'選手名簿'!$A:$E,5,FALSE))</f>
        <v/>
      </c>
      <c r="T21" s="320" t="s">
        <v>558</v>
      </c>
      <c r="U21" s="321" t="str">
        <f>IF(ISERROR(VLOOKUP(CONCATENATE($U$10,"_",V21),'選手名簿'!$A:$E,5,FALSE))=TRUE,"",VLOOKUP(CONCATENATE($U$10,"_",V21),'選手名簿'!$A:$E,5,FALSE))</f>
        <v/>
      </c>
      <c r="V21" s="322"/>
      <c r="W21" s="322"/>
      <c r="X21" s="322"/>
      <c r="Y21" s="323"/>
      <c r="Z21" s="322"/>
      <c r="AA21" s="322"/>
      <c r="AB21" s="322"/>
      <c r="AC21" s="324" t="str">
        <f>IF(ISERROR(VLOOKUP(CONCATENATE($AC$10,"_",AB21),'選手名簿'!$A:$E,5,FALSE))=TRUE,"",VLOOKUP(CONCATENATE($AC$10,"_",AB21),'選手名簿'!$A:$E,5,FALSE))</f>
        <v/>
      </c>
    </row>
    <row r="22" spans="5:29" ht="20.25" customHeight="1" hidden="1">
      <c r="E22" s="320" t="s">
        <v>558</v>
      </c>
      <c r="F22" s="321" t="str">
        <f>IF(ISERROR(VLOOKUP(CONCATENATE($F$10,"_",G22),'選手名簿'!$A:$E,5,FALSE))=TRUE,"",VLOOKUP(CONCATENATE($F$10,"_",G22),'選手名簿'!$A:$E,5,FALSE))</f>
        <v/>
      </c>
      <c r="G22" s="322"/>
      <c r="H22" s="322"/>
      <c r="I22" s="322"/>
      <c r="J22" s="323"/>
      <c r="K22" s="322"/>
      <c r="L22" s="322"/>
      <c r="M22" s="322"/>
      <c r="N22" s="324" t="str">
        <f>IF(ISERROR(VLOOKUP(CONCATENATE($N$10,"_",M22),'選手名簿'!$A:$E,5,FALSE))=TRUE,"",VLOOKUP(CONCATENATE($N$10,"_",M22),'選手名簿'!$A:$E,5,FALSE))</f>
        <v/>
      </c>
      <c r="T22" s="320" t="s">
        <v>558</v>
      </c>
      <c r="U22" s="321" t="str">
        <f>IF(ISERROR(VLOOKUP(CONCATENATE($U$10,"_",V22),'選手名簿'!$A:$E,5,FALSE))=TRUE,"",VLOOKUP(CONCATENATE($U$10,"_",V22),'選手名簿'!$A:$E,5,FALSE))</f>
        <v/>
      </c>
      <c r="V22" s="322"/>
      <c r="W22" s="322"/>
      <c r="X22" s="322"/>
      <c r="Y22" s="323"/>
      <c r="Z22" s="322"/>
      <c r="AA22" s="322"/>
      <c r="AB22" s="322"/>
      <c r="AC22" s="324" t="str">
        <f>IF(ISERROR(VLOOKUP(CONCATENATE($AC$10,"_",AB22),'選手名簿'!$A:$E,5,FALSE))=TRUE,"",VLOOKUP(CONCATENATE($AC$10,"_",AB22),'選手名簿'!$A:$E,5,FALSE))</f>
        <v/>
      </c>
    </row>
    <row r="23" spans="5:29" ht="20.25" customHeight="1" hidden="1">
      <c r="E23" s="325" t="s">
        <v>558</v>
      </c>
      <c r="F23" s="326" t="str">
        <f>IF(ISERROR(VLOOKUP(CONCATENATE($F$10,"_",G23),'選手名簿'!$A:$E,5,FALSE))=TRUE,"",VLOOKUP(CONCATENATE($F$10,"_",G23),'選手名簿'!$A:$E,5,FALSE))</f>
        <v/>
      </c>
      <c r="G23" s="327"/>
      <c r="H23" s="327"/>
      <c r="I23" s="327"/>
      <c r="J23" s="328"/>
      <c r="K23" s="327"/>
      <c r="L23" s="327"/>
      <c r="M23" s="327"/>
      <c r="N23" s="329" t="str">
        <f>IF(ISERROR(VLOOKUP(CONCATENATE($N$10,"_",M23),'選手名簿'!$A:$E,5,FALSE))=TRUE,"",VLOOKUP(CONCATENATE($N$10,"_",M23),'選手名簿'!$A:$E,5,FALSE))</f>
        <v/>
      </c>
      <c r="T23" s="325" t="s">
        <v>558</v>
      </c>
      <c r="U23" s="326" t="str">
        <f>IF(ISERROR(VLOOKUP(CONCATENATE($U$10,"_",V23),'選手名簿'!$A:$E,5,FALSE))=TRUE,"",VLOOKUP(CONCATENATE($U$10,"_",V23),'選手名簿'!$A:$E,5,FALSE))</f>
        <v/>
      </c>
      <c r="V23" s="327"/>
      <c r="W23" s="327"/>
      <c r="X23" s="327"/>
      <c r="Y23" s="328"/>
      <c r="Z23" s="327"/>
      <c r="AA23" s="327"/>
      <c r="AB23" s="327"/>
      <c r="AC23" s="329" t="str">
        <f>IF(ISERROR(VLOOKUP(CONCATENATE($AC$10,"_",AB23),'選手名簿'!$A:$E,5,FALSE))=TRUE,"",VLOOKUP(CONCATENATE($AC$10,"_",AB23),'選手名簿'!$A:$E,5,FALSE))</f>
        <v/>
      </c>
    </row>
    <row r="24" spans="1:29" ht="20.25" customHeight="1">
      <c r="A24" s="330" t="s">
        <v>557</v>
      </c>
      <c r="B24" s="750" t="s">
        <v>559</v>
      </c>
      <c r="C24" s="750"/>
      <c r="D24" s="750"/>
      <c r="E24" s="320" t="s">
        <v>419</v>
      </c>
      <c r="F24" s="321" t="str">
        <f>IF(ISERROR(VLOOKUP(CONCATENATE($F$10,"_",G24),'選手名簿'!$A:$E,5,FALSE))=TRUE,"",VLOOKUP(CONCATENATE($F$10,"_",G24),'選手名簿'!$A:$E,5,FALSE))</f>
        <v/>
      </c>
      <c r="G24" s="322"/>
      <c r="H24" s="322"/>
      <c r="I24" s="322"/>
      <c r="J24" s="323"/>
      <c r="K24" s="322"/>
      <c r="L24" s="322"/>
      <c r="M24" s="322"/>
      <c r="N24" s="324" t="str">
        <f>IF(ISERROR(VLOOKUP(CONCATENATE($N$10,"_",M24),'選手名簿'!$A:$E,5,FALSE))=TRUE,"",VLOOKUP(CONCATENATE($N$10,"_",M24),'選手名簿'!$A:$E,5,FALSE))</f>
        <v/>
      </c>
      <c r="P24" s="330" t="s">
        <v>557</v>
      </c>
      <c r="Q24" s="750" t="s">
        <v>560</v>
      </c>
      <c r="R24" s="750"/>
      <c r="S24" s="751"/>
      <c r="T24" s="320" t="s">
        <v>419</v>
      </c>
      <c r="U24" s="321" t="str">
        <f>IF(ISERROR(VLOOKUP(CONCATENATE($U$10,"_",V24),'選手名簿'!$A:$E,5,FALSE))=TRUE,"",VLOOKUP(CONCATENATE($U$10,"_",V24),'選手名簿'!$A:$E,5,FALSE))</f>
        <v/>
      </c>
      <c r="V24" s="322"/>
      <c r="W24" s="322"/>
      <c r="X24" s="322"/>
      <c r="Y24" s="323"/>
      <c r="Z24" s="322"/>
      <c r="AA24" s="322"/>
      <c r="AB24" s="322"/>
      <c r="AC24" s="324" t="str">
        <f>IF(ISERROR(VLOOKUP(CONCATENATE($AC$10,"_",AB24),'選手名簿'!$A:$E,5,FALSE))=TRUE,"",VLOOKUP(CONCATENATE($AC$10,"_",AB24),'選手名簿'!$A:$E,5,FALSE))</f>
        <v/>
      </c>
    </row>
    <row r="25" spans="1:29" ht="20.25" customHeight="1">
      <c r="A25" s="331" t="s">
        <v>177</v>
      </c>
      <c r="B25" s="752" t="str">
        <f>IF(ISERROR(VLOOKUP(B24,'審判員'!$A:$C,2,FALSE))=TRUE,"",VLOOKUP(B24,'審判員'!$A:$C,2,FALSE))</f>
        <v>小石川　悟</v>
      </c>
      <c r="C25" s="753"/>
      <c r="D25" s="332" t="str">
        <f>IF(ISERROR(VLOOKUP(B24,'審判員'!$A:$C,3,FALSE))=TRUE,"",VLOOKUP(B24,'審判員'!$A:$C,3,FALSE))</f>
        <v>３級</v>
      </c>
      <c r="E25" s="333" t="s">
        <v>419</v>
      </c>
      <c r="F25" s="334" t="str">
        <f>IF(ISERROR(VLOOKUP(CONCATENATE($F$10,"_",G25),'選手名簿'!$A:$E,5,FALSE))=TRUE,"",VLOOKUP(CONCATENATE($F$10,"_",G25),'選手名簿'!$A:$E,5,FALSE))</f>
        <v/>
      </c>
      <c r="G25" s="335"/>
      <c r="H25" s="335"/>
      <c r="I25" s="335"/>
      <c r="J25" s="323"/>
      <c r="K25" s="335"/>
      <c r="L25" s="335"/>
      <c r="M25" s="335"/>
      <c r="N25" s="336" t="str">
        <f>IF(ISERROR(VLOOKUP(CONCATENATE($N$10,"_",M25),'選手名簿'!$A:$E,5,FALSE))=TRUE,"",VLOOKUP(CONCATENATE($N$10,"_",M25),'選手名簿'!$A:$E,5,FALSE))</f>
        <v/>
      </c>
      <c r="P25" s="331" t="s">
        <v>177</v>
      </c>
      <c r="Q25" s="752" t="str">
        <f>IF(ISERROR(VLOOKUP(Q24,'審判員'!$A:$C,2,FALSE))=TRUE,"",VLOOKUP(Q24,'審判員'!$A:$C,2,FALSE))</f>
        <v>福田　知行</v>
      </c>
      <c r="R25" s="753"/>
      <c r="S25" s="331" t="str">
        <f>IF(ISERROR(VLOOKUP(Q24,'審判員'!$A:$C,3,FALSE))=TRUE,"",VLOOKUP(Q24,'審判員'!$A:$C,3,FALSE))</f>
        <v>３級</v>
      </c>
      <c r="T25" s="333" t="s">
        <v>419</v>
      </c>
      <c r="U25" s="334" t="str">
        <f>IF(ISERROR(VLOOKUP(CONCATENATE($U$10,"_",V25),'選手名簿'!$A:$E,5,FALSE))=TRUE,"",VLOOKUP(CONCATENATE($U$10,"_",V25),'選手名簿'!$A:$E,5,FALSE))</f>
        <v/>
      </c>
      <c r="V25" s="335"/>
      <c r="W25" s="335"/>
      <c r="X25" s="335"/>
      <c r="Y25" s="323"/>
      <c r="Z25" s="335"/>
      <c r="AA25" s="335"/>
      <c r="AB25" s="335"/>
      <c r="AC25" s="336" t="str">
        <f>IF(ISERROR(VLOOKUP(CONCATENATE($AC$10,"_",AB25),'選手名簿'!$A:$E,5,FALSE))=TRUE,"",VLOOKUP(CONCATENATE($AC$10,"_",AB25),'選手名簿'!$A:$E,5,FALSE))</f>
        <v/>
      </c>
    </row>
    <row r="26" spans="1:29" ht="20.25" customHeight="1">
      <c r="A26" s="330" t="s">
        <v>557</v>
      </c>
      <c r="B26" s="750" t="s">
        <v>561</v>
      </c>
      <c r="C26" s="750"/>
      <c r="D26" s="750"/>
      <c r="E26" s="333" t="s">
        <v>419</v>
      </c>
      <c r="F26" s="334" t="str">
        <f>IF(ISERROR(VLOOKUP(CONCATENATE($F$10,"_",G26),'選手名簿'!$A:$E,5,FALSE))=TRUE,"",VLOOKUP(CONCATENATE($F$10,"_",G26),'選手名簿'!$A:$E,5,FALSE))</f>
        <v/>
      </c>
      <c r="G26" s="335"/>
      <c r="H26" s="335"/>
      <c r="I26" s="335"/>
      <c r="J26" s="323"/>
      <c r="K26" s="335"/>
      <c r="L26" s="335"/>
      <c r="M26" s="335"/>
      <c r="N26" s="336" t="str">
        <f>IF(ISERROR(VLOOKUP(CONCATENATE($N$10,"_",M26),'選手名簿'!$A:$E,5,FALSE))=TRUE,"",VLOOKUP(CONCATENATE($N$10,"_",M26),'選手名簿'!$A:$E,5,FALSE))</f>
        <v/>
      </c>
      <c r="P26" s="330" t="s">
        <v>557</v>
      </c>
      <c r="Q26" s="750" t="s">
        <v>562</v>
      </c>
      <c r="R26" s="750"/>
      <c r="S26" s="751"/>
      <c r="T26" s="333" t="s">
        <v>419</v>
      </c>
      <c r="U26" s="334" t="str">
        <f>IF(ISERROR(VLOOKUP(CONCATENATE($U$10,"_",V26),'選手名簿'!$A:$E,5,FALSE))=TRUE,"",VLOOKUP(CONCATENATE($U$10,"_",V26),'選手名簿'!$A:$E,5,FALSE))</f>
        <v/>
      </c>
      <c r="V26" s="335"/>
      <c r="W26" s="335"/>
      <c r="X26" s="335"/>
      <c r="Y26" s="323"/>
      <c r="Z26" s="335"/>
      <c r="AA26" s="335"/>
      <c r="AB26" s="335"/>
      <c r="AC26" s="336" t="str">
        <f>IF(ISERROR(VLOOKUP(CONCATENATE($AC$10,"_",AB26),'選手名簿'!$A:$E,5,FALSE))=TRUE,"",VLOOKUP(CONCATENATE($AC$10,"_",AB26),'選手名簿'!$A:$E,5,FALSE))</f>
        <v/>
      </c>
    </row>
    <row r="27" spans="1:29" ht="20.25" customHeight="1">
      <c r="A27" s="331" t="s">
        <v>563</v>
      </c>
      <c r="B27" s="752" t="str">
        <f>IF(ISERROR(VLOOKUP(B26,'審判員'!$A:$C,2,FALSE))=TRUE,"",VLOOKUP(B26,'審判員'!$A:$C,2,FALSE))</f>
        <v>菅川　智</v>
      </c>
      <c r="C27" s="753"/>
      <c r="D27" s="332" t="str">
        <f>IF(ISERROR(VLOOKUP(B26,'審判員'!$A:$C,3,FALSE))=TRUE,"",VLOOKUP(B26,'審判員'!$A:$C,3,FALSE))</f>
        <v>３級</v>
      </c>
      <c r="E27" s="333" t="s">
        <v>419</v>
      </c>
      <c r="F27" s="334" t="str">
        <f>IF(ISERROR(VLOOKUP(CONCATENATE($F$10,"_",G27),'選手名簿'!$A:$E,5,FALSE))=TRUE,"",VLOOKUP(CONCATENATE($F$10,"_",G27),'選手名簿'!$A:$E,5,FALSE))</f>
        <v/>
      </c>
      <c r="G27" s="335"/>
      <c r="H27" s="335"/>
      <c r="I27" s="335"/>
      <c r="J27" s="323"/>
      <c r="K27" s="335"/>
      <c r="L27" s="335"/>
      <c r="M27" s="335"/>
      <c r="N27" s="336" t="str">
        <f>IF(ISERROR(VLOOKUP(CONCATENATE($N$10,"_",M27),'選手名簿'!$A:$E,5,FALSE))=TRUE,"",VLOOKUP(CONCATENATE($N$10,"_",M27),'選手名簿'!$A:$E,5,FALSE))</f>
        <v/>
      </c>
      <c r="P27" s="331" t="s">
        <v>563</v>
      </c>
      <c r="Q27" s="752" t="str">
        <f>IF(ISERROR(VLOOKUP(Q26,'審判員'!$A:$C,2,FALSE))=TRUE,"",VLOOKUP(Q26,'審判員'!$A:$C,2,FALSE))</f>
        <v>安部　正信</v>
      </c>
      <c r="R27" s="753"/>
      <c r="S27" s="331" t="str">
        <f>IF(ISERROR(VLOOKUP(Q26,'審判員'!$A:$C,3,FALSE))=TRUE,"",VLOOKUP(Q26,'審判員'!$A:$C,3,FALSE))</f>
        <v>３級</v>
      </c>
      <c r="T27" s="333" t="s">
        <v>419</v>
      </c>
      <c r="U27" s="334" t="str">
        <f>IF(ISERROR(VLOOKUP(CONCATENATE($U$10,"_",V27),'選手名簿'!$A:$E,5,FALSE))=TRUE,"",VLOOKUP(CONCATENATE($U$10,"_",V27),'選手名簿'!$A:$E,5,FALSE))</f>
        <v/>
      </c>
      <c r="V27" s="335"/>
      <c r="W27" s="335"/>
      <c r="X27" s="335"/>
      <c r="Y27" s="323"/>
      <c r="Z27" s="335"/>
      <c r="AA27" s="335"/>
      <c r="AB27" s="335"/>
      <c r="AC27" s="336" t="str">
        <f>IF(ISERROR(VLOOKUP(CONCATENATE($AC$10,"_",AB27),'選手名簿'!$A:$E,5,FALSE))=TRUE,"",VLOOKUP(CONCATENATE($AC$10,"_",AB27),'選手名簿'!$A:$E,5,FALSE))</f>
        <v/>
      </c>
    </row>
    <row r="28" spans="1:29" ht="20.25" customHeight="1">
      <c r="A28" s="330" t="s">
        <v>557</v>
      </c>
      <c r="B28" s="750" t="s">
        <v>564</v>
      </c>
      <c r="C28" s="750"/>
      <c r="D28" s="750"/>
      <c r="E28" s="333" t="s">
        <v>419</v>
      </c>
      <c r="F28" s="334" t="str">
        <f>IF(ISERROR(VLOOKUP(CONCATENATE($F$10,"_",G28),'選手名簿'!$A:$E,5,FALSE))=TRUE,"",VLOOKUP(CONCATENATE($F$10,"_",G28),'選手名簿'!$A:$E,5,FALSE))</f>
        <v/>
      </c>
      <c r="G28" s="335"/>
      <c r="H28" s="335"/>
      <c r="I28" s="335"/>
      <c r="J28" s="323"/>
      <c r="K28" s="335"/>
      <c r="L28" s="335"/>
      <c r="M28" s="335"/>
      <c r="N28" s="336" t="str">
        <f>IF(ISERROR(VLOOKUP(CONCATENATE($N$10,"_",M28),'選手名簿'!$A:$E,5,FALSE))=TRUE,"",VLOOKUP(CONCATENATE($N$10,"_",M28),'選手名簿'!$A:$E,5,FALSE))</f>
        <v/>
      </c>
      <c r="P28" s="330" t="s">
        <v>557</v>
      </c>
      <c r="Q28" s="750" t="s">
        <v>565</v>
      </c>
      <c r="R28" s="750"/>
      <c r="S28" s="751"/>
      <c r="T28" s="333" t="s">
        <v>419</v>
      </c>
      <c r="U28" s="334" t="str">
        <f>IF(ISERROR(VLOOKUP(CONCATENATE($U$10,"_",V28),'選手名簿'!$A:$E,5,FALSE))=TRUE,"",VLOOKUP(CONCATENATE($U$10,"_",V28),'選手名簿'!$A:$E,5,FALSE))</f>
        <v/>
      </c>
      <c r="V28" s="335"/>
      <c r="W28" s="335"/>
      <c r="X28" s="335"/>
      <c r="Y28" s="323"/>
      <c r="Z28" s="335"/>
      <c r="AA28" s="335"/>
      <c r="AB28" s="335"/>
      <c r="AC28" s="336" t="str">
        <f>IF(ISERROR(VLOOKUP(CONCATENATE($AC$10,"_",AB28),'選手名簿'!$A:$E,5,FALSE))=TRUE,"",VLOOKUP(CONCATENATE($AC$10,"_",AB28),'選手名簿'!$A:$E,5,FALSE))</f>
        <v/>
      </c>
    </row>
    <row r="29" spans="1:29" ht="20.25" customHeight="1">
      <c r="A29" s="331" t="s">
        <v>566</v>
      </c>
      <c r="B29" s="752" t="str">
        <f>IF(ISERROR(VLOOKUP(B28,'審判員'!$A:$C,2,FALSE))=TRUE,"",VLOOKUP(B28,'審判員'!$A:$C,2,FALSE))</f>
        <v>久保　雅敬</v>
      </c>
      <c r="C29" s="753"/>
      <c r="D29" s="332" t="str">
        <f>IF(ISERROR(VLOOKUP(B28,'審判員'!$A:$C,3,FALSE))=TRUE,"",VLOOKUP(B28,'審判員'!$A:$C,3,FALSE))</f>
        <v>３級</v>
      </c>
      <c r="E29" s="333" t="s">
        <v>419</v>
      </c>
      <c r="F29" s="334" t="str">
        <f>IF(ISERROR(VLOOKUP(CONCATENATE($F$10,"_",G29),'選手名簿'!$A:$E,5,FALSE))=TRUE,"",VLOOKUP(CONCATENATE($F$10,"_",G29),'選手名簿'!$A:$E,5,FALSE))</f>
        <v/>
      </c>
      <c r="G29" s="335"/>
      <c r="H29" s="335"/>
      <c r="I29" s="335"/>
      <c r="J29" s="323"/>
      <c r="K29" s="335"/>
      <c r="L29" s="335"/>
      <c r="M29" s="335"/>
      <c r="N29" s="336" t="str">
        <f>IF(ISERROR(VLOOKUP(CONCATENATE($N$10,"_",M29),'選手名簿'!$A:$E,5,FALSE))=TRUE,"",VLOOKUP(CONCATENATE($N$10,"_",M29),'選手名簿'!$A:$E,5,FALSE))</f>
        <v/>
      </c>
      <c r="P29" s="331" t="s">
        <v>566</v>
      </c>
      <c r="Q29" s="752" t="str">
        <f>IF(ISERROR(VLOOKUP(Q28,'審判員'!$A:$C,2,FALSE))=TRUE,"",VLOOKUP(Q28,'審判員'!$A:$C,2,FALSE))</f>
        <v>西村　竜司</v>
      </c>
      <c r="R29" s="753"/>
      <c r="S29" s="331" t="str">
        <f>IF(ISERROR(VLOOKUP(Q28,'審判員'!$A:$C,3,FALSE))=TRUE,"",VLOOKUP(Q28,'審判員'!$A:$C,3,FALSE))</f>
        <v>３級</v>
      </c>
      <c r="T29" s="333" t="s">
        <v>419</v>
      </c>
      <c r="U29" s="334" t="str">
        <f>IF(ISERROR(VLOOKUP(CONCATENATE($U$10,"_",V29),'選手名簿'!$A:$E,5,FALSE))=TRUE,"",VLOOKUP(CONCATENATE($U$10,"_",V29),'選手名簿'!$A:$E,5,FALSE))</f>
        <v/>
      </c>
      <c r="V29" s="335"/>
      <c r="W29" s="335"/>
      <c r="X29" s="335"/>
      <c r="Y29" s="323"/>
      <c r="Z29" s="335"/>
      <c r="AA29" s="335"/>
      <c r="AB29" s="335"/>
      <c r="AC29" s="336" t="str">
        <f>IF(ISERROR(VLOOKUP(CONCATENATE($AC$10,"_",AB29),'選手名簿'!$A:$E,5,FALSE))=TRUE,"",VLOOKUP(CONCATENATE($AC$10,"_",AB29),'選手名簿'!$A:$E,5,FALSE))</f>
        <v/>
      </c>
    </row>
    <row r="30" spans="1:29" ht="20.25" customHeight="1">
      <c r="A30" s="330" t="s">
        <v>557</v>
      </c>
      <c r="B30" s="750" t="s">
        <v>560</v>
      </c>
      <c r="C30" s="750"/>
      <c r="D30" s="750"/>
      <c r="E30" s="333" t="s">
        <v>419</v>
      </c>
      <c r="F30" s="334" t="str">
        <f>IF(ISERROR(VLOOKUP(CONCATENATE($F$10,"_",G30),'選手名簿'!$A:$E,5,FALSE))=TRUE,"",VLOOKUP(CONCATENATE($F$10,"_",G30),'選手名簿'!$A:$E,5,FALSE))</f>
        <v/>
      </c>
      <c r="G30" s="335"/>
      <c r="H30" s="335"/>
      <c r="I30" s="335"/>
      <c r="J30" s="323"/>
      <c r="K30" s="335"/>
      <c r="L30" s="335"/>
      <c r="M30" s="335"/>
      <c r="N30" s="336" t="str">
        <f>IF(ISERROR(VLOOKUP(CONCATENATE($N$10,"_",M30),'選手名簿'!$A:$E,5,FALSE))=TRUE,"",VLOOKUP(CONCATENATE($N$10,"_",M30),'選手名簿'!$A:$E,5,FALSE))</f>
        <v/>
      </c>
      <c r="P30" s="330" t="s">
        <v>557</v>
      </c>
      <c r="Q30" s="750" t="s">
        <v>567</v>
      </c>
      <c r="R30" s="750"/>
      <c r="S30" s="751"/>
      <c r="T30" s="333" t="s">
        <v>419</v>
      </c>
      <c r="U30" s="334" t="str">
        <f>IF(ISERROR(VLOOKUP(CONCATENATE($U$10,"_",V30),'選手名簿'!$A:$E,5,FALSE))=TRUE,"",VLOOKUP(CONCATENATE($U$10,"_",V30),'選手名簿'!$A:$E,5,FALSE))</f>
        <v/>
      </c>
      <c r="V30" s="335"/>
      <c r="W30" s="335"/>
      <c r="X30" s="335"/>
      <c r="Y30" s="323"/>
      <c r="Z30" s="335"/>
      <c r="AA30" s="335"/>
      <c r="AB30" s="335"/>
      <c r="AC30" s="336" t="str">
        <f>IF(ISERROR(VLOOKUP(CONCATENATE($AC$10,"_",AB30),'選手名簿'!$A:$E,5,FALSE))=TRUE,"",VLOOKUP(CONCATENATE($AC$10,"_",AB30),'選手名簿'!$A:$E,5,FALSE))</f>
        <v/>
      </c>
    </row>
    <row r="31" spans="1:29" ht="20.25" customHeight="1">
      <c r="A31" s="331" t="s">
        <v>568</v>
      </c>
      <c r="B31" s="752" t="str">
        <f>IF(ISERROR(VLOOKUP(B30,'審判員'!$A:$C,2,FALSE))=TRUE,"",VLOOKUP(B30,'審判員'!$A:$C,2,FALSE))</f>
        <v>福田　知行</v>
      </c>
      <c r="C31" s="753"/>
      <c r="D31" s="332" t="str">
        <f>IF(ISERROR(VLOOKUP(B30,'審判員'!$A:$C,3,FALSE))=TRUE,"",VLOOKUP(B30,'審判員'!$A:$C,3,FALSE))</f>
        <v>３級</v>
      </c>
      <c r="E31" s="337" t="s">
        <v>419</v>
      </c>
      <c r="F31" s="338" t="str">
        <f>IF(ISERROR(VLOOKUP(CONCATENATE($F$10,"_",G31),'選手名簿'!$A:$E,5,FALSE))=TRUE,"",VLOOKUP(CONCATENATE($F$10,"_",G31),'選手名簿'!$A:$E,5,FALSE))</f>
        <v/>
      </c>
      <c r="G31" s="339"/>
      <c r="H31" s="339"/>
      <c r="I31" s="339"/>
      <c r="J31" s="328"/>
      <c r="K31" s="339"/>
      <c r="L31" s="339"/>
      <c r="M31" s="339"/>
      <c r="N31" s="340" t="str">
        <f>IF(ISERROR(VLOOKUP(CONCATENATE($N$10,"_",M31),'選手名簿'!$A:$E,5,FALSE))=TRUE,"",VLOOKUP(CONCATENATE($N$10,"_",M31),'選手名簿'!$A:$E,5,FALSE))</f>
        <v/>
      </c>
      <c r="P31" s="331" t="s">
        <v>568</v>
      </c>
      <c r="Q31" s="752" t="str">
        <f>IF(ISERROR(VLOOKUP(Q30,'審判員'!$A:$C,2,FALSE))=TRUE,"",VLOOKUP(Q30,'審判員'!$A:$C,2,FALSE))</f>
        <v>内藤　翔悟</v>
      </c>
      <c r="R31" s="753"/>
      <c r="S31" s="331" t="str">
        <f>IF(ISERROR(VLOOKUP(Q30,'審判員'!$A:$C,3,FALSE))=TRUE,"",VLOOKUP(Q30,'審判員'!$A:$C,3,FALSE))</f>
        <v>３級</v>
      </c>
      <c r="T31" s="337" t="s">
        <v>419</v>
      </c>
      <c r="U31" s="338" t="str">
        <f>IF(ISERROR(VLOOKUP(CONCATENATE($U$10,"_",V31),'選手名簿'!$A:$E,5,FALSE))=TRUE,"",VLOOKUP(CONCATENATE($U$10,"_",V31),'選手名簿'!$A:$E,5,FALSE))</f>
        <v/>
      </c>
      <c r="V31" s="339"/>
      <c r="W31" s="339"/>
      <c r="X31" s="339"/>
      <c r="Y31" s="328"/>
      <c r="Z31" s="339"/>
      <c r="AA31" s="339"/>
      <c r="AB31" s="339"/>
      <c r="AC31" s="340" t="str">
        <f>IF(ISERROR(VLOOKUP(CONCATENATE($AC$10,"_",AB31),'選手名簿'!$A:$E,5,FALSE))=TRUE,"",VLOOKUP(CONCATENATE($AC$10,"_",AB31),'選手名簿'!$A:$E,5,FALSE))</f>
        <v/>
      </c>
    </row>
    <row r="32" spans="5:20" ht="9.95" customHeight="1">
      <c r="E32" s="341"/>
      <c r="T32" s="341"/>
    </row>
    <row r="33" spans="5:20" ht="9.95" customHeight="1">
      <c r="E33" s="341"/>
      <c r="T33" s="341"/>
    </row>
    <row r="34" ht="9.95" customHeight="1"/>
    <row r="35" ht="9.95" customHeight="1"/>
    <row r="36" ht="9.95" customHeight="1"/>
    <row r="37" ht="9.95" customHeight="1"/>
    <row r="38" spans="5:20" ht="9.95" customHeight="1">
      <c r="E38" s="341"/>
      <c r="T38" s="341"/>
    </row>
    <row r="39" spans="1:29" ht="27.4" customHeight="1">
      <c r="A39" s="312" t="s">
        <v>546</v>
      </c>
      <c r="B39" s="772" t="s">
        <v>554</v>
      </c>
      <c r="C39" s="773"/>
      <c r="D39" s="774"/>
      <c r="E39" s="756">
        <v>0.5208333333333334</v>
      </c>
      <c r="F39" s="759" t="str">
        <f>F6</f>
        <v>リノスフットボールクラブ　Ｕ－１２</v>
      </c>
      <c r="G39" s="762">
        <f>SUM(I39:I40)</f>
        <v>1</v>
      </c>
      <c r="H39" s="765" t="s">
        <v>294</v>
      </c>
      <c r="I39" s="313">
        <v>1</v>
      </c>
      <c r="J39" s="313" t="s">
        <v>548</v>
      </c>
      <c r="K39" s="313">
        <v>1</v>
      </c>
      <c r="L39" s="765" t="s">
        <v>549</v>
      </c>
      <c r="M39" s="762">
        <f>SUM(K39:K40)</f>
        <v>3</v>
      </c>
      <c r="N39" s="768" t="str">
        <f>F7</f>
        <v>明治サッカースポーツ少年団</v>
      </c>
      <c r="P39" s="312" t="s">
        <v>546</v>
      </c>
      <c r="Q39" s="772" t="s">
        <v>547</v>
      </c>
      <c r="R39" s="773"/>
      <c r="S39" s="774"/>
      <c r="T39" s="756">
        <v>0.5625</v>
      </c>
      <c r="U39" s="759" t="str">
        <f>U6</f>
        <v>スマイス　セレソン　スポーツクラブ</v>
      </c>
      <c r="V39" s="762">
        <f>SUM(X39:X40)</f>
        <v>0</v>
      </c>
      <c r="W39" s="765" t="s">
        <v>294</v>
      </c>
      <c r="X39" s="313">
        <v>0</v>
      </c>
      <c r="Y39" s="313" t="s">
        <v>548</v>
      </c>
      <c r="Z39" s="313">
        <v>0</v>
      </c>
      <c r="AA39" s="765" t="s">
        <v>549</v>
      </c>
      <c r="AB39" s="762">
        <f>SUM(Z39:Z40)</f>
        <v>2</v>
      </c>
      <c r="AC39" s="768" t="str">
        <f>U7</f>
        <v>下毛ＦＣ</v>
      </c>
    </row>
    <row r="40" spans="1:29" ht="27.4" customHeight="1">
      <c r="A40" s="314" t="s">
        <v>551</v>
      </c>
      <c r="B40" s="771" t="s">
        <v>16</v>
      </c>
      <c r="C40" s="771"/>
      <c r="D40" s="772"/>
      <c r="E40" s="757"/>
      <c r="F40" s="760"/>
      <c r="G40" s="763"/>
      <c r="H40" s="766"/>
      <c r="I40" s="303">
        <v>0</v>
      </c>
      <c r="J40" s="303" t="s">
        <v>552</v>
      </c>
      <c r="K40" s="303">
        <v>2</v>
      </c>
      <c r="L40" s="766"/>
      <c r="M40" s="763"/>
      <c r="N40" s="769"/>
      <c r="P40" s="314" t="s">
        <v>551</v>
      </c>
      <c r="Q40" s="771" t="s">
        <v>16</v>
      </c>
      <c r="R40" s="771"/>
      <c r="S40" s="772"/>
      <c r="T40" s="757"/>
      <c r="U40" s="760"/>
      <c r="V40" s="763"/>
      <c r="W40" s="766"/>
      <c r="X40" s="303">
        <v>0</v>
      </c>
      <c r="Y40" s="303" t="s">
        <v>552</v>
      </c>
      <c r="Z40" s="303">
        <v>2</v>
      </c>
      <c r="AA40" s="766"/>
      <c r="AB40" s="763"/>
      <c r="AC40" s="769"/>
    </row>
    <row r="41" spans="1:29" ht="27.4" customHeight="1">
      <c r="A41" s="314" t="s">
        <v>553</v>
      </c>
      <c r="B41" s="771" t="s">
        <v>550</v>
      </c>
      <c r="C41" s="771"/>
      <c r="D41" s="772"/>
      <c r="E41" s="758"/>
      <c r="F41" s="761"/>
      <c r="G41" s="764"/>
      <c r="H41" s="767"/>
      <c r="I41" s="315"/>
      <c r="J41" s="315" t="s">
        <v>555</v>
      </c>
      <c r="K41" s="315"/>
      <c r="L41" s="767"/>
      <c r="M41" s="764"/>
      <c r="N41" s="770"/>
      <c r="P41" s="314" t="s">
        <v>553</v>
      </c>
      <c r="Q41" s="771" t="s">
        <v>554</v>
      </c>
      <c r="R41" s="771"/>
      <c r="S41" s="772"/>
      <c r="T41" s="758"/>
      <c r="U41" s="761"/>
      <c r="V41" s="764"/>
      <c r="W41" s="767"/>
      <c r="X41" s="315"/>
      <c r="Y41" s="315" t="s">
        <v>555</v>
      </c>
      <c r="Z41" s="315"/>
      <c r="AA41" s="767"/>
      <c r="AB41" s="764"/>
      <c r="AC41" s="770"/>
    </row>
    <row r="42" spans="1:29" ht="20.25" customHeight="1">
      <c r="A42" s="754" t="s">
        <v>556</v>
      </c>
      <c r="B42" s="754"/>
      <c r="C42" s="754"/>
      <c r="D42" s="755"/>
      <c r="E42" s="316"/>
      <c r="F42" s="317" t="s">
        <v>418</v>
      </c>
      <c r="G42" s="317" t="s">
        <v>557</v>
      </c>
      <c r="H42" s="317" t="s">
        <v>524</v>
      </c>
      <c r="I42" s="317"/>
      <c r="J42" s="318"/>
      <c r="K42" s="317"/>
      <c r="L42" s="317" t="s">
        <v>524</v>
      </c>
      <c r="M42" s="317" t="s">
        <v>557</v>
      </c>
      <c r="N42" s="319" t="s">
        <v>418</v>
      </c>
      <c r="P42" s="754" t="s">
        <v>556</v>
      </c>
      <c r="Q42" s="754"/>
      <c r="R42" s="754"/>
      <c r="S42" s="755"/>
      <c r="T42" s="316"/>
      <c r="U42" s="317" t="s">
        <v>418</v>
      </c>
      <c r="V42" s="317" t="s">
        <v>557</v>
      </c>
      <c r="W42" s="317" t="s">
        <v>524</v>
      </c>
      <c r="X42" s="317"/>
      <c r="Y42" s="318"/>
      <c r="Z42" s="317"/>
      <c r="AA42" s="317" t="s">
        <v>524</v>
      </c>
      <c r="AB42" s="317" t="s">
        <v>557</v>
      </c>
      <c r="AC42" s="319" t="s">
        <v>418</v>
      </c>
    </row>
    <row r="43" spans="5:29" ht="20.25" customHeight="1" hidden="1">
      <c r="E43" s="320" t="s">
        <v>558</v>
      </c>
      <c r="F43" s="321" t="str">
        <f>IF(ISERROR(VLOOKUP(CONCATENATE($F$39,"_",G43),'選手名簿'!$A:$E,5,FALSE))=TRUE,"",VLOOKUP(CONCATENATE($F$39,"_",G43),'選手名簿'!$A:$E,5,FALSE))</f>
        <v/>
      </c>
      <c r="G43" s="322"/>
      <c r="H43" s="322"/>
      <c r="I43" s="322"/>
      <c r="J43" s="323"/>
      <c r="K43" s="322"/>
      <c r="L43" s="322"/>
      <c r="M43" s="322"/>
      <c r="N43" s="324" t="str">
        <f>IF(ISERROR(VLOOKUP(CONCATENATE($N$39,"_",M43),'選手名簿'!$A:$E,5,FALSE))=TRUE,"",VLOOKUP(CONCATENATE($N$39,"_",M43),'選手名簿'!$A:$E,5,FALSE))</f>
        <v/>
      </c>
      <c r="T43" s="320" t="s">
        <v>558</v>
      </c>
      <c r="U43" s="321" t="str">
        <f>IF(ISERROR(VLOOKUP(CONCATENATE($U$39,"_",V43),'選手名簿'!$A:$E,5,FALSE))=TRUE,"",VLOOKUP(CONCATENATE($U$39,"_",V43),'選手名簿'!$A:$E,5,FALSE))</f>
        <v/>
      </c>
      <c r="V43" s="322"/>
      <c r="W43" s="322"/>
      <c r="X43" s="322"/>
      <c r="Y43" s="323"/>
      <c r="Z43" s="322"/>
      <c r="AA43" s="322"/>
      <c r="AB43" s="322"/>
      <c r="AC43" s="324" t="str">
        <f>IF(ISERROR(VLOOKUP(CONCATENATE($AC$39,"_",AB43),'選手名簿'!$A:$E,5,FALSE))=TRUE,"",VLOOKUP(CONCATENATE($AC$39,"_",AB43),'選手名簿'!$A:$E,5,FALSE))</f>
        <v/>
      </c>
    </row>
    <row r="44" spans="5:29" ht="20.25" customHeight="1" hidden="1">
      <c r="E44" s="320" t="s">
        <v>558</v>
      </c>
      <c r="F44" s="321" t="str">
        <f>IF(ISERROR(VLOOKUP(CONCATENATE($F$39,"_",G44),'選手名簿'!$A:$E,5,FALSE))=TRUE,"",VLOOKUP(CONCATENATE($F$39,"_",G44),'選手名簿'!$A:$E,5,FALSE))</f>
        <v/>
      </c>
      <c r="G44" s="322"/>
      <c r="H44" s="322"/>
      <c r="I44" s="322"/>
      <c r="J44" s="323"/>
      <c r="K44" s="322"/>
      <c r="L44" s="322"/>
      <c r="M44" s="322"/>
      <c r="N44" s="324" t="str">
        <f>IF(ISERROR(VLOOKUP(CONCATENATE($N$39,"_",M44),'選手名簿'!$A:$E,5,FALSE))=TRUE,"",VLOOKUP(CONCATENATE($N$39,"_",M44),'選手名簿'!$A:$E,5,FALSE))</f>
        <v/>
      </c>
      <c r="T44" s="320" t="s">
        <v>558</v>
      </c>
      <c r="U44" s="321" t="str">
        <f>IF(ISERROR(VLOOKUP(CONCATENATE($U$39,"_",V44),'選手名簿'!$A:$E,5,FALSE))=TRUE,"",VLOOKUP(CONCATENATE($U$39,"_",V44),'選手名簿'!$A:$E,5,FALSE))</f>
        <v/>
      </c>
      <c r="V44" s="322"/>
      <c r="W44" s="322"/>
      <c r="X44" s="322"/>
      <c r="Y44" s="323"/>
      <c r="Z44" s="322"/>
      <c r="AA44" s="322"/>
      <c r="AB44" s="322"/>
      <c r="AC44" s="324" t="str">
        <f>IF(ISERROR(VLOOKUP(CONCATENATE($AC$39,"_",AB44),'選手名簿'!$A:$E,5,FALSE))=TRUE,"",VLOOKUP(CONCATENATE($AC$39,"_",AB44),'選手名簿'!$A:$E,5,FALSE))</f>
        <v/>
      </c>
    </row>
    <row r="45" spans="5:29" ht="20.25" customHeight="1" hidden="1">
      <c r="E45" s="320" t="s">
        <v>558</v>
      </c>
      <c r="F45" s="321" t="str">
        <f>IF(ISERROR(VLOOKUP(CONCATENATE($F$39,"_",G45),'選手名簿'!$A:$E,5,FALSE))=TRUE,"",VLOOKUP(CONCATENATE($F$39,"_",G45),'選手名簿'!$A:$E,5,FALSE))</f>
        <v/>
      </c>
      <c r="G45" s="322"/>
      <c r="H45" s="322"/>
      <c r="I45" s="322"/>
      <c r="J45" s="323"/>
      <c r="K45" s="322"/>
      <c r="L45" s="322"/>
      <c r="M45" s="322"/>
      <c r="N45" s="324" t="str">
        <f>IF(ISERROR(VLOOKUP(CONCATENATE($N$39,"_",M45),'選手名簿'!$A:$E,5,FALSE))=TRUE,"",VLOOKUP(CONCATENATE($N$39,"_",M45),'選手名簿'!$A:$E,5,FALSE))</f>
        <v/>
      </c>
      <c r="T45" s="320" t="s">
        <v>558</v>
      </c>
      <c r="U45" s="321" t="str">
        <f>IF(ISERROR(VLOOKUP(CONCATENATE($U$39,"_",V45),'選手名簿'!$A:$E,5,FALSE))=TRUE,"",VLOOKUP(CONCATENATE($U$39,"_",V45),'選手名簿'!$A:$E,5,FALSE))</f>
        <v/>
      </c>
      <c r="V45" s="322"/>
      <c r="W45" s="322"/>
      <c r="X45" s="322"/>
      <c r="Y45" s="323"/>
      <c r="Z45" s="322"/>
      <c r="AA45" s="322"/>
      <c r="AB45" s="322"/>
      <c r="AC45" s="324" t="str">
        <f>IF(ISERROR(VLOOKUP(CONCATENATE($AC$39,"_",AB45),'選手名簿'!$A:$E,5,FALSE))=TRUE,"",VLOOKUP(CONCATENATE($AC$39,"_",AB45),'選手名簿'!$A:$E,5,FALSE))</f>
        <v/>
      </c>
    </row>
    <row r="46" spans="5:29" ht="20.25" customHeight="1" hidden="1">
      <c r="E46" s="320" t="s">
        <v>558</v>
      </c>
      <c r="F46" s="321" t="str">
        <f>IF(ISERROR(VLOOKUP(CONCATENATE($F$39,"_",G46),'選手名簿'!$A:$E,5,FALSE))=TRUE,"",VLOOKUP(CONCATENATE($F$39,"_",G46),'選手名簿'!$A:$E,5,FALSE))</f>
        <v/>
      </c>
      <c r="G46" s="322"/>
      <c r="H46" s="322"/>
      <c r="I46" s="322"/>
      <c r="J46" s="323"/>
      <c r="K46" s="322"/>
      <c r="L46" s="322"/>
      <c r="M46" s="322"/>
      <c r="N46" s="324" t="str">
        <f>IF(ISERROR(VLOOKUP(CONCATENATE($N$39,"_",M46),'選手名簿'!$A:$E,5,FALSE))=TRUE,"",VLOOKUP(CONCATENATE($N$39,"_",M46),'選手名簿'!$A:$E,5,FALSE))</f>
        <v/>
      </c>
      <c r="T46" s="320" t="s">
        <v>558</v>
      </c>
      <c r="U46" s="321" t="str">
        <f>IF(ISERROR(VLOOKUP(CONCATENATE($U$39,"_",V46),'選手名簿'!$A:$E,5,FALSE))=TRUE,"",VLOOKUP(CONCATENATE($U$39,"_",V46),'選手名簿'!$A:$E,5,FALSE))</f>
        <v/>
      </c>
      <c r="V46" s="322"/>
      <c r="W46" s="322"/>
      <c r="X46" s="322"/>
      <c r="Y46" s="323"/>
      <c r="Z46" s="322"/>
      <c r="AA46" s="322"/>
      <c r="AB46" s="322"/>
      <c r="AC46" s="324" t="str">
        <f>IF(ISERROR(VLOOKUP(CONCATENATE($AC$39,"_",AB46),'選手名簿'!$A:$E,5,FALSE))=TRUE,"",VLOOKUP(CONCATENATE($AC$39,"_",AB46),'選手名簿'!$A:$E,5,FALSE))</f>
        <v/>
      </c>
    </row>
    <row r="47" spans="5:29" ht="20.25" customHeight="1" hidden="1">
      <c r="E47" s="320" t="s">
        <v>558</v>
      </c>
      <c r="F47" s="321" t="str">
        <f>IF(ISERROR(VLOOKUP(CONCATENATE($F$39,"_",G47),'選手名簿'!$A:$E,5,FALSE))=TRUE,"",VLOOKUP(CONCATENATE($F$39,"_",G47),'選手名簿'!$A:$E,5,FALSE))</f>
        <v/>
      </c>
      <c r="G47" s="322"/>
      <c r="H47" s="322"/>
      <c r="I47" s="322"/>
      <c r="J47" s="323"/>
      <c r="K47" s="322"/>
      <c r="L47" s="322"/>
      <c r="M47" s="322"/>
      <c r="N47" s="324" t="str">
        <f>IF(ISERROR(VLOOKUP(CONCATENATE($N$39,"_",M47),'選手名簿'!$A:$E,5,FALSE))=TRUE,"",VLOOKUP(CONCATENATE($N$39,"_",M47),'選手名簿'!$A:$E,5,FALSE))</f>
        <v/>
      </c>
      <c r="T47" s="320" t="s">
        <v>558</v>
      </c>
      <c r="U47" s="321" t="str">
        <f>IF(ISERROR(VLOOKUP(CONCATENATE($U$39,"_",V47),'選手名簿'!$A:$E,5,FALSE))=TRUE,"",VLOOKUP(CONCATENATE($U$39,"_",V47),'選手名簿'!$A:$E,5,FALSE))</f>
        <v/>
      </c>
      <c r="V47" s="322"/>
      <c r="W47" s="322"/>
      <c r="X47" s="322"/>
      <c r="Y47" s="323"/>
      <c r="Z47" s="322"/>
      <c r="AA47" s="322"/>
      <c r="AB47" s="322"/>
      <c r="AC47" s="324" t="str">
        <f>IF(ISERROR(VLOOKUP(CONCATENATE($AC$39,"_",AB47),'選手名簿'!$A:$E,5,FALSE))=TRUE,"",VLOOKUP(CONCATENATE($AC$39,"_",AB47),'選手名簿'!$A:$E,5,FALSE))</f>
        <v/>
      </c>
    </row>
    <row r="48" spans="5:29" ht="20.25" customHeight="1" hidden="1">
      <c r="E48" s="320" t="s">
        <v>558</v>
      </c>
      <c r="F48" s="321" t="str">
        <f>IF(ISERROR(VLOOKUP(CONCATENATE($F$39,"_",G48),'選手名簿'!$A:$E,5,FALSE))=TRUE,"",VLOOKUP(CONCATENATE($F$39,"_",G48),'選手名簿'!$A:$E,5,FALSE))</f>
        <v/>
      </c>
      <c r="G48" s="322"/>
      <c r="H48" s="322"/>
      <c r="I48" s="322"/>
      <c r="J48" s="323"/>
      <c r="K48" s="322"/>
      <c r="L48" s="322"/>
      <c r="M48" s="322"/>
      <c r="N48" s="324" t="str">
        <f>IF(ISERROR(VLOOKUP(CONCATENATE($N$39,"_",M48),'選手名簿'!$A:$E,5,FALSE))=TRUE,"",VLOOKUP(CONCATENATE($N$39,"_",M48),'選手名簿'!$A:$E,5,FALSE))</f>
        <v/>
      </c>
      <c r="T48" s="320" t="s">
        <v>558</v>
      </c>
      <c r="U48" s="321" t="str">
        <f>IF(ISERROR(VLOOKUP(CONCATENATE($U$39,"_",V48),'選手名簿'!$A:$E,5,FALSE))=TRUE,"",VLOOKUP(CONCATENATE($U$39,"_",V48),'選手名簿'!$A:$E,5,FALSE))</f>
        <v/>
      </c>
      <c r="V48" s="322"/>
      <c r="W48" s="322"/>
      <c r="X48" s="322"/>
      <c r="Y48" s="323"/>
      <c r="Z48" s="322"/>
      <c r="AA48" s="322"/>
      <c r="AB48" s="322"/>
      <c r="AC48" s="324" t="str">
        <f>IF(ISERROR(VLOOKUP(CONCATENATE($AC$39,"_",AB48),'選手名簿'!$A:$E,5,FALSE))=TRUE,"",VLOOKUP(CONCATENATE($AC$39,"_",AB48),'選手名簿'!$A:$E,5,FALSE))</f>
        <v/>
      </c>
    </row>
    <row r="49" spans="5:29" ht="20.25" customHeight="1" hidden="1">
      <c r="E49" s="320" t="s">
        <v>558</v>
      </c>
      <c r="F49" s="321" t="str">
        <f>IF(ISERROR(VLOOKUP(CONCATENATE($F$39,"_",G49),'選手名簿'!$A:$E,5,FALSE))=TRUE,"",VLOOKUP(CONCATENATE($F$39,"_",G49),'選手名簿'!$A:$E,5,FALSE))</f>
        <v/>
      </c>
      <c r="G49" s="322"/>
      <c r="H49" s="322"/>
      <c r="I49" s="322"/>
      <c r="J49" s="323"/>
      <c r="K49" s="322"/>
      <c r="L49" s="322"/>
      <c r="M49" s="322"/>
      <c r="N49" s="324" t="str">
        <f>IF(ISERROR(VLOOKUP(CONCATENATE($N$39,"_",M49),'選手名簿'!$A:$E,5,FALSE))=TRUE,"",VLOOKUP(CONCATENATE($N$39,"_",M49),'選手名簿'!$A:$E,5,FALSE))</f>
        <v/>
      </c>
      <c r="T49" s="320" t="s">
        <v>558</v>
      </c>
      <c r="U49" s="321" t="str">
        <f>IF(ISERROR(VLOOKUP(CONCATENATE($U$39,"_",V49),'選手名簿'!$A:$E,5,FALSE))=TRUE,"",VLOOKUP(CONCATENATE($U$39,"_",V49),'選手名簿'!$A:$E,5,FALSE))</f>
        <v/>
      </c>
      <c r="V49" s="322"/>
      <c r="W49" s="322"/>
      <c r="X49" s="322"/>
      <c r="Y49" s="323"/>
      <c r="Z49" s="322"/>
      <c r="AA49" s="322"/>
      <c r="AB49" s="322"/>
      <c r="AC49" s="324" t="str">
        <f>IF(ISERROR(VLOOKUP(CONCATENATE($AC$39,"_",AB49),'選手名簿'!$A:$E,5,FALSE))=TRUE,"",VLOOKUP(CONCATENATE($AC$39,"_",AB49),'選手名簿'!$A:$E,5,FALSE))</f>
        <v/>
      </c>
    </row>
    <row r="50" spans="5:29" ht="20.25" customHeight="1" hidden="1">
      <c r="E50" s="320" t="s">
        <v>558</v>
      </c>
      <c r="F50" s="321" t="str">
        <f>IF(ISERROR(VLOOKUP(CONCATENATE($F$39,"_",G50),'選手名簿'!$A:$E,5,FALSE))=TRUE,"",VLOOKUP(CONCATENATE($F$39,"_",G50),'選手名簿'!$A:$E,5,FALSE))</f>
        <v/>
      </c>
      <c r="G50" s="322"/>
      <c r="H50" s="322"/>
      <c r="I50" s="322"/>
      <c r="J50" s="323"/>
      <c r="K50" s="322"/>
      <c r="L50" s="322"/>
      <c r="M50" s="322"/>
      <c r="N50" s="324" t="str">
        <f>IF(ISERROR(VLOOKUP(CONCATENATE($N$39,"_",M50),'選手名簿'!$A:$E,5,FALSE))=TRUE,"",VLOOKUP(CONCATENATE($N$39,"_",M50),'選手名簿'!$A:$E,5,FALSE))</f>
        <v/>
      </c>
      <c r="T50" s="320" t="s">
        <v>558</v>
      </c>
      <c r="U50" s="321" t="str">
        <f>IF(ISERROR(VLOOKUP(CONCATENATE($U$39,"_",V50),'選手名簿'!$A:$E,5,FALSE))=TRUE,"",VLOOKUP(CONCATENATE($U$39,"_",V50),'選手名簿'!$A:$E,5,FALSE))</f>
        <v/>
      </c>
      <c r="V50" s="322"/>
      <c r="W50" s="322"/>
      <c r="X50" s="322"/>
      <c r="Y50" s="323"/>
      <c r="Z50" s="322"/>
      <c r="AA50" s="322"/>
      <c r="AB50" s="322"/>
      <c r="AC50" s="324" t="str">
        <f>IF(ISERROR(VLOOKUP(CONCATENATE($AC$39,"_",AB50),'選手名簿'!$A:$E,5,FALSE))=TRUE,"",VLOOKUP(CONCATENATE($AC$39,"_",AB50),'選手名簿'!$A:$E,5,FALSE))</f>
        <v/>
      </c>
    </row>
    <row r="51" spans="5:29" ht="20.25" customHeight="1" hidden="1">
      <c r="E51" s="320" t="s">
        <v>558</v>
      </c>
      <c r="F51" s="321" t="str">
        <f>IF(ISERROR(VLOOKUP(CONCATENATE($F$39,"_",G51),'選手名簿'!$A:$E,5,FALSE))=TRUE,"",VLOOKUP(CONCATENATE($F$39,"_",G51),'選手名簿'!$A:$E,5,FALSE))</f>
        <v/>
      </c>
      <c r="G51" s="322"/>
      <c r="H51" s="322"/>
      <c r="I51" s="322"/>
      <c r="J51" s="323"/>
      <c r="K51" s="322"/>
      <c r="L51" s="322"/>
      <c r="M51" s="322"/>
      <c r="N51" s="324" t="str">
        <f>IF(ISERROR(VLOOKUP(CONCATENATE($N$39,"_",M51),'選手名簿'!$A:$E,5,FALSE))=TRUE,"",VLOOKUP(CONCATENATE($N$39,"_",M51),'選手名簿'!$A:$E,5,FALSE))</f>
        <v/>
      </c>
      <c r="T51" s="320" t="s">
        <v>558</v>
      </c>
      <c r="U51" s="321" t="str">
        <f>IF(ISERROR(VLOOKUP(CONCATENATE($U$39,"_",V51),'選手名簿'!$A:$E,5,FALSE))=TRUE,"",VLOOKUP(CONCATENATE($U$39,"_",V51),'選手名簿'!$A:$E,5,FALSE))</f>
        <v/>
      </c>
      <c r="V51" s="322"/>
      <c r="W51" s="322"/>
      <c r="X51" s="322"/>
      <c r="Y51" s="323"/>
      <c r="Z51" s="322"/>
      <c r="AA51" s="322"/>
      <c r="AB51" s="322"/>
      <c r="AC51" s="324" t="str">
        <f>IF(ISERROR(VLOOKUP(CONCATENATE($AC$39,"_",AB51),'選手名簿'!$A:$E,5,FALSE))=TRUE,"",VLOOKUP(CONCATENATE($AC$39,"_",AB51),'選手名簿'!$A:$E,5,FALSE))</f>
        <v/>
      </c>
    </row>
    <row r="52" spans="5:29" ht="20.25" customHeight="1" hidden="1">
      <c r="E52" s="325" t="s">
        <v>558</v>
      </c>
      <c r="F52" s="326" t="str">
        <f>IF(ISERROR(VLOOKUP(CONCATENATE($F$39,"_",G52),'選手名簿'!$A:$E,5,FALSE))=TRUE,"",VLOOKUP(CONCATENATE($F$39,"_",G52),'選手名簿'!$A:$E,5,FALSE))</f>
        <v/>
      </c>
      <c r="G52" s="327"/>
      <c r="H52" s="327"/>
      <c r="I52" s="327"/>
      <c r="J52" s="328"/>
      <c r="K52" s="327"/>
      <c r="L52" s="327"/>
      <c r="M52" s="327"/>
      <c r="N52" s="329" t="str">
        <f>IF(ISERROR(VLOOKUP(CONCATENATE($N$39,"_",M52),'選手名簿'!$A:$E,5,FALSE))=TRUE,"",VLOOKUP(CONCATENATE($N$39,"_",M52),'選手名簿'!$A:$E,5,FALSE))</f>
        <v/>
      </c>
      <c r="T52" s="325" t="s">
        <v>558</v>
      </c>
      <c r="U52" s="326" t="str">
        <f>IF(ISERROR(VLOOKUP(CONCATENATE($U$39,"_",V52),'選手名簿'!$A:$E,5,FALSE))=TRUE,"",VLOOKUP(CONCATENATE($U$39,"_",V52),'選手名簿'!$A:$E,5,FALSE))</f>
        <v/>
      </c>
      <c r="V52" s="327"/>
      <c r="W52" s="327"/>
      <c r="X52" s="327"/>
      <c r="Y52" s="328"/>
      <c r="Z52" s="327"/>
      <c r="AA52" s="327"/>
      <c r="AB52" s="327"/>
      <c r="AC52" s="329" t="str">
        <f>IF(ISERROR(VLOOKUP(CONCATENATE($AC$39,"_",AB52),'選手名簿'!$A:$E,5,FALSE))=TRUE,"",VLOOKUP(CONCATENATE($AC$39,"_",AB52),'選手名簿'!$A:$E,5,FALSE))</f>
        <v/>
      </c>
    </row>
    <row r="53" spans="1:29" ht="20.25" customHeight="1">
      <c r="A53" s="330" t="s">
        <v>557</v>
      </c>
      <c r="B53" s="750" t="s">
        <v>567</v>
      </c>
      <c r="C53" s="750"/>
      <c r="D53" s="751"/>
      <c r="E53" s="320" t="s">
        <v>419</v>
      </c>
      <c r="F53" s="321" t="str">
        <f>IF(ISERROR(VLOOKUP(CONCATENATE($F$39,"_",G53),'選手名簿'!$A:$E,5,FALSE))=TRUE,"",VLOOKUP(CONCATENATE($F$39,"_",G53),'選手名簿'!$A:$E,5,FALSE))</f>
        <v/>
      </c>
      <c r="G53" s="322"/>
      <c r="H53" s="322"/>
      <c r="I53" s="322"/>
      <c r="J53" s="323"/>
      <c r="K53" s="322"/>
      <c r="L53" s="322"/>
      <c r="M53" s="322"/>
      <c r="N53" s="324" t="str">
        <f>IF(ISERROR(VLOOKUP(CONCATENATE($N$39,"_",M53),'選手名簿'!$A:$E,5,FALSE))=TRUE,"",VLOOKUP(CONCATENATE($N$39,"_",M53),'選手名簿'!$A:$E,5,FALSE))</f>
        <v/>
      </c>
      <c r="P53" s="330" t="s">
        <v>557</v>
      </c>
      <c r="Q53" s="750" t="s">
        <v>559</v>
      </c>
      <c r="R53" s="750"/>
      <c r="S53" s="751"/>
      <c r="T53" s="320" t="s">
        <v>419</v>
      </c>
      <c r="U53" s="321" t="str">
        <f>IF(ISERROR(VLOOKUP(CONCATENATE($U$39,"_",V53),'選手名簿'!$A:$E,5,FALSE))=TRUE,"",VLOOKUP(CONCATENATE($U$39,"_",V53),'選手名簿'!$A:$E,5,FALSE))</f>
        <v/>
      </c>
      <c r="V53" s="322"/>
      <c r="W53" s="322"/>
      <c r="X53" s="322"/>
      <c r="Y53" s="323"/>
      <c r="Z53" s="322"/>
      <c r="AA53" s="322"/>
      <c r="AB53" s="322"/>
      <c r="AC53" s="324" t="str">
        <f>IF(ISERROR(VLOOKUP(CONCATENATE($AC$39,"_",AB53),'選手名簿'!$A:$E,5,FALSE))=TRUE,"",VLOOKUP(CONCATENATE($AC$39,"_",AB53),'選手名簿'!$A:$E,5,FALSE))</f>
        <v/>
      </c>
    </row>
    <row r="54" spans="1:29" ht="20.25" customHeight="1">
      <c r="A54" s="331" t="s">
        <v>177</v>
      </c>
      <c r="B54" s="752" t="str">
        <f>IF(ISERROR(VLOOKUP(B53,'審判員'!$A:$C,2,FALSE))=TRUE,"",VLOOKUP(B53,'審判員'!$A:$C,2,FALSE))</f>
        <v>内藤　翔悟</v>
      </c>
      <c r="C54" s="753"/>
      <c r="D54" s="331" t="str">
        <f>IF(ISERROR(VLOOKUP(B53,'審判員'!$A:$C,3,FALSE))=TRUE,"",VLOOKUP(B53,'審判員'!$A:$C,3,FALSE))</f>
        <v>３級</v>
      </c>
      <c r="E54" s="333" t="s">
        <v>419</v>
      </c>
      <c r="F54" s="334" t="str">
        <f>IF(ISERROR(VLOOKUP(CONCATENATE($F$39,"_",G54),'選手名簿'!$A:$E,5,FALSE))=TRUE,"",VLOOKUP(CONCATENATE($F$39,"_",G54),'選手名簿'!$A:$E,5,FALSE))</f>
        <v/>
      </c>
      <c r="G54" s="335"/>
      <c r="H54" s="335"/>
      <c r="I54" s="335"/>
      <c r="J54" s="323"/>
      <c r="K54" s="335"/>
      <c r="L54" s="335"/>
      <c r="M54" s="335"/>
      <c r="N54" s="336" t="str">
        <f>IF(ISERROR(VLOOKUP(CONCATENATE($N$39,"_",M54),'選手名簿'!$A:$E,5,FALSE))=TRUE,"",VLOOKUP(CONCATENATE($N$39,"_",M54),'選手名簿'!$A:$E,5,FALSE))</f>
        <v/>
      </c>
      <c r="P54" s="331" t="s">
        <v>177</v>
      </c>
      <c r="Q54" s="752" t="str">
        <f>IF(ISERROR(VLOOKUP(Q53,'審判員'!$A:$C,2,FALSE))=TRUE,"",VLOOKUP(Q53,'審判員'!$A:$C,2,FALSE))</f>
        <v>小石川　悟</v>
      </c>
      <c r="R54" s="753"/>
      <c r="S54" s="331" t="str">
        <f>IF(ISERROR(VLOOKUP(Q53,'審判員'!$A:$C,3,FALSE))=TRUE,"",VLOOKUP(Q53,'審判員'!$A:$C,3,FALSE))</f>
        <v>３級</v>
      </c>
      <c r="T54" s="333" t="s">
        <v>419</v>
      </c>
      <c r="U54" s="334" t="str">
        <f>IF(ISERROR(VLOOKUP(CONCATENATE($U$39,"_",V54),'選手名簿'!$A:$E,5,FALSE))=TRUE,"",VLOOKUP(CONCATENATE($U$39,"_",V54),'選手名簿'!$A:$E,5,FALSE))</f>
        <v/>
      </c>
      <c r="V54" s="335"/>
      <c r="W54" s="335"/>
      <c r="X54" s="335"/>
      <c r="Y54" s="323"/>
      <c r="Z54" s="335"/>
      <c r="AA54" s="335"/>
      <c r="AB54" s="335"/>
      <c r="AC54" s="336" t="str">
        <f>IF(ISERROR(VLOOKUP(CONCATENATE($AC$39,"_",AB54),'選手名簿'!$A:$E,5,FALSE))=TRUE,"",VLOOKUP(CONCATENATE($AC$39,"_",AB54),'選手名簿'!$A:$E,5,FALSE))</f>
        <v/>
      </c>
    </row>
    <row r="55" spans="1:29" ht="20.25" customHeight="1">
      <c r="A55" s="330" t="s">
        <v>557</v>
      </c>
      <c r="B55" s="750" t="s">
        <v>564</v>
      </c>
      <c r="C55" s="750"/>
      <c r="D55" s="751"/>
      <c r="E55" s="333" t="s">
        <v>419</v>
      </c>
      <c r="F55" s="334" t="str">
        <f>IF(ISERROR(VLOOKUP(CONCATENATE($F$39,"_",G55),'選手名簿'!$A:$E,5,FALSE))=TRUE,"",VLOOKUP(CONCATENATE($F$39,"_",G55),'選手名簿'!$A:$E,5,FALSE))</f>
        <v/>
      </c>
      <c r="G55" s="335"/>
      <c r="H55" s="335"/>
      <c r="I55" s="335"/>
      <c r="J55" s="323"/>
      <c r="K55" s="335"/>
      <c r="L55" s="335"/>
      <c r="M55" s="335"/>
      <c r="N55" s="336" t="str">
        <f>IF(ISERROR(VLOOKUP(CONCATENATE($N$39,"_",M55),'選手名簿'!$A:$E,5,FALSE))=TRUE,"",VLOOKUP(CONCATENATE($N$39,"_",M55),'選手名簿'!$A:$E,5,FALSE))</f>
        <v/>
      </c>
      <c r="P55" s="330" t="s">
        <v>557</v>
      </c>
      <c r="Q55" s="750" t="s">
        <v>565</v>
      </c>
      <c r="R55" s="750"/>
      <c r="S55" s="751"/>
      <c r="T55" s="333" t="s">
        <v>419</v>
      </c>
      <c r="U55" s="334" t="str">
        <f>IF(ISERROR(VLOOKUP(CONCATENATE($U$39,"_",V55),'選手名簿'!$A:$E,5,FALSE))=TRUE,"",VLOOKUP(CONCATENATE($U$39,"_",V55),'選手名簿'!$A:$E,5,FALSE))</f>
        <v/>
      </c>
      <c r="V55" s="335"/>
      <c r="W55" s="335"/>
      <c r="X55" s="335"/>
      <c r="Y55" s="323"/>
      <c r="Z55" s="335"/>
      <c r="AA55" s="335"/>
      <c r="AB55" s="335"/>
      <c r="AC55" s="336" t="str">
        <f>IF(ISERROR(VLOOKUP(CONCATENATE($AC$39,"_",AB55),'選手名簿'!$A:$E,5,FALSE))=TRUE,"",VLOOKUP(CONCATENATE($AC$39,"_",AB55),'選手名簿'!$A:$E,5,FALSE))</f>
        <v/>
      </c>
    </row>
    <row r="56" spans="1:29" ht="20.25" customHeight="1">
      <c r="A56" s="331" t="s">
        <v>563</v>
      </c>
      <c r="B56" s="752" t="str">
        <f>IF(ISERROR(VLOOKUP(B55,'審判員'!$A:$C,2,FALSE))=TRUE,"",VLOOKUP(B55,'審判員'!$A:$C,2,FALSE))</f>
        <v>久保　雅敬</v>
      </c>
      <c r="C56" s="753"/>
      <c r="D56" s="331" t="str">
        <f>IF(ISERROR(VLOOKUP(B55,'審判員'!$A:$C,3,FALSE))=TRUE,"",VLOOKUP(B55,'審判員'!$A:$C,3,FALSE))</f>
        <v>３級</v>
      </c>
      <c r="E56" s="333" t="s">
        <v>419</v>
      </c>
      <c r="F56" s="334" t="str">
        <f>IF(ISERROR(VLOOKUP(CONCATENATE($F$39,"_",G56),'選手名簿'!$A:$E,5,FALSE))=TRUE,"",VLOOKUP(CONCATENATE($F$39,"_",G56),'選手名簿'!$A:$E,5,FALSE))</f>
        <v/>
      </c>
      <c r="G56" s="335"/>
      <c r="H56" s="335"/>
      <c r="I56" s="335"/>
      <c r="J56" s="323"/>
      <c r="K56" s="335"/>
      <c r="L56" s="335"/>
      <c r="M56" s="335"/>
      <c r="N56" s="336" t="str">
        <f>IF(ISERROR(VLOOKUP(CONCATENATE($N$39,"_",M56),'選手名簿'!$A:$E,5,FALSE))=TRUE,"",VLOOKUP(CONCATENATE($N$39,"_",M56),'選手名簿'!$A:$E,5,FALSE))</f>
        <v/>
      </c>
      <c r="P56" s="331" t="s">
        <v>563</v>
      </c>
      <c r="Q56" s="752" t="str">
        <f>IF(ISERROR(VLOOKUP(Q55,'審判員'!$A:$C,2,FALSE))=TRUE,"",VLOOKUP(Q55,'審判員'!$A:$C,2,FALSE))</f>
        <v>西村　竜司</v>
      </c>
      <c r="R56" s="753"/>
      <c r="S56" s="331" t="str">
        <f>IF(ISERROR(VLOOKUP(Q55,'審判員'!$A:$C,3,FALSE))=TRUE,"",VLOOKUP(Q55,'審判員'!$A:$C,3,FALSE))</f>
        <v>３級</v>
      </c>
      <c r="T56" s="333" t="s">
        <v>419</v>
      </c>
      <c r="U56" s="334" t="str">
        <f>IF(ISERROR(VLOOKUP(CONCATENATE($U$39,"_",V56),'選手名簿'!$A:$E,5,FALSE))=TRUE,"",VLOOKUP(CONCATENATE($U$39,"_",V56),'選手名簿'!$A:$E,5,FALSE))</f>
        <v/>
      </c>
      <c r="V56" s="335"/>
      <c r="W56" s="335"/>
      <c r="X56" s="335"/>
      <c r="Y56" s="323"/>
      <c r="Z56" s="335"/>
      <c r="AA56" s="335"/>
      <c r="AB56" s="335"/>
      <c r="AC56" s="336" t="str">
        <f>IF(ISERROR(VLOOKUP(CONCATENATE($AC$39,"_",AB56),'選手名簿'!$A:$E,5,FALSE))=TRUE,"",VLOOKUP(CONCATENATE($AC$39,"_",AB56),'選手名簿'!$A:$E,5,FALSE))</f>
        <v/>
      </c>
    </row>
    <row r="57" spans="1:29" ht="20.25" customHeight="1">
      <c r="A57" s="330" t="s">
        <v>557</v>
      </c>
      <c r="B57" s="750" t="s">
        <v>569</v>
      </c>
      <c r="C57" s="750"/>
      <c r="D57" s="751"/>
      <c r="E57" s="333" t="s">
        <v>419</v>
      </c>
      <c r="F57" s="334" t="str">
        <f>IF(ISERROR(VLOOKUP(CONCATENATE($F$39,"_",G57),'選手名簿'!$A:$E,5,FALSE))=TRUE,"",VLOOKUP(CONCATENATE($F$39,"_",G57),'選手名簿'!$A:$E,5,FALSE))</f>
        <v/>
      </c>
      <c r="G57" s="335"/>
      <c r="H57" s="335"/>
      <c r="I57" s="335"/>
      <c r="J57" s="323"/>
      <c r="K57" s="335"/>
      <c r="L57" s="335"/>
      <c r="M57" s="335"/>
      <c r="N57" s="336" t="str">
        <f>IF(ISERROR(VLOOKUP(CONCATENATE($N$39,"_",M57),'選手名簿'!$A:$E,5,FALSE))=TRUE,"",VLOOKUP(CONCATENATE($N$39,"_",M57),'選手名簿'!$A:$E,5,FALSE))</f>
        <v/>
      </c>
      <c r="P57" s="330" t="s">
        <v>557</v>
      </c>
      <c r="Q57" s="750" t="s">
        <v>570</v>
      </c>
      <c r="R57" s="750"/>
      <c r="S57" s="751"/>
      <c r="T57" s="333" t="s">
        <v>419</v>
      </c>
      <c r="U57" s="334" t="str">
        <f>IF(ISERROR(VLOOKUP(CONCATENATE($U$39,"_",V57),'選手名簿'!$A:$E,5,FALSE))=TRUE,"",VLOOKUP(CONCATENATE($U$39,"_",V57),'選手名簿'!$A:$E,5,FALSE))</f>
        <v/>
      </c>
      <c r="V57" s="335"/>
      <c r="W57" s="335"/>
      <c r="X57" s="335"/>
      <c r="Y57" s="323"/>
      <c r="Z57" s="335"/>
      <c r="AA57" s="335"/>
      <c r="AB57" s="335"/>
      <c r="AC57" s="336" t="str">
        <f>IF(ISERROR(VLOOKUP(CONCATENATE($AC$39,"_",AB57),'選手名簿'!$A:$E,5,FALSE))=TRUE,"",VLOOKUP(CONCATENATE($AC$39,"_",AB57),'選手名簿'!$A:$E,5,FALSE))</f>
        <v/>
      </c>
    </row>
    <row r="58" spans="1:29" ht="20.25" customHeight="1">
      <c r="A58" s="331" t="s">
        <v>566</v>
      </c>
      <c r="B58" s="752" t="str">
        <f>IF(ISERROR(VLOOKUP(B57,'審判員'!$A:$C,2,FALSE))=TRUE,"",VLOOKUP(B57,'審判員'!$A:$C,2,FALSE))</f>
        <v>マガリェンス　リシャルドソン</v>
      </c>
      <c r="C58" s="753"/>
      <c r="D58" s="331" t="str">
        <f>IF(ISERROR(VLOOKUP(B57,'審判員'!$A:$C,3,FALSE))=TRUE,"",VLOOKUP(B57,'審判員'!$A:$C,3,FALSE))</f>
        <v>３級</v>
      </c>
      <c r="E58" s="333" t="s">
        <v>419</v>
      </c>
      <c r="F58" s="334" t="str">
        <f>IF(ISERROR(VLOOKUP(CONCATENATE($F$39,"_",G58),'選手名簿'!$A:$E,5,FALSE))=TRUE,"",VLOOKUP(CONCATENATE($F$39,"_",G58),'選手名簿'!$A:$E,5,FALSE))</f>
        <v/>
      </c>
      <c r="G58" s="335"/>
      <c r="H58" s="335"/>
      <c r="I58" s="335"/>
      <c r="J58" s="323"/>
      <c r="K58" s="335"/>
      <c r="L58" s="335"/>
      <c r="M58" s="335"/>
      <c r="N58" s="336" t="str">
        <f>IF(ISERROR(VLOOKUP(CONCATENATE($N$39,"_",M58),'選手名簿'!$A:$E,5,FALSE))=TRUE,"",VLOOKUP(CONCATENATE($N$39,"_",M58),'選手名簿'!$A:$E,5,FALSE))</f>
        <v/>
      </c>
      <c r="P58" s="331" t="s">
        <v>566</v>
      </c>
      <c r="Q58" s="752" t="str">
        <f>IF(ISERROR(VLOOKUP(Q57,'審判員'!$A:$C,2,FALSE))=TRUE,"",VLOOKUP(Q57,'審判員'!$A:$C,2,FALSE))</f>
        <v>如法寺　雅俊</v>
      </c>
      <c r="R58" s="753"/>
      <c r="S58" s="331" t="str">
        <f>IF(ISERROR(VLOOKUP(Q57,'審判員'!$A:$C,3,FALSE))=TRUE,"",VLOOKUP(Q57,'審判員'!$A:$C,3,FALSE))</f>
        <v>３級</v>
      </c>
      <c r="T58" s="333" t="s">
        <v>419</v>
      </c>
      <c r="U58" s="334" t="str">
        <f>IF(ISERROR(VLOOKUP(CONCATENATE($U$39,"_",V58),'選手名簿'!$A:$E,5,FALSE))=TRUE,"",VLOOKUP(CONCATENATE($U$39,"_",V58),'選手名簿'!$A:$E,5,FALSE))</f>
        <v/>
      </c>
      <c r="V58" s="335"/>
      <c r="W58" s="335"/>
      <c r="X58" s="335"/>
      <c r="Y58" s="323"/>
      <c r="Z58" s="335"/>
      <c r="AA58" s="335"/>
      <c r="AB58" s="335"/>
      <c r="AC58" s="336" t="str">
        <f>IF(ISERROR(VLOOKUP(CONCATENATE($AC$39,"_",AB58),'選手名簿'!$A:$E,5,FALSE))=TRUE,"",VLOOKUP(CONCATENATE($AC$39,"_",AB58),'選手名簿'!$A:$E,5,FALSE))</f>
        <v/>
      </c>
    </row>
    <row r="59" spans="1:29" ht="20.25" customHeight="1">
      <c r="A59" s="330" t="s">
        <v>557</v>
      </c>
      <c r="B59" s="750" t="s">
        <v>559</v>
      </c>
      <c r="C59" s="750"/>
      <c r="D59" s="751"/>
      <c r="E59" s="333" t="s">
        <v>419</v>
      </c>
      <c r="F59" s="334" t="str">
        <f>IF(ISERROR(VLOOKUP(CONCATENATE($F$39,"_",G59),'選手名簿'!$A:$E,5,FALSE))=TRUE,"",VLOOKUP(CONCATENATE($F$39,"_",G59),'選手名簿'!$A:$E,5,FALSE))</f>
        <v/>
      </c>
      <c r="G59" s="335"/>
      <c r="H59" s="335"/>
      <c r="I59" s="335"/>
      <c r="J59" s="323"/>
      <c r="K59" s="335"/>
      <c r="L59" s="335"/>
      <c r="M59" s="335"/>
      <c r="N59" s="336" t="str">
        <f>IF(ISERROR(VLOOKUP(CONCATENATE($N$39,"_",M59),'選手名簿'!$A:$E,5,FALSE))=TRUE,"",VLOOKUP(CONCATENATE($N$39,"_",M59),'選手名簿'!$A:$E,5,FALSE))</f>
        <v/>
      </c>
      <c r="P59" s="330" t="s">
        <v>557</v>
      </c>
      <c r="Q59" s="750" t="s">
        <v>567</v>
      </c>
      <c r="R59" s="750"/>
      <c r="S59" s="751"/>
      <c r="T59" s="333" t="s">
        <v>419</v>
      </c>
      <c r="U59" s="334" t="str">
        <f>IF(ISERROR(VLOOKUP(CONCATENATE($U$39,"_",V59),'選手名簿'!$A:$E,5,FALSE))=TRUE,"",VLOOKUP(CONCATENATE($U$39,"_",V59),'選手名簿'!$A:$E,5,FALSE))</f>
        <v/>
      </c>
      <c r="V59" s="335"/>
      <c r="W59" s="335"/>
      <c r="X59" s="335"/>
      <c r="Y59" s="323"/>
      <c r="Z59" s="335"/>
      <c r="AA59" s="335"/>
      <c r="AB59" s="335"/>
      <c r="AC59" s="336" t="str">
        <f>IF(ISERROR(VLOOKUP(CONCATENATE($AC$39,"_",AB59),'選手名簿'!$A:$E,5,FALSE))=TRUE,"",VLOOKUP(CONCATENATE($AC$39,"_",AB59),'選手名簿'!$A:$E,5,FALSE))</f>
        <v/>
      </c>
    </row>
    <row r="60" spans="1:29" ht="20.25" customHeight="1">
      <c r="A60" s="331" t="s">
        <v>568</v>
      </c>
      <c r="B60" s="752" t="str">
        <f>IF(ISERROR(VLOOKUP(B59,'審判員'!$A:$C,2,FALSE))=TRUE,"",VLOOKUP(B59,'審判員'!$A:$C,2,FALSE))</f>
        <v>小石川　悟</v>
      </c>
      <c r="C60" s="753"/>
      <c r="D60" s="331" t="str">
        <f>IF(ISERROR(VLOOKUP(B59,'審判員'!$A:$C,3,FALSE))=TRUE,"",VLOOKUP(B59,'審判員'!$A:$C,3,FALSE))</f>
        <v>３級</v>
      </c>
      <c r="E60" s="337" t="s">
        <v>419</v>
      </c>
      <c r="F60" s="338" t="str">
        <f>IF(ISERROR(VLOOKUP(CONCATENATE($F$39,"_",G60),'選手名簿'!$A:$E,5,FALSE))=TRUE,"",VLOOKUP(CONCATENATE($F$39,"_",G60),'選手名簿'!$A:$E,5,FALSE))</f>
        <v/>
      </c>
      <c r="G60" s="339"/>
      <c r="H60" s="339"/>
      <c r="I60" s="339"/>
      <c r="J60" s="328"/>
      <c r="K60" s="339"/>
      <c r="L60" s="339"/>
      <c r="M60" s="339"/>
      <c r="N60" s="340" t="str">
        <f>IF(ISERROR(VLOOKUP(CONCATENATE($N$39,"_",M60),'選手名簿'!$A:$E,5,FALSE))=TRUE,"",VLOOKUP(CONCATENATE($N$39,"_",M60),'選手名簿'!$A:$E,5,FALSE))</f>
        <v/>
      </c>
      <c r="P60" s="331" t="s">
        <v>568</v>
      </c>
      <c r="Q60" s="752" t="str">
        <f>IF(ISERROR(VLOOKUP(Q59,'審判員'!$A:$C,2,FALSE))=TRUE,"",VLOOKUP(Q59,'審判員'!$A:$C,2,FALSE))</f>
        <v>内藤　翔悟</v>
      </c>
      <c r="R60" s="753"/>
      <c r="S60" s="331" t="str">
        <f>IF(ISERROR(VLOOKUP(Q59,'審判員'!$A:$C,3,FALSE))=TRUE,"",VLOOKUP(Q59,'審判員'!$A:$C,3,FALSE))</f>
        <v>３級</v>
      </c>
      <c r="T60" s="337" t="s">
        <v>419</v>
      </c>
      <c r="U60" s="338" t="str">
        <f>IF(ISERROR(VLOOKUP(CONCATENATE($U$39,"_",V60),'選手名簿'!$A:$E,5,FALSE))=TRUE,"",VLOOKUP(CONCATENATE($U$39,"_",V60),'選手名簿'!$A:$E,5,FALSE))</f>
        <v/>
      </c>
      <c r="V60" s="339"/>
      <c r="W60" s="339"/>
      <c r="X60" s="339"/>
      <c r="Y60" s="328"/>
      <c r="Z60" s="339"/>
      <c r="AA60" s="339"/>
      <c r="AB60" s="339"/>
      <c r="AC60" s="340" t="str">
        <f>IF(ISERROR(VLOOKUP(CONCATENATE($AC$39,"_",AB60),'選手名簿'!$A:$E,5,FALSE))=TRUE,"",VLOOKUP(CONCATENATE($AC$39,"_",AB60),'選手名簿'!$A:$E,5,FALSE))</f>
        <v/>
      </c>
    </row>
    <row r="61" spans="5:20" ht="9.95" customHeight="1">
      <c r="E61" s="341"/>
      <c r="T61" s="341"/>
    </row>
    <row r="62" spans="5:20" ht="9.95" customHeight="1">
      <c r="E62" s="341"/>
      <c r="T62" s="341"/>
    </row>
    <row r="63" ht="9.95" customHeight="1"/>
    <row r="64" ht="9.95" customHeight="1"/>
    <row r="65" ht="9.95" customHeight="1"/>
    <row r="66" ht="9.95" customHeight="1"/>
    <row r="67" spans="5:20" ht="9.95" customHeight="1">
      <c r="E67" s="341"/>
      <c r="T67" s="341"/>
    </row>
    <row r="68" spans="1:29" ht="27.4" customHeight="1">
      <c r="A68" s="312" t="s">
        <v>546</v>
      </c>
      <c r="B68" s="772" t="s">
        <v>550</v>
      </c>
      <c r="C68" s="773"/>
      <c r="D68" s="774"/>
      <c r="E68" s="756">
        <v>0.6041666666666666</v>
      </c>
      <c r="F68" s="759" t="str">
        <f>F7</f>
        <v>明治サッカースポーツ少年団</v>
      </c>
      <c r="G68" s="762">
        <f>SUM(I68:I69)</f>
        <v>2</v>
      </c>
      <c r="H68" s="765" t="s">
        <v>294</v>
      </c>
      <c r="I68" s="313">
        <v>1</v>
      </c>
      <c r="J68" s="313" t="s">
        <v>548</v>
      </c>
      <c r="K68" s="313">
        <v>1</v>
      </c>
      <c r="L68" s="765" t="s">
        <v>549</v>
      </c>
      <c r="M68" s="762">
        <f>SUM(K68:K69)</f>
        <v>1</v>
      </c>
      <c r="N68" s="768" t="str">
        <f>F5</f>
        <v>東　Ｆ．Ｃ．</v>
      </c>
      <c r="P68" s="312" t="s">
        <v>546</v>
      </c>
      <c r="Q68" s="772" t="s">
        <v>554</v>
      </c>
      <c r="R68" s="773"/>
      <c r="S68" s="774"/>
      <c r="T68" s="756">
        <v>0.6458333333333334</v>
      </c>
      <c r="U68" s="759" t="str">
        <f>U7</f>
        <v>下毛ＦＣ</v>
      </c>
      <c r="V68" s="762">
        <f>SUM(X68:X69)</f>
        <v>4</v>
      </c>
      <c r="W68" s="765" t="s">
        <v>294</v>
      </c>
      <c r="X68" s="313">
        <v>3</v>
      </c>
      <c r="Y68" s="313" t="s">
        <v>548</v>
      </c>
      <c r="Z68" s="313">
        <v>0</v>
      </c>
      <c r="AA68" s="765" t="s">
        <v>549</v>
      </c>
      <c r="AB68" s="762">
        <f>SUM(Z68:Z69)</f>
        <v>0</v>
      </c>
      <c r="AC68" s="768" t="str">
        <f>U5</f>
        <v>ＯＫＹ山香サッカークラブ</v>
      </c>
    </row>
    <row r="69" spans="1:29" ht="27.4" customHeight="1">
      <c r="A69" s="314" t="s">
        <v>551</v>
      </c>
      <c r="B69" s="771" t="s">
        <v>16</v>
      </c>
      <c r="C69" s="771"/>
      <c r="D69" s="772"/>
      <c r="E69" s="757"/>
      <c r="F69" s="760"/>
      <c r="G69" s="763"/>
      <c r="H69" s="766"/>
      <c r="I69" s="303">
        <v>1</v>
      </c>
      <c r="J69" s="303" t="s">
        <v>552</v>
      </c>
      <c r="K69" s="303">
        <v>0</v>
      </c>
      <c r="L69" s="766"/>
      <c r="M69" s="763"/>
      <c r="N69" s="769"/>
      <c r="P69" s="314" t="s">
        <v>551</v>
      </c>
      <c r="Q69" s="771" t="s">
        <v>16</v>
      </c>
      <c r="R69" s="771"/>
      <c r="S69" s="772"/>
      <c r="T69" s="757"/>
      <c r="U69" s="760"/>
      <c r="V69" s="763"/>
      <c r="W69" s="766"/>
      <c r="X69" s="303">
        <v>1</v>
      </c>
      <c r="Y69" s="303" t="s">
        <v>552</v>
      </c>
      <c r="Z69" s="303">
        <v>0</v>
      </c>
      <c r="AA69" s="766"/>
      <c r="AB69" s="763"/>
      <c r="AC69" s="769"/>
    </row>
    <row r="70" spans="1:29" ht="27.4" customHeight="1">
      <c r="A70" s="314" t="s">
        <v>553</v>
      </c>
      <c r="B70" s="771" t="s">
        <v>547</v>
      </c>
      <c r="C70" s="771"/>
      <c r="D70" s="772"/>
      <c r="E70" s="758"/>
      <c r="F70" s="761"/>
      <c r="G70" s="764"/>
      <c r="H70" s="767"/>
      <c r="I70" s="315"/>
      <c r="J70" s="315" t="s">
        <v>555</v>
      </c>
      <c r="K70" s="315"/>
      <c r="L70" s="767"/>
      <c r="M70" s="764"/>
      <c r="N70" s="770"/>
      <c r="P70" s="314" t="s">
        <v>553</v>
      </c>
      <c r="Q70" s="771" t="s">
        <v>550</v>
      </c>
      <c r="R70" s="771"/>
      <c r="S70" s="772"/>
      <c r="T70" s="758"/>
      <c r="U70" s="761"/>
      <c r="V70" s="764"/>
      <c r="W70" s="767"/>
      <c r="X70" s="315"/>
      <c r="Y70" s="315" t="s">
        <v>555</v>
      </c>
      <c r="Z70" s="315"/>
      <c r="AA70" s="767"/>
      <c r="AB70" s="764"/>
      <c r="AC70" s="770"/>
    </row>
    <row r="71" spans="1:29" ht="20.25" customHeight="1">
      <c r="A71" s="754" t="s">
        <v>556</v>
      </c>
      <c r="B71" s="754"/>
      <c r="C71" s="754"/>
      <c r="D71" s="755"/>
      <c r="E71" s="316"/>
      <c r="F71" s="317" t="s">
        <v>418</v>
      </c>
      <c r="G71" s="317" t="s">
        <v>557</v>
      </c>
      <c r="H71" s="317" t="s">
        <v>524</v>
      </c>
      <c r="I71" s="317"/>
      <c r="J71" s="318"/>
      <c r="K71" s="317"/>
      <c r="L71" s="317" t="s">
        <v>524</v>
      </c>
      <c r="M71" s="317" t="s">
        <v>557</v>
      </c>
      <c r="N71" s="319" t="s">
        <v>418</v>
      </c>
      <c r="P71" s="754" t="s">
        <v>556</v>
      </c>
      <c r="Q71" s="754"/>
      <c r="R71" s="754"/>
      <c r="S71" s="755"/>
      <c r="T71" s="316"/>
      <c r="U71" s="317" t="s">
        <v>418</v>
      </c>
      <c r="V71" s="317" t="s">
        <v>557</v>
      </c>
      <c r="W71" s="317" t="s">
        <v>524</v>
      </c>
      <c r="X71" s="317"/>
      <c r="Y71" s="318"/>
      <c r="Z71" s="317"/>
      <c r="AA71" s="317" t="s">
        <v>524</v>
      </c>
      <c r="AB71" s="317" t="s">
        <v>557</v>
      </c>
      <c r="AC71" s="319" t="s">
        <v>418</v>
      </c>
    </row>
    <row r="72" spans="5:29" ht="20.25" customHeight="1" hidden="1">
      <c r="E72" s="320" t="s">
        <v>558</v>
      </c>
      <c r="F72" s="321" t="str">
        <f>IF(ISERROR(VLOOKUP(CONCATENATE($F$68,"_",G72),'選手名簿'!$A:$E,5,FALSE))=TRUE,"",VLOOKUP(CONCATENATE($F$68,"_",G72),'選手名簿'!$A:$E,5,FALSE))</f>
        <v/>
      </c>
      <c r="G72" s="322"/>
      <c r="H72" s="322"/>
      <c r="I72" s="322"/>
      <c r="J72" s="323"/>
      <c r="K72" s="322"/>
      <c r="L72" s="322"/>
      <c r="M72" s="322"/>
      <c r="N72" s="324" t="str">
        <f>IF(ISERROR(VLOOKUP(CONCATENATE($N$68,"_",M72),'選手名簿'!$A:$E,5,FALSE))=TRUE,"",VLOOKUP(CONCATENATE($N$68,"_",M72),'選手名簿'!$A:$E,5,FALSE))</f>
        <v/>
      </c>
      <c r="T72" s="320" t="s">
        <v>558</v>
      </c>
      <c r="U72" s="321" t="str">
        <f>IF(ISERROR(VLOOKUP(CONCATENATE($U$68,"_",V72),'選手名簿'!$A:$E,5,FALSE))=TRUE,"",VLOOKUP(CONCATENATE($U$68,"_",V72),'選手名簿'!$A:$E,5,FALSE))</f>
        <v/>
      </c>
      <c r="V72" s="322"/>
      <c r="W72" s="322"/>
      <c r="X72" s="322"/>
      <c r="Y72" s="323"/>
      <c r="Z72" s="322"/>
      <c r="AA72" s="322"/>
      <c r="AB72" s="322"/>
      <c r="AC72" s="324" t="str">
        <f>IF(ISERROR(VLOOKUP(CONCATENATE($AC$68,"_",AB72),'選手名簿'!$A:$E,5,FALSE))=TRUE,"",VLOOKUP(CONCATENATE($AC$68,"_",AB72),'選手名簿'!$A:$E,5,FALSE))</f>
        <v/>
      </c>
    </row>
    <row r="73" spans="5:29" ht="20.25" customHeight="1" hidden="1">
      <c r="E73" s="320" t="s">
        <v>558</v>
      </c>
      <c r="F73" s="321" t="str">
        <f>IF(ISERROR(VLOOKUP(CONCATENATE($F$68,"_",G73),'選手名簿'!$A:$E,5,FALSE))=TRUE,"",VLOOKUP(CONCATENATE($F$68,"_",G73),'選手名簿'!$A:$E,5,FALSE))</f>
        <v/>
      </c>
      <c r="G73" s="322"/>
      <c r="H73" s="322"/>
      <c r="I73" s="322"/>
      <c r="J73" s="323"/>
      <c r="K73" s="322"/>
      <c r="L73" s="322"/>
      <c r="M73" s="322"/>
      <c r="N73" s="324" t="str">
        <f>IF(ISERROR(VLOOKUP(CONCATENATE($N$68,"_",M73),'選手名簿'!$A:$E,5,FALSE))=TRUE,"",VLOOKUP(CONCATENATE($N$68,"_",M73),'選手名簿'!$A:$E,5,FALSE))</f>
        <v/>
      </c>
      <c r="T73" s="320" t="s">
        <v>558</v>
      </c>
      <c r="U73" s="321" t="str">
        <f>IF(ISERROR(VLOOKUP(CONCATENATE($U$68,"_",V73),'選手名簿'!$A:$E,5,FALSE))=TRUE,"",VLOOKUP(CONCATENATE($U$68,"_",V73),'選手名簿'!$A:$E,5,FALSE))</f>
        <v/>
      </c>
      <c r="V73" s="322"/>
      <c r="W73" s="322"/>
      <c r="X73" s="322"/>
      <c r="Y73" s="323"/>
      <c r="Z73" s="322"/>
      <c r="AA73" s="322"/>
      <c r="AB73" s="322"/>
      <c r="AC73" s="324" t="str">
        <f>IF(ISERROR(VLOOKUP(CONCATENATE($AC$68,"_",AB73),'選手名簿'!$A:$E,5,FALSE))=TRUE,"",VLOOKUP(CONCATENATE($AC$68,"_",AB73),'選手名簿'!$A:$E,5,FALSE))</f>
        <v/>
      </c>
    </row>
    <row r="74" spans="5:29" ht="20.25" customHeight="1" hidden="1">
      <c r="E74" s="320" t="s">
        <v>558</v>
      </c>
      <c r="F74" s="321" t="str">
        <f>IF(ISERROR(VLOOKUP(CONCATENATE($F$68,"_",G74),'選手名簿'!$A:$E,5,FALSE))=TRUE,"",VLOOKUP(CONCATENATE($F$68,"_",G74),'選手名簿'!$A:$E,5,FALSE))</f>
        <v/>
      </c>
      <c r="G74" s="322"/>
      <c r="H74" s="322"/>
      <c r="I74" s="322"/>
      <c r="J74" s="323"/>
      <c r="K74" s="322"/>
      <c r="L74" s="322"/>
      <c r="M74" s="322"/>
      <c r="N74" s="324" t="str">
        <f>IF(ISERROR(VLOOKUP(CONCATENATE($N$68,"_",M74),'選手名簿'!$A:$E,5,FALSE))=TRUE,"",VLOOKUP(CONCATENATE($N$68,"_",M74),'選手名簿'!$A:$E,5,FALSE))</f>
        <v/>
      </c>
      <c r="T74" s="320" t="s">
        <v>558</v>
      </c>
      <c r="U74" s="321" t="str">
        <f>IF(ISERROR(VLOOKUP(CONCATENATE($U$68,"_",V74),'選手名簿'!$A:$E,5,FALSE))=TRUE,"",VLOOKUP(CONCATENATE($U$68,"_",V74),'選手名簿'!$A:$E,5,FALSE))</f>
        <v/>
      </c>
      <c r="V74" s="322"/>
      <c r="W74" s="322"/>
      <c r="X74" s="322"/>
      <c r="Y74" s="323"/>
      <c r="Z74" s="322"/>
      <c r="AA74" s="322"/>
      <c r="AB74" s="322"/>
      <c r="AC74" s="324" t="str">
        <f>IF(ISERROR(VLOOKUP(CONCATENATE($AC$68,"_",AB74),'選手名簿'!$A:$E,5,FALSE))=TRUE,"",VLOOKUP(CONCATENATE($AC$68,"_",AB74),'選手名簿'!$A:$E,5,FALSE))</f>
        <v/>
      </c>
    </row>
    <row r="75" spans="5:29" ht="20.25" customHeight="1" hidden="1">
      <c r="E75" s="320" t="s">
        <v>558</v>
      </c>
      <c r="F75" s="321" t="str">
        <f>IF(ISERROR(VLOOKUP(CONCATENATE($F$68,"_",G75),'選手名簿'!$A:$E,5,FALSE))=TRUE,"",VLOOKUP(CONCATENATE($F$68,"_",G75),'選手名簿'!$A:$E,5,FALSE))</f>
        <v/>
      </c>
      <c r="G75" s="322"/>
      <c r="H75" s="322"/>
      <c r="I75" s="322"/>
      <c r="J75" s="323"/>
      <c r="K75" s="322"/>
      <c r="L75" s="322"/>
      <c r="M75" s="322"/>
      <c r="N75" s="324" t="str">
        <f>IF(ISERROR(VLOOKUP(CONCATENATE($N$68,"_",M75),'選手名簿'!$A:$E,5,FALSE))=TRUE,"",VLOOKUP(CONCATENATE($N$68,"_",M75),'選手名簿'!$A:$E,5,FALSE))</f>
        <v/>
      </c>
      <c r="T75" s="320" t="s">
        <v>558</v>
      </c>
      <c r="U75" s="321" t="str">
        <f>IF(ISERROR(VLOOKUP(CONCATENATE($U$68,"_",V75),'選手名簿'!$A:$E,5,FALSE))=TRUE,"",VLOOKUP(CONCATENATE($U$68,"_",V75),'選手名簿'!$A:$E,5,FALSE))</f>
        <v/>
      </c>
      <c r="V75" s="322"/>
      <c r="W75" s="322"/>
      <c r="X75" s="322"/>
      <c r="Y75" s="323"/>
      <c r="Z75" s="322"/>
      <c r="AA75" s="322"/>
      <c r="AB75" s="322"/>
      <c r="AC75" s="324" t="str">
        <f>IF(ISERROR(VLOOKUP(CONCATENATE($AC$68,"_",AB75),'選手名簿'!$A:$E,5,FALSE))=TRUE,"",VLOOKUP(CONCATENATE($AC$68,"_",AB75),'選手名簿'!$A:$E,5,FALSE))</f>
        <v/>
      </c>
    </row>
    <row r="76" spans="5:29" ht="20.25" customHeight="1" hidden="1">
      <c r="E76" s="320" t="s">
        <v>558</v>
      </c>
      <c r="F76" s="321" t="str">
        <f>IF(ISERROR(VLOOKUP(CONCATENATE($F$68,"_",G76),'選手名簿'!$A:$E,5,FALSE))=TRUE,"",VLOOKUP(CONCATENATE($F$68,"_",G76),'選手名簿'!$A:$E,5,FALSE))</f>
        <v/>
      </c>
      <c r="G76" s="322"/>
      <c r="H76" s="322"/>
      <c r="I76" s="322"/>
      <c r="J76" s="323"/>
      <c r="K76" s="322"/>
      <c r="L76" s="322"/>
      <c r="M76" s="322"/>
      <c r="N76" s="324" t="str">
        <f>IF(ISERROR(VLOOKUP(CONCATENATE($N$68,"_",M76),'選手名簿'!$A:$E,5,FALSE))=TRUE,"",VLOOKUP(CONCATENATE($N$68,"_",M76),'選手名簿'!$A:$E,5,FALSE))</f>
        <v/>
      </c>
      <c r="T76" s="320" t="s">
        <v>558</v>
      </c>
      <c r="U76" s="321" t="str">
        <f>IF(ISERROR(VLOOKUP(CONCATENATE($U$68,"_",V76),'選手名簿'!$A:$E,5,FALSE))=TRUE,"",VLOOKUP(CONCATENATE($U$68,"_",V76),'選手名簿'!$A:$E,5,FALSE))</f>
        <v/>
      </c>
      <c r="V76" s="322"/>
      <c r="W76" s="322"/>
      <c r="X76" s="322"/>
      <c r="Y76" s="323"/>
      <c r="Z76" s="322"/>
      <c r="AA76" s="322"/>
      <c r="AB76" s="322"/>
      <c r="AC76" s="324" t="str">
        <f>IF(ISERROR(VLOOKUP(CONCATENATE($AC$68,"_",AB76),'選手名簿'!$A:$E,5,FALSE))=TRUE,"",VLOOKUP(CONCATENATE($AC$68,"_",AB76),'選手名簿'!$A:$E,5,FALSE))</f>
        <v/>
      </c>
    </row>
    <row r="77" spans="5:29" ht="20.25" customHeight="1" hidden="1">
      <c r="E77" s="320" t="s">
        <v>558</v>
      </c>
      <c r="F77" s="321" t="str">
        <f>IF(ISERROR(VLOOKUP(CONCATENATE($F$68,"_",G77),'選手名簿'!$A:$E,5,FALSE))=TRUE,"",VLOOKUP(CONCATENATE($F$68,"_",G77),'選手名簿'!$A:$E,5,FALSE))</f>
        <v/>
      </c>
      <c r="G77" s="322"/>
      <c r="H77" s="322"/>
      <c r="I77" s="322"/>
      <c r="J77" s="323"/>
      <c r="K77" s="322"/>
      <c r="L77" s="322"/>
      <c r="M77" s="322"/>
      <c r="N77" s="324" t="str">
        <f>IF(ISERROR(VLOOKUP(CONCATENATE($N$68,"_",M77),'選手名簿'!$A:$E,5,FALSE))=TRUE,"",VLOOKUP(CONCATENATE($N$68,"_",M77),'選手名簿'!$A:$E,5,FALSE))</f>
        <v/>
      </c>
      <c r="T77" s="320" t="s">
        <v>558</v>
      </c>
      <c r="U77" s="321" t="str">
        <f>IF(ISERROR(VLOOKUP(CONCATENATE($U$68,"_",V77),'選手名簿'!$A:$E,5,FALSE))=TRUE,"",VLOOKUP(CONCATENATE($U$68,"_",V77),'選手名簿'!$A:$E,5,FALSE))</f>
        <v/>
      </c>
      <c r="V77" s="322"/>
      <c r="W77" s="322"/>
      <c r="X77" s="322"/>
      <c r="Y77" s="323"/>
      <c r="Z77" s="322"/>
      <c r="AA77" s="322"/>
      <c r="AB77" s="322"/>
      <c r="AC77" s="324" t="str">
        <f>IF(ISERROR(VLOOKUP(CONCATENATE($AC$68,"_",AB77),'選手名簿'!$A:$E,5,FALSE))=TRUE,"",VLOOKUP(CONCATENATE($AC$68,"_",AB77),'選手名簿'!$A:$E,5,FALSE))</f>
        <v/>
      </c>
    </row>
    <row r="78" spans="5:29" ht="20.25" customHeight="1" hidden="1">
      <c r="E78" s="320" t="s">
        <v>558</v>
      </c>
      <c r="F78" s="321" t="str">
        <f>IF(ISERROR(VLOOKUP(CONCATENATE($F$68,"_",G78),'選手名簿'!$A:$E,5,FALSE))=TRUE,"",VLOOKUP(CONCATENATE($F$68,"_",G78),'選手名簿'!$A:$E,5,FALSE))</f>
        <v/>
      </c>
      <c r="G78" s="322"/>
      <c r="H78" s="322"/>
      <c r="I78" s="322"/>
      <c r="J78" s="323"/>
      <c r="K78" s="322"/>
      <c r="L78" s="322"/>
      <c r="M78" s="322"/>
      <c r="N78" s="324" t="str">
        <f>IF(ISERROR(VLOOKUP(CONCATENATE($N$68,"_",M78),'選手名簿'!$A:$E,5,FALSE))=TRUE,"",VLOOKUP(CONCATENATE($N$68,"_",M78),'選手名簿'!$A:$E,5,FALSE))</f>
        <v/>
      </c>
      <c r="T78" s="320" t="s">
        <v>558</v>
      </c>
      <c r="U78" s="321" t="str">
        <f>IF(ISERROR(VLOOKUP(CONCATENATE($U$68,"_",V78),'選手名簿'!$A:$E,5,FALSE))=TRUE,"",VLOOKUP(CONCATENATE($U$68,"_",V78),'選手名簿'!$A:$E,5,FALSE))</f>
        <v/>
      </c>
      <c r="V78" s="322"/>
      <c r="W78" s="322"/>
      <c r="X78" s="322"/>
      <c r="Y78" s="323"/>
      <c r="Z78" s="322"/>
      <c r="AA78" s="322"/>
      <c r="AB78" s="322"/>
      <c r="AC78" s="324" t="str">
        <f>IF(ISERROR(VLOOKUP(CONCATENATE($AC$68,"_",AB78),'選手名簿'!$A:$E,5,FALSE))=TRUE,"",VLOOKUP(CONCATENATE($AC$68,"_",AB78),'選手名簿'!$A:$E,5,FALSE))</f>
        <v/>
      </c>
    </row>
    <row r="79" spans="5:29" ht="20.25" customHeight="1" hidden="1">
      <c r="E79" s="320" t="s">
        <v>558</v>
      </c>
      <c r="F79" s="321" t="str">
        <f>IF(ISERROR(VLOOKUP(CONCATENATE($F$68,"_",G79),'選手名簿'!$A:$E,5,FALSE))=TRUE,"",VLOOKUP(CONCATENATE($F$68,"_",G79),'選手名簿'!$A:$E,5,FALSE))</f>
        <v/>
      </c>
      <c r="G79" s="322"/>
      <c r="H79" s="322"/>
      <c r="I79" s="322"/>
      <c r="J79" s="323"/>
      <c r="K79" s="322"/>
      <c r="L79" s="322"/>
      <c r="M79" s="322"/>
      <c r="N79" s="324" t="str">
        <f>IF(ISERROR(VLOOKUP(CONCATENATE($N$68,"_",M79),'選手名簿'!$A:$E,5,FALSE))=TRUE,"",VLOOKUP(CONCATENATE($N$68,"_",M79),'選手名簿'!$A:$E,5,FALSE))</f>
        <v/>
      </c>
      <c r="T79" s="320" t="s">
        <v>558</v>
      </c>
      <c r="U79" s="321" t="str">
        <f>IF(ISERROR(VLOOKUP(CONCATENATE($U$68,"_",V79),'選手名簿'!$A:$E,5,FALSE))=TRUE,"",VLOOKUP(CONCATENATE($U$68,"_",V79),'選手名簿'!$A:$E,5,FALSE))</f>
        <v/>
      </c>
      <c r="V79" s="322"/>
      <c r="W79" s="322"/>
      <c r="X79" s="322"/>
      <c r="Y79" s="323"/>
      <c r="Z79" s="322"/>
      <c r="AA79" s="322"/>
      <c r="AB79" s="322"/>
      <c r="AC79" s="324" t="str">
        <f>IF(ISERROR(VLOOKUP(CONCATENATE($AC$68,"_",AB79),'選手名簿'!$A:$E,5,FALSE))=TRUE,"",VLOOKUP(CONCATENATE($AC$68,"_",AB79),'選手名簿'!$A:$E,5,FALSE))</f>
        <v/>
      </c>
    </row>
    <row r="80" spans="5:29" ht="20.25" customHeight="1" hidden="1">
      <c r="E80" s="320" t="s">
        <v>558</v>
      </c>
      <c r="F80" s="321" t="str">
        <f>IF(ISERROR(VLOOKUP(CONCATENATE($F$68,"_",G80),'選手名簿'!$A:$E,5,FALSE))=TRUE,"",VLOOKUP(CONCATENATE($F$68,"_",G80),'選手名簿'!$A:$E,5,FALSE))</f>
        <v/>
      </c>
      <c r="G80" s="322"/>
      <c r="H80" s="322"/>
      <c r="I80" s="322"/>
      <c r="J80" s="323"/>
      <c r="K80" s="322"/>
      <c r="L80" s="322"/>
      <c r="M80" s="322"/>
      <c r="N80" s="324" t="str">
        <f>IF(ISERROR(VLOOKUP(CONCATENATE($N$68,"_",M80),'選手名簿'!$A:$E,5,FALSE))=TRUE,"",VLOOKUP(CONCATENATE($N$68,"_",M80),'選手名簿'!$A:$E,5,FALSE))</f>
        <v/>
      </c>
      <c r="T80" s="320" t="s">
        <v>558</v>
      </c>
      <c r="U80" s="321" t="str">
        <f>IF(ISERROR(VLOOKUP(CONCATENATE($U$68,"_",V80),'選手名簿'!$A:$E,5,FALSE))=TRUE,"",VLOOKUP(CONCATENATE($U$68,"_",V80),'選手名簿'!$A:$E,5,FALSE))</f>
        <v/>
      </c>
      <c r="V80" s="322"/>
      <c r="W80" s="322"/>
      <c r="X80" s="322"/>
      <c r="Y80" s="323"/>
      <c r="Z80" s="322"/>
      <c r="AA80" s="322"/>
      <c r="AB80" s="322"/>
      <c r="AC80" s="324" t="str">
        <f>IF(ISERROR(VLOOKUP(CONCATENATE($AC$68,"_",AB80),'選手名簿'!$A:$E,5,FALSE))=TRUE,"",VLOOKUP(CONCATENATE($AC$68,"_",AB80),'選手名簿'!$A:$E,5,FALSE))</f>
        <v/>
      </c>
    </row>
    <row r="81" spans="5:29" ht="20.25" customHeight="1" hidden="1">
      <c r="E81" s="325" t="s">
        <v>558</v>
      </c>
      <c r="F81" s="326" t="str">
        <f>IF(ISERROR(VLOOKUP(CONCATENATE($F$68,"_",G81),'選手名簿'!$A:$E,5,FALSE))=TRUE,"",VLOOKUP(CONCATENATE($F$68,"_",G81),'選手名簿'!$A:$E,5,FALSE))</f>
        <v/>
      </c>
      <c r="G81" s="327"/>
      <c r="H81" s="327"/>
      <c r="I81" s="327"/>
      <c r="J81" s="328"/>
      <c r="K81" s="327"/>
      <c r="L81" s="327"/>
      <c r="M81" s="327"/>
      <c r="N81" s="329" t="str">
        <f>IF(ISERROR(VLOOKUP(CONCATENATE($N$68,"_",M81),'選手名簿'!$A:$E,5,FALSE))=TRUE,"",VLOOKUP(CONCATENATE($N$68,"_",M81),'選手名簿'!$A:$E,5,FALSE))</f>
        <v/>
      </c>
      <c r="T81" s="325" t="s">
        <v>558</v>
      </c>
      <c r="U81" s="326" t="str">
        <f>IF(ISERROR(VLOOKUP(CONCATENATE($U$68,"_",V81),'選手名簿'!$A:$E,5,FALSE))=TRUE,"",VLOOKUP(CONCATENATE($U$68,"_",V81),'選手名簿'!$A:$E,5,FALSE))</f>
        <v/>
      </c>
      <c r="V81" s="327"/>
      <c r="W81" s="327"/>
      <c r="X81" s="327"/>
      <c r="Y81" s="328"/>
      <c r="Z81" s="327"/>
      <c r="AA81" s="327"/>
      <c r="AB81" s="327"/>
      <c r="AC81" s="329" t="str">
        <f>IF(ISERROR(VLOOKUP(CONCATENATE($AC$68,"_",AB81),'選手名簿'!$A:$E,5,FALSE))=TRUE,"",VLOOKUP(CONCATENATE($AC$68,"_",AB81),'選手名簿'!$A:$E,5,FALSE))</f>
        <v/>
      </c>
    </row>
    <row r="82" spans="1:29" ht="20.25" customHeight="1">
      <c r="A82" s="330" t="s">
        <v>557</v>
      </c>
      <c r="B82" s="750" t="s">
        <v>567</v>
      </c>
      <c r="C82" s="750"/>
      <c r="D82" s="751"/>
      <c r="E82" s="320" t="s">
        <v>419</v>
      </c>
      <c r="F82" s="321" t="str">
        <f>IF(ISERROR(VLOOKUP(CONCATENATE($F$68,"_",G82),'選手名簿'!$A:$E,5,FALSE))=TRUE,"",VLOOKUP(CONCATENATE($F$68,"_",G82),'選手名簿'!$A:$E,5,FALSE))</f>
        <v/>
      </c>
      <c r="G82" s="322"/>
      <c r="H82" s="322"/>
      <c r="I82" s="322"/>
      <c r="J82" s="323"/>
      <c r="K82" s="322"/>
      <c r="L82" s="322"/>
      <c r="M82" s="322"/>
      <c r="N82" s="324" t="str">
        <f>IF(ISERROR(VLOOKUP(CONCATENATE($N$68,"_",M82),'選手名簿'!$A:$E,5,FALSE))=TRUE,"",VLOOKUP(CONCATENATE($N$68,"_",M82),'選手名簿'!$A:$E,5,FALSE))</f>
        <v/>
      </c>
      <c r="P82" s="330" t="s">
        <v>557</v>
      </c>
      <c r="Q82" s="750" t="s">
        <v>560</v>
      </c>
      <c r="R82" s="750"/>
      <c r="S82" s="751"/>
      <c r="T82" s="320" t="s">
        <v>419</v>
      </c>
      <c r="U82" s="321" t="str">
        <f>IF(ISERROR(VLOOKUP(CONCATENATE($U$68,"_",V82),'選手名簿'!$A:$E,5,FALSE))=TRUE,"",VLOOKUP(CONCATENATE($U$68,"_",V82),'選手名簿'!$A:$E,5,FALSE))</f>
        <v/>
      </c>
      <c r="V82" s="322"/>
      <c r="W82" s="322"/>
      <c r="X82" s="322"/>
      <c r="Y82" s="323"/>
      <c r="Z82" s="322"/>
      <c r="AA82" s="322"/>
      <c r="AB82" s="322"/>
      <c r="AC82" s="324" t="str">
        <f>IF(ISERROR(VLOOKUP(CONCATENATE($AC$68,"_",AB82),'選手名簿'!$A:$E,5,FALSE))=TRUE,"",VLOOKUP(CONCATENATE($AC$68,"_",AB82),'選手名簿'!$A:$E,5,FALSE))</f>
        <v/>
      </c>
    </row>
    <row r="83" spans="1:29" ht="20.25" customHeight="1">
      <c r="A83" s="331" t="s">
        <v>177</v>
      </c>
      <c r="B83" s="752" t="str">
        <f>IF(ISERROR(VLOOKUP(B82,'審判員'!$A:$C,2,FALSE))=TRUE,"",VLOOKUP(B82,'審判員'!$A:$C,2,FALSE))</f>
        <v>内藤　翔悟</v>
      </c>
      <c r="C83" s="753"/>
      <c r="D83" s="331" t="str">
        <f>IF(ISERROR(VLOOKUP(B82,'審判員'!$A:$C,3,FALSE))=TRUE,"",VLOOKUP(B82,'審判員'!$A:$C,3,FALSE))</f>
        <v>３級</v>
      </c>
      <c r="E83" s="333" t="s">
        <v>419</v>
      </c>
      <c r="F83" s="334" t="str">
        <f>IF(ISERROR(VLOOKUP(CONCATENATE($F$68,"_",G83),'選手名簿'!$A:$E,5,FALSE))=TRUE,"",VLOOKUP(CONCATENATE($F$68,"_",G83),'選手名簿'!$A:$E,5,FALSE))</f>
        <v/>
      </c>
      <c r="G83" s="335"/>
      <c r="H83" s="335"/>
      <c r="I83" s="335"/>
      <c r="J83" s="323"/>
      <c r="K83" s="335"/>
      <c r="L83" s="335"/>
      <c r="M83" s="335"/>
      <c r="N83" s="336" t="str">
        <f>IF(ISERROR(VLOOKUP(CONCATENATE($N$68,"_",M83),'選手名簿'!$A:$E,5,FALSE))=TRUE,"",VLOOKUP(CONCATENATE($N$68,"_",M83),'選手名簿'!$A:$E,5,FALSE))</f>
        <v/>
      </c>
      <c r="P83" s="331" t="s">
        <v>177</v>
      </c>
      <c r="Q83" s="752" t="str">
        <f>IF(ISERROR(VLOOKUP(Q82,'審判員'!$A:$C,2,FALSE))=TRUE,"",VLOOKUP(Q82,'審判員'!$A:$C,2,FALSE))</f>
        <v>福田　知行</v>
      </c>
      <c r="R83" s="753"/>
      <c r="S83" s="331" t="str">
        <f>IF(ISERROR(VLOOKUP(Q82,'審判員'!$A:$C,3,FALSE))=TRUE,"",VLOOKUP(Q82,'審判員'!$A:$C,3,FALSE))</f>
        <v>３級</v>
      </c>
      <c r="T83" s="333" t="s">
        <v>419</v>
      </c>
      <c r="U83" s="334" t="str">
        <f>IF(ISERROR(VLOOKUP(CONCATENATE($U$68,"_",V83),'選手名簿'!$A:$E,5,FALSE))=TRUE,"",VLOOKUP(CONCATENATE($U$68,"_",V83),'選手名簿'!$A:$E,5,FALSE))</f>
        <v/>
      </c>
      <c r="V83" s="335"/>
      <c r="W83" s="335"/>
      <c r="X83" s="335"/>
      <c r="Y83" s="323"/>
      <c r="Z83" s="335"/>
      <c r="AA83" s="335"/>
      <c r="AB83" s="335"/>
      <c r="AC83" s="336" t="str">
        <f>IF(ISERROR(VLOOKUP(CONCATENATE($AC$68,"_",AB83),'選手名簿'!$A:$E,5,FALSE))=TRUE,"",VLOOKUP(CONCATENATE($AC$68,"_",AB83),'選手名簿'!$A:$E,5,FALSE))</f>
        <v/>
      </c>
    </row>
    <row r="84" spans="1:29" ht="20.25" customHeight="1">
      <c r="A84" s="330" t="s">
        <v>557</v>
      </c>
      <c r="B84" s="750" t="s">
        <v>569</v>
      </c>
      <c r="C84" s="750"/>
      <c r="D84" s="751"/>
      <c r="E84" s="333" t="s">
        <v>419</v>
      </c>
      <c r="F84" s="334" t="str">
        <f>IF(ISERROR(VLOOKUP(CONCATENATE($F$68,"_",G84),'選手名簿'!$A:$E,5,FALSE))=TRUE,"",VLOOKUP(CONCATENATE($F$68,"_",G84),'選手名簿'!$A:$E,5,FALSE))</f>
        <v/>
      </c>
      <c r="G84" s="335"/>
      <c r="H84" s="335"/>
      <c r="I84" s="335"/>
      <c r="J84" s="323"/>
      <c r="K84" s="335"/>
      <c r="L84" s="335"/>
      <c r="M84" s="335"/>
      <c r="N84" s="336" t="str">
        <f>IF(ISERROR(VLOOKUP(CONCATENATE($N$68,"_",M84),'選手名簿'!$A:$E,5,FALSE))=TRUE,"",VLOOKUP(CONCATENATE($N$68,"_",M84),'選手名簿'!$A:$E,5,FALSE))</f>
        <v/>
      </c>
      <c r="P84" s="330" t="s">
        <v>557</v>
      </c>
      <c r="Q84" s="750" t="s">
        <v>570</v>
      </c>
      <c r="R84" s="750"/>
      <c r="S84" s="751"/>
      <c r="T84" s="333" t="s">
        <v>419</v>
      </c>
      <c r="U84" s="334" t="str">
        <f>IF(ISERROR(VLOOKUP(CONCATENATE($U$68,"_",V84),'選手名簿'!$A:$E,5,FALSE))=TRUE,"",VLOOKUP(CONCATENATE($U$68,"_",V84),'選手名簿'!$A:$E,5,FALSE))</f>
        <v/>
      </c>
      <c r="V84" s="335"/>
      <c r="W84" s="335"/>
      <c r="X84" s="335"/>
      <c r="Y84" s="323"/>
      <c r="Z84" s="335"/>
      <c r="AA84" s="335"/>
      <c r="AB84" s="335"/>
      <c r="AC84" s="336" t="str">
        <f>IF(ISERROR(VLOOKUP(CONCATENATE($AC$68,"_",AB84),'選手名簿'!$A:$E,5,FALSE))=TRUE,"",VLOOKUP(CONCATENATE($AC$68,"_",AB84),'選手名簿'!$A:$E,5,FALSE))</f>
        <v/>
      </c>
    </row>
    <row r="85" spans="1:29" ht="20.25" customHeight="1">
      <c r="A85" s="331" t="s">
        <v>563</v>
      </c>
      <c r="B85" s="752" t="str">
        <f>IF(ISERROR(VLOOKUP(B84,'審判員'!$A:$C,2,FALSE))=TRUE,"",VLOOKUP(B84,'審判員'!$A:$C,2,FALSE))</f>
        <v>マガリェンス　リシャルドソン</v>
      </c>
      <c r="C85" s="753"/>
      <c r="D85" s="331" t="str">
        <f>IF(ISERROR(VLOOKUP(B84,'審判員'!$A:$C,3,FALSE))=TRUE,"",VLOOKUP(B84,'審判員'!$A:$C,3,FALSE))</f>
        <v>３級</v>
      </c>
      <c r="E85" s="333" t="s">
        <v>419</v>
      </c>
      <c r="F85" s="334" t="str">
        <f>IF(ISERROR(VLOOKUP(CONCATENATE($F$68,"_",G85),'選手名簿'!$A:$E,5,FALSE))=TRUE,"",VLOOKUP(CONCATENATE($F$68,"_",G85),'選手名簿'!$A:$E,5,FALSE))</f>
        <v/>
      </c>
      <c r="G85" s="335"/>
      <c r="H85" s="335"/>
      <c r="I85" s="335"/>
      <c r="J85" s="323"/>
      <c r="K85" s="335"/>
      <c r="L85" s="335"/>
      <c r="M85" s="335"/>
      <c r="N85" s="336" t="str">
        <f>IF(ISERROR(VLOOKUP(CONCATENATE($N$68,"_",M85),'選手名簿'!$A:$E,5,FALSE))=TRUE,"",VLOOKUP(CONCATENATE($N$68,"_",M85),'選手名簿'!$A:$E,5,FALSE))</f>
        <v/>
      </c>
      <c r="P85" s="331" t="s">
        <v>563</v>
      </c>
      <c r="Q85" s="752" t="str">
        <f>IF(ISERROR(VLOOKUP(Q84,'審判員'!$A:$C,2,FALSE))=TRUE,"",VLOOKUP(Q84,'審判員'!$A:$C,2,FALSE))</f>
        <v>如法寺　雅俊</v>
      </c>
      <c r="R85" s="753"/>
      <c r="S85" s="331" t="str">
        <f>IF(ISERROR(VLOOKUP(Q84,'審判員'!$A:$C,3,FALSE))=TRUE,"",VLOOKUP(Q84,'審判員'!$A:$C,3,FALSE))</f>
        <v>３級</v>
      </c>
      <c r="T85" s="333" t="s">
        <v>419</v>
      </c>
      <c r="U85" s="334" t="str">
        <f>IF(ISERROR(VLOOKUP(CONCATENATE($U$68,"_",V85),'選手名簿'!$A:$E,5,FALSE))=TRUE,"",VLOOKUP(CONCATENATE($U$68,"_",V85),'選手名簿'!$A:$E,5,FALSE))</f>
        <v/>
      </c>
      <c r="V85" s="335"/>
      <c r="W85" s="335"/>
      <c r="X85" s="335"/>
      <c r="Y85" s="323"/>
      <c r="Z85" s="335"/>
      <c r="AA85" s="335"/>
      <c r="AB85" s="335"/>
      <c r="AC85" s="336" t="str">
        <f>IF(ISERROR(VLOOKUP(CONCATENATE($AC$68,"_",AB85),'選手名簿'!$A:$E,5,FALSE))=TRUE,"",VLOOKUP(CONCATENATE($AC$68,"_",AB85),'選手名簿'!$A:$E,5,FALSE))</f>
        <v/>
      </c>
    </row>
    <row r="86" spans="1:29" ht="20.25" customHeight="1">
      <c r="A86" s="330" t="s">
        <v>557</v>
      </c>
      <c r="B86" s="750" t="s">
        <v>561</v>
      </c>
      <c r="C86" s="750"/>
      <c r="D86" s="751"/>
      <c r="E86" s="333" t="s">
        <v>419</v>
      </c>
      <c r="F86" s="334" t="str">
        <f>IF(ISERROR(VLOOKUP(CONCATENATE($F$68,"_",G86),'選手名簿'!$A:$E,5,FALSE))=TRUE,"",VLOOKUP(CONCATENATE($F$68,"_",G86),'選手名簿'!$A:$E,5,FALSE))</f>
        <v/>
      </c>
      <c r="G86" s="335"/>
      <c r="H86" s="335"/>
      <c r="I86" s="335"/>
      <c r="J86" s="323"/>
      <c r="K86" s="335"/>
      <c r="L86" s="335"/>
      <c r="M86" s="335"/>
      <c r="N86" s="336" t="str">
        <f>IF(ISERROR(VLOOKUP(CONCATENATE($N$68,"_",M86),'選手名簿'!$A:$E,5,FALSE))=TRUE,"",VLOOKUP(CONCATENATE($N$68,"_",M86),'選手名簿'!$A:$E,5,FALSE))</f>
        <v/>
      </c>
      <c r="P86" s="330" t="s">
        <v>557</v>
      </c>
      <c r="Q86" s="750" t="s">
        <v>562</v>
      </c>
      <c r="R86" s="750"/>
      <c r="S86" s="751"/>
      <c r="T86" s="333" t="s">
        <v>419</v>
      </c>
      <c r="U86" s="334" t="str">
        <f>IF(ISERROR(VLOOKUP(CONCATENATE($U$68,"_",V86),'選手名簿'!$A:$E,5,FALSE))=TRUE,"",VLOOKUP(CONCATENATE($U$68,"_",V86),'選手名簿'!$A:$E,5,FALSE))</f>
        <v/>
      </c>
      <c r="V86" s="335"/>
      <c r="W86" s="335"/>
      <c r="X86" s="335"/>
      <c r="Y86" s="323"/>
      <c r="Z86" s="335"/>
      <c r="AA86" s="335"/>
      <c r="AB86" s="335"/>
      <c r="AC86" s="336" t="str">
        <f>IF(ISERROR(VLOOKUP(CONCATENATE($AC$68,"_",AB86),'選手名簿'!$A:$E,5,FALSE))=TRUE,"",VLOOKUP(CONCATENATE($AC$68,"_",AB86),'選手名簿'!$A:$E,5,FALSE))</f>
        <v/>
      </c>
    </row>
    <row r="87" spans="1:29" ht="20.25" customHeight="1">
      <c r="A87" s="331" t="s">
        <v>566</v>
      </c>
      <c r="B87" s="752" t="str">
        <f>IF(ISERROR(VLOOKUP(B86,'審判員'!$A:$C,2,FALSE))=TRUE,"",VLOOKUP(B86,'審判員'!$A:$C,2,FALSE))</f>
        <v>菅川　智</v>
      </c>
      <c r="C87" s="753"/>
      <c r="D87" s="331" t="str">
        <f>IF(ISERROR(VLOOKUP(B86,'審判員'!$A:$C,3,FALSE))=TRUE,"",VLOOKUP(B86,'審判員'!$A:$C,3,FALSE))</f>
        <v>３級</v>
      </c>
      <c r="E87" s="333" t="s">
        <v>419</v>
      </c>
      <c r="F87" s="334" t="str">
        <f>IF(ISERROR(VLOOKUP(CONCATENATE($F$68,"_",G87),'選手名簿'!$A:$E,5,FALSE))=TRUE,"",VLOOKUP(CONCATENATE($F$68,"_",G87),'選手名簿'!$A:$E,5,FALSE))</f>
        <v/>
      </c>
      <c r="G87" s="335"/>
      <c r="H87" s="335"/>
      <c r="I87" s="335"/>
      <c r="J87" s="323"/>
      <c r="K87" s="335"/>
      <c r="L87" s="335"/>
      <c r="M87" s="335"/>
      <c r="N87" s="336" t="str">
        <f>IF(ISERROR(VLOOKUP(CONCATENATE($N$68,"_",M87),'選手名簿'!$A:$E,5,FALSE))=TRUE,"",VLOOKUP(CONCATENATE($N$68,"_",M87),'選手名簿'!$A:$E,5,FALSE))</f>
        <v/>
      </c>
      <c r="P87" s="331" t="s">
        <v>566</v>
      </c>
      <c r="Q87" s="752" t="str">
        <f>IF(ISERROR(VLOOKUP(Q86,'審判員'!$A:$C,2,FALSE))=TRUE,"",VLOOKUP(Q86,'審判員'!$A:$C,2,FALSE))</f>
        <v>安部　正信</v>
      </c>
      <c r="R87" s="753"/>
      <c r="S87" s="331" t="str">
        <f>IF(ISERROR(VLOOKUP(Q86,'審判員'!$A:$C,3,FALSE))=TRUE,"",VLOOKUP(Q86,'審判員'!$A:$C,3,FALSE))</f>
        <v>３級</v>
      </c>
      <c r="T87" s="333" t="s">
        <v>419</v>
      </c>
      <c r="U87" s="334" t="str">
        <f>IF(ISERROR(VLOOKUP(CONCATENATE($U$68,"_",V87),'選手名簿'!$A:$E,5,FALSE))=TRUE,"",VLOOKUP(CONCATENATE($U$68,"_",V87),'選手名簿'!$A:$E,5,FALSE))</f>
        <v/>
      </c>
      <c r="V87" s="335"/>
      <c r="W87" s="335"/>
      <c r="X87" s="335"/>
      <c r="Y87" s="323"/>
      <c r="Z87" s="335"/>
      <c r="AA87" s="335"/>
      <c r="AB87" s="335"/>
      <c r="AC87" s="336" t="str">
        <f>IF(ISERROR(VLOOKUP(CONCATENATE($AC$68,"_",AB87),'選手名簿'!$A:$E,5,FALSE))=TRUE,"",VLOOKUP(CONCATENATE($AC$68,"_",AB87),'選手名簿'!$A:$E,5,FALSE))</f>
        <v/>
      </c>
    </row>
    <row r="88" spans="1:29" ht="20.25" customHeight="1">
      <c r="A88" s="330" t="s">
        <v>557</v>
      </c>
      <c r="B88" s="750" t="s">
        <v>560</v>
      </c>
      <c r="C88" s="750"/>
      <c r="D88" s="751"/>
      <c r="E88" s="333" t="s">
        <v>419</v>
      </c>
      <c r="F88" s="334" t="str">
        <f>IF(ISERROR(VLOOKUP(CONCATENATE($F$68,"_",G88),'選手名簿'!$A:$E,5,FALSE))=TRUE,"",VLOOKUP(CONCATENATE($F$68,"_",G88),'選手名簿'!$A:$E,5,FALSE))</f>
        <v/>
      </c>
      <c r="G88" s="335"/>
      <c r="H88" s="335"/>
      <c r="I88" s="335"/>
      <c r="J88" s="323"/>
      <c r="K88" s="335"/>
      <c r="L88" s="335"/>
      <c r="M88" s="335"/>
      <c r="N88" s="336" t="str">
        <f>IF(ISERROR(VLOOKUP(CONCATENATE($N$68,"_",M88),'選手名簿'!$A:$E,5,FALSE))=TRUE,"",VLOOKUP(CONCATENATE($N$68,"_",M88),'選手名簿'!$A:$E,5,FALSE))</f>
        <v/>
      </c>
      <c r="P88" s="330" t="s">
        <v>557</v>
      </c>
      <c r="Q88" s="750" t="s">
        <v>559</v>
      </c>
      <c r="R88" s="750"/>
      <c r="S88" s="751"/>
      <c r="T88" s="333" t="s">
        <v>419</v>
      </c>
      <c r="U88" s="334" t="str">
        <f>IF(ISERROR(VLOOKUP(CONCATENATE($U$68,"_",V88),'選手名簿'!$A:$E,5,FALSE))=TRUE,"",VLOOKUP(CONCATENATE($U$68,"_",V88),'選手名簿'!$A:$E,5,FALSE))</f>
        <v/>
      </c>
      <c r="V88" s="335"/>
      <c r="W88" s="335"/>
      <c r="X88" s="335"/>
      <c r="Y88" s="323"/>
      <c r="Z88" s="335"/>
      <c r="AA88" s="335"/>
      <c r="AB88" s="335"/>
      <c r="AC88" s="336" t="str">
        <f>IF(ISERROR(VLOOKUP(CONCATENATE($AC$68,"_",AB88),'選手名簿'!$A:$E,5,FALSE))=TRUE,"",VLOOKUP(CONCATENATE($AC$68,"_",AB88),'選手名簿'!$A:$E,5,FALSE))</f>
        <v/>
      </c>
    </row>
    <row r="89" spans="1:29" ht="20.25" customHeight="1">
      <c r="A89" s="331" t="s">
        <v>568</v>
      </c>
      <c r="B89" s="752" t="str">
        <f>IF(ISERROR(VLOOKUP(B88,'審判員'!$A:$C,2,FALSE))=TRUE,"",VLOOKUP(B88,'審判員'!$A:$C,2,FALSE))</f>
        <v>福田　知行</v>
      </c>
      <c r="C89" s="753"/>
      <c r="D89" s="331" t="str">
        <f>IF(ISERROR(VLOOKUP(B88,'審判員'!$A:$C,3,FALSE))=TRUE,"",VLOOKUP(B88,'審判員'!$A:$C,3,FALSE))</f>
        <v>３級</v>
      </c>
      <c r="E89" s="337" t="s">
        <v>419</v>
      </c>
      <c r="F89" s="338" t="str">
        <f>IF(ISERROR(VLOOKUP(CONCATENATE($F$68,"_",G89),'選手名簿'!$A:$E,5,FALSE))=TRUE,"",VLOOKUP(CONCATENATE($F$68,"_",G89),'選手名簿'!$A:$E,5,FALSE))</f>
        <v/>
      </c>
      <c r="G89" s="339"/>
      <c r="H89" s="339"/>
      <c r="I89" s="339"/>
      <c r="J89" s="328"/>
      <c r="K89" s="339"/>
      <c r="L89" s="339"/>
      <c r="M89" s="339"/>
      <c r="N89" s="340" t="str">
        <f>IF(ISERROR(VLOOKUP(CONCATENATE($N$68,"_",M89),'選手名簿'!$A:$E,5,FALSE))=TRUE,"",VLOOKUP(CONCATENATE($N$68,"_",M89),'選手名簿'!$A:$E,5,FALSE))</f>
        <v/>
      </c>
      <c r="P89" s="331" t="s">
        <v>568</v>
      </c>
      <c r="Q89" s="752" t="str">
        <f>IF(ISERROR(VLOOKUP(Q88,'審判員'!$A:$C,2,FALSE))=TRUE,"",VLOOKUP(Q88,'審判員'!$A:$C,2,FALSE))</f>
        <v>小石川　悟</v>
      </c>
      <c r="R89" s="753"/>
      <c r="S89" s="331" t="str">
        <f>IF(ISERROR(VLOOKUP(Q88,'審判員'!$A:$C,3,FALSE))=TRUE,"",VLOOKUP(Q88,'審判員'!$A:$C,3,FALSE))</f>
        <v>３級</v>
      </c>
      <c r="T89" s="337" t="s">
        <v>419</v>
      </c>
      <c r="U89" s="338" t="str">
        <f>IF(ISERROR(VLOOKUP(CONCATENATE($U$68,"_",V89),'選手名簿'!$A:$E,5,FALSE))=TRUE,"",VLOOKUP(CONCATENATE($U$68,"_",V89),'選手名簿'!$A:$E,5,FALSE))</f>
        <v/>
      </c>
      <c r="V89" s="339"/>
      <c r="W89" s="339"/>
      <c r="X89" s="339"/>
      <c r="Y89" s="328"/>
      <c r="Z89" s="339"/>
      <c r="AA89" s="339"/>
      <c r="AB89" s="339"/>
      <c r="AC89" s="340" t="str">
        <f>IF(ISERROR(VLOOKUP(CONCATENATE($AC$68,"_",AB89),'選手名簿'!$A:$E,5,FALSE))=TRUE,"",VLOOKUP(CONCATENATE($AC$68,"_",AB89),'選手名簿'!$A:$E,5,FALSE))</f>
        <v/>
      </c>
    </row>
  </sheetData>
  <mergeCells count="132">
    <mergeCell ref="A1:J1"/>
    <mergeCell ref="K1:N1"/>
    <mergeCell ref="P1:Y1"/>
    <mergeCell ref="Z1:AC1"/>
    <mergeCell ref="B3:E3"/>
    <mergeCell ref="Q3:T3"/>
    <mergeCell ref="F5:L5"/>
    <mergeCell ref="M5:N5"/>
    <mergeCell ref="U5:AA5"/>
    <mergeCell ref="AB5:AC5"/>
    <mergeCell ref="F6:L6"/>
    <mergeCell ref="M6:N6"/>
    <mergeCell ref="U6:AA6"/>
    <mergeCell ref="AB6:AC6"/>
    <mergeCell ref="F7:L7"/>
    <mergeCell ref="M7:N7"/>
    <mergeCell ref="U7:AA7"/>
    <mergeCell ref="AB7:AC7"/>
    <mergeCell ref="B10:D10"/>
    <mergeCell ref="E10:E12"/>
    <mergeCell ref="F10:F12"/>
    <mergeCell ref="G10:G12"/>
    <mergeCell ref="H10:H12"/>
    <mergeCell ref="L10:L12"/>
    <mergeCell ref="M10:M12"/>
    <mergeCell ref="N10:N12"/>
    <mergeCell ref="Q10:S10"/>
    <mergeCell ref="T10:T12"/>
    <mergeCell ref="U10:U12"/>
    <mergeCell ref="V10:V12"/>
    <mergeCell ref="W10:W12"/>
    <mergeCell ref="AA10:AA12"/>
    <mergeCell ref="AB10:AB12"/>
    <mergeCell ref="AC10:AC12"/>
    <mergeCell ref="B11:D11"/>
    <mergeCell ref="Q11:S11"/>
    <mergeCell ref="B12:D12"/>
    <mergeCell ref="Q12:S12"/>
    <mergeCell ref="A13:D13"/>
    <mergeCell ref="P13:S13"/>
    <mergeCell ref="B24:D24"/>
    <mergeCell ref="Q24:S24"/>
    <mergeCell ref="B25:C25"/>
    <mergeCell ref="Q25:R25"/>
    <mergeCell ref="B26:D26"/>
    <mergeCell ref="Q26:S26"/>
    <mergeCell ref="B27:C27"/>
    <mergeCell ref="Q27:R27"/>
    <mergeCell ref="B28:D28"/>
    <mergeCell ref="Q28:S28"/>
    <mergeCell ref="B29:C29"/>
    <mergeCell ref="Q29:R29"/>
    <mergeCell ref="B30:D30"/>
    <mergeCell ref="Q30:S30"/>
    <mergeCell ref="B31:C31"/>
    <mergeCell ref="Q31:R31"/>
    <mergeCell ref="B39:D39"/>
    <mergeCell ref="E39:E41"/>
    <mergeCell ref="F39:F41"/>
    <mergeCell ref="G39:G41"/>
    <mergeCell ref="H39:H41"/>
    <mergeCell ref="L39:L41"/>
    <mergeCell ref="M39:M41"/>
    <mergeCell ref="N39:N41"/>
    <mergeCell ref="Q39:S39"/>
    <mergeCell ref="T39:T41"/>
    <mergeCell ref="U39:U41"/>
    <mergeCell ref="V39:V41"/>
    <mergeCell ref="W39:W41"/>
    <mergeCell ref="AA39:AA41"/>
    <mergeCell ref="AB39:AB41"/>
    <mergeCell ref="AC39:AC41"/>
    <mergeCell ref="B40:D40"/>
    <mergeCell ref="Q40:S40"/>
    <mergeCell ref="B41:D41"/>
    <mergeCell ref="Q41:S41"/>
    <mergeCell ref="A42:D42"/>
    <mergeCell ref="P42:S42"/>
    <mergeCell ref="B53:D53"/>
    <mergeCell ref="Q53:S53"/>
    <mergeCell ref="B54:C54"/>
    <mergeCell ref="Q54:R54"/>
    <mergeCell ref="B55:D55"/>
    <mergeCell ref="Q55:S55"/>
    <mergeCell ref="B56:C56"/>
    <mergeCell ref="Q56:R56"/>
    <mergeCell ref="B57:D57"/>
    <mergeCell ref="Q57:S57"/>
    <mergeCell ref="B58:C58"/>
    <mergeCell ref="Q58:R58"/>
    <mergeCell ref="B59:D59"/>
    <mergeCell ref="Q59:S59"/>
    <mergeCell ref="B60:C60"/>
    <mergeCell ref="Q60:R60"/>
    <mergeCell ref="B68:D68"/>
    <mergeCell ref="E68:E70"/>
    <mergeCell ref="F68:F70"/>
    <mergeCell ref="G68:G70"/>
    <mergeCell ref="H68:H70"/>
    <mergeCell ref="L68:L70"/>
    <mergeCell ref="M68:M70"/>
    <mergeCell ref="N68:N70"/>
    <mergeCell ref="Q68:S68"/>
    <mergeCell ref="T68:T70"/>
    <mergeCell ref="U68:U70"/>
    <mergeCell ref="V68:V70"/>
    <mergeCell ref="W68:W70"/>
    <mergeCell ref="AA68:AA70"/>
    <mergeCell ref="AB68:AB70"/>
    <mergeCell ref="AC68:AC70"/>
    <mergeCell ref="B69:D69"/>
    <mergeCell ref="Q69:S69"/>
    <mergeCell ref="B70:D70"/>
    <mergeCell ref="Q70:S70"/>
    <mergeCell ref="B86:D86"/>
    <mergeCell ref="Q86:S86"/>
    <mergeCell ref="B87:C87"/>
    <mergeCell ref="Q87:R87"/>
    <mergeCell ref="B88:D88"/>
    <mergeCell ref="Q88:S88"/>
    <mergeCell ref="B89:C89"/>
    <mergeCell ref="Q89:R89"/>
    <mergeCell ref="A71:D71"/>
    <mergeCell ref="P71:S71"/>
    <mergeCell ref="B82:D82"/>
    <mergeCell ref="Q82:S82"/>
    <mergeCell ref="B83:C83"/>
    <mergeCell ref="Q83:R83"/>
    <mergeCell ref="B84:D84"/>
    <mergeCell ref="Q84:S84"/>
    <mergeCell ref="B85:C85"/>
    <mergeCell ref="Q85:R85"/>
  </mergeCells>
  <dataValidations count="1">
    <dataValidation type="list" allowBlank="1" showInputMessage="1" showErrorMessage="1" sqref="Q10:S12 B10:D12 B39:D41 Q39:S41 Q68:S70 B68:D70">
      <formula1>項目!$G$1:$G$33</formula1>
    </dataValidation>
  </dataValidations>
  <printOptions/>
  <pageMargins left="0" right="0" top="0" bottom="0" header="0.5118110236220472" footer="0.5118110236220472"/>
  <pageSetup fitToHeight="1" fitToWidth="1" horizontalDpi="600" verticalDpi="600" orientation="landscape" paperSize="9" scale="5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F89"/>
  <sheetViews>
    <sheetView zoomScale="70" zoomScaleNormal="70" workbookViewId="0" topLeftCell="A1">
      <selection activeCell="A2" sqref="A2"/>
    </sheetView>
  </sheetViews>
  <sheetFormatPr defaultColWidth="9.00390625" defaultRowHeight="20.25" customHeight="1"/>
  <cols>
    <col min="1" max="1" width="12.125" style="303" customWidth="1"/>
    <col min="2" max="2" width="11.875" style="303" bestFit="1" customWidth="1"/>
    <col min="3" max="3" width="3.125" style="303" customWidth="1"/>
    <col min="4" max="4" width="6.75390625" style="303" bestFit="1" customWidth="1"/>
    <col min="5" max="5" width="10.125" style="303" bestFit="1" customWidth="1"/>
    <col min="6" max="6" width="20.625" style="303" customWidth="1"/>
    <col min="7" max="7" width="7.625" style="303" customWidth="1"/>
    <col min="8" max="9" width="4.875" style="303" customWidth="1"/>
    <col min="10" max="10" width="5.25390625" style="303" customWidth="1"/>
    <col min="11" max="12" width="4.875" style="303" customWidth="1"/>
    <col min="13" max="13" width="7.625" style="303" customWidth="1"/>
    <col min="14" max="14" width="20.625" style="303" customWidth="1"/>
    <col min="15" max="15" width="5.00390625" style="303" bestFit="1" customWidth="1"/>
    <col min="16" max="16" width="12.125" style="303" customWidth="1"/>
    <col min="17" max="17" width="11.875" style="303" bestFit="1" customWidth="1"/>
    <col min="18" max="18" width="3.125" style="303" customWidth="1"/>
    <col min="19" max="19" width="6.75390625" style="303" bestFit="1" customWidth="1"/>
    <col min="20" max="20" width="10.125" style="303" bestFit="1" customWidth="1"/>
    <col min="21" max="21" width="20.625" style="303" customWidth="1"/>
    <col min="22" max="22" width="7.625" style="303" customWidth="1"/>
    <col min="23" max="24" width="4.875" style="303" customWidth="1"/>
    <col min="25" max="25" width="5.25390625" style="303" customWidth="1"/>
    <col min="26" max="27" width="4.875" style="303" customWidth="1"/>
    <col min="28" max="28" width="7.625" style="303" customWidth="1"/>
    <col min="29" max="29" width="20.625" style="303" customWidth="1"/>
    <col min="30" max="16384" width="9.00390625" style="303" customWidth="1"/>
  </cols>
  <sheetData>
    <row r="1" spans="1:29" s="304" customFormat="1" ht="20.25" customHeight="1">
      <c r="A1" s="779" t="str">
        <f>'大会要項'!$B$3</f>
        <v>第11回 全日本不動産協会杯争奪U-12サッカー大会【ラビットカップ】大分県大会</v>
      </c>
      <c r="B1" s="779"/>
      <c r="C1" s="779"/>
      <c r="D1" s="779"/>
      <c r="E1" s="779"/>
      <c r="F1" s="779"/>
      <c r="G1" s="779"/>
      <c r="H1" s="779"/>
      <c r="I1" s="779"/>
      <c r="J1" s="779"/>
      <c r="K1" s="779" t="s">
        <v>545</v>
      </c>
      <c r="L1" s="779"/>
      <c r="M1" s="779"/>
      <c r="N1" s="779"/>
      <c r="O1" s="305"/>
      <c r="P1" s="779" t="str">
        <f>'大会要項'!$B$3</f>
        <v>第11回 全日本不動産協会杯争奪U-12サッカー大会【ラビットカップ】大分県大会</v>
      </c>
      <c r="Q1" s="779"/>
      <c r="R1" s="779"/>
      <c r="S1" s="779"/>
      <c r="T1" s="779"/>
      <c r="U1" s="779"/>
      <c r="V1" s="779"/>
      <c r="W1" s="779"/>
      <c r="X1" s="779"/>
      <c r="Y1" s="779"/>
      <c r="Z1" s="779" t="s">
        <v>545</v>
      </c>
      <c r="AA1" s="779"/>
      <c r="AB1" s="779"/>
      <c r="AC1" s="779"/>
    </row>
    <row r="2" spans="16:29" ht="20.25" customHeight="1">
      <c r="P2" s="306"/>
      <c r="Q2" s="306"/>
      <c r="R2" s="306"/>
      <c r="S2" s="306"/>
      <c r="T2" s="306"/>
      <c r="U2" s="306"/>
      <c r="V2" s="306"/>
      <c r="W2" s="306"/>
      <c r="X2" s="306"/>
      <c r="Y2" s="306"/>
      <c r="Z2" s="306"/>
      <c r="AA2" s="306"/>
      <c r="AB2" s="306"/>
      <c r="AC2" s="306"/>
    </row>
    <row r="3" spans="1:29" ht="20.25" customHeight="1">
      <c r="A3" s="303" t="s">
        <v>64</v>
      </c>
      <c r="B3" s="780" t="str">
        <f>'予選リーグ'!C14</f>
        <v>昭和電工ｻｯｶｰ･ﾗｸﾞﾋﾞｰ場　Bｺｰﾄ</v>
      </c>
      <c r="C3" s="780"/>
      <c r="D3" s="780"/>
      <c r="E3" s="780"/>
      <c r="F3" s="307" t="str">
        <f>'予選リーグ'!F15</f>
        <v>「北」コート</v>
      </c>
      <c r="H3" s="307"/>
      <c r="I3" s="307"/>
      <c r="J3" s="307"/>
      <c r="K3" s="307"/>
      <c r="L3" s="307"/>
      <c r="P3" s="303" t="s">
        <v>64</v>
      </c>
      <c r="Q3" s="780" t="str">
        <f>'予選リーグ'!C14</f>
        <v>昭和電工ｻｯｶｰ･ﾗｸﾞﾋﾞｰ場　Bｺｰﾄ</v>
      </c>
      <c r="R3" s="780"/>
      <c r="S3" s="780"/>
      <c r="T3" s="780"/>
      <c r="U3" s="342" t="str">
        <f>'予選リーグ'!F15</f>
        <v>「北」コート</v>
      </c>
      <c r="W3" s="308"/>
      <c r="X3" s="308"/>
      <c r="Y3" s="308"/>
      <c r="Z3" s="308"/>
      <c r="AA3" s="308"/>
      <c r="AB3" s="308"/>
      <c r="AC3" s="308"/>
    </row>
    <row r="4" spans="16:29" ht="20.25" customHeight="1">
      <c r="P4" s="306"/>
      <c r="Q4" s="306"/>
      <c r="R4" s="306"/>
      <c r="S4" s="306"/>
      <c r="T4" s="306"/>
      <c r="U4" s="306"/>
      <c r="V4" s="306"/>
      <c r="W4" s="306"/>
      <c r="X4" s="306"/>
      <c r="Y4" s="306"/>
      <c r="Z4" s="306"/>
      <c r="AA4" s="306"/>
      <c r="AB4" s="306"/>
      <c r="AC4" s="306"/>
    </row>
    <row r="5" spans="5:29" ht="20.25" customHeight="1">
      <c r="E5" s="309" t="s">
        <v>462</v>
      </c>
      <c r="F5" s="781" t="str">
        <f>VLOOKUP(E5,'組合せ抽選用'!$Q:$U,5,FALSE)</f>
        <v>ＦＣ中津ジュニア</v>
      </c>
      <c r="G5" s="781"/>
      <c r="H5" s="781"/>
      <c r="I5" s="781"/>
      <c r="J5" s="781"/>
      <c r="K5" s="781"/>
      <c r="L5" s="781"/>
      <c r="M5" s="781" t="str">
        <f>VLOOKUP(E5,'組合せ抽選用'!$Q:$V,6,FALSE)</f>
        <v>中津</v>
      </c>
      <c r="N5" s="782"/>
      <c r="R5" s="306"/>
      <c r="S5" s="306"/>
      <c r="T5" s="309" t="s">
        <v>458</v>
      </c>
      <c r="U5" s="781" t="str">
        <f>VLOOKUP(T5,'組合せ抽選用'!$Q:$U,5,FALSE)</f>
        <v>中津沖代ジュニアサッカークラブ</v>
      </c>
      <c r="V5" s="781"/>
      <c r="W5" s="781"/>
      <c r="X5" s="781"/>
      <c r="Y5" s="781"/>
      <c r="Z5" s="781"/>
      <c r="AA5" s="781"/>
      <c r="AB5" s="781" t="str">
        <f>VLOOKUP(T5,'組合せ抽選用'!$Q:$V,6,FALSE)</f>
        <v>中津</v>
      </c>
      <c r="AC5" s="782"/>
    </row>
    <row r="6" spans="5:29" ht="20.25" customHeight="1">
      <c r="E6" s="310" t="s">
        <v>431</v>
      </c>
      <c r="F6" s="775" t="str">
        <f>VLOOKUP(E6,'組合せ抽選用'!$Q:$U,5,FALSE)</f>
        <v>北郡坂ノ市サッカースポーツ少年団</v>
      </c>
      <c r="G6" s="775"/>
      <c r="H6" s="775"/>
      <c r="I6" s="775"/>
      <c r="J6" s="775"/>
      <c r="K6" s="775"/>
      <c r="L6" s="775"/>
      <c r="M6" s="775" t="str">
        <f>VLOOKUP(E6,'組合せ抽選用'!$Q:$V,6,FALSE)</f>
        <v>大分</v>
      </c>
      <c r="N6" s="776"/>
      <c r="P6" s="306"/>
      <c r="Q6" s="306"/>
      <c r="R6" s="306"/>
      <c r="S6" s="306"/>
      <c r="T6" s="310" t="s">
        <v>435</v>
      </c>
      <c r="U6" s="775" t="str">
        <f>VLOOKUP(T6,'組合せ抽選用'!$Q:$U,5,FALSE)</f>
        <v>ＫＩＮＧＳ　ＦＯＯＴＢＡＬＬＣＬＵＢ　Ｕ－１２</v>
      </c>
      <c r="V6" s="775"/>
      <c r="W6" s="775"/>
      <c r="X6" s="775"/>
      <c r="Y6" s="775"/>
      <c r="Z6" s="775"/>
      <c r="AA6" s="775"/>
      <c r="AB6" s="775" t="str">
        <f>VLOOKUP(T6,'組合せ抽選用'!$Q:$V,6,FALSE)</f>
        <v>大分</v>
      </c>
      <c r="AC6" s="776"/>
    </row>
    <row r="7" spans="5:29" ht="20.25" customHeight="1">
      <c r="E7" s="311" t="s">
        <v>448</v>
      </c>
      <c r="F7" s="777" t="str">
        <f>VLOOKUP(E7,'組合せ抽選用'!$Q:$U,5,FALSE)</f>
        <v>日岡サッカースポーツ少年団</v>
      </c>
      <c r="G7" s="777"/>
      <c r="H7" s="777"/>
      <c r="I7" s="777"/>
      <c r="J7" s="777"/>
      <c r="K7" s="777"/>
      <c r="L7" s="777"/>
      <c r="M7" s="777" t="str">
        <f>VLOOKUP(E7,'組合せ抽選用'!$Q:$V,6,FALSE)</f>
        <v>大分</v>
      </c>
      <c r="N7" s="778"/>
      <c r="P7" s="306"/>
      <c r="Q7" s="306"/>
      <c r="R7" s="306"/>
      <c r="S7" s="306"/>
      <c r="T7" s="311" t="s">
        <v>465</v>
      </c>
      <c r="U7" s="777" t="str">
        <f>VLOOKUP(T7,'組合せ抽選用'!$Q:$U,5,FALSE)</f>
        <v>鶴岡Ｓ―ｐｌａｙ・ＭＩＮＡＭＩ</v>
      </c>
      <c r="V7" s="777"/>
      <c r="W7" s="777"/>
      <c r="X7" s="777"/>
      <c r="Y7" s="777"/>
      <c r="Z7" s="777"/>
      <c r="AA7" s="777"/>
      <c r="AB7" s="777" t="str">
        <f>VLOOKUP(T7,'組合せ抽選用'!$Q:$V,6,FALSE)</f>
        <v>佐伯</v>
      </c>
      <c r="AC7" s="778"/>
    </row>
    <row r="8" spans="16:29" ht="20.25" customHeight="1">
      <c r="P8" s="306"/>
      <c r="Q8" s="306"/>
      <c r="R8" s="306"/>
      <c r="S8" s="306"/>
      <c r="T8" s="306"/>
      <c r="U8" s="306"/>
      <c r="V8" s="306"/>
      <c r="W8" s="306"/>
      <c r="X8" s="306"/>
      <c r="Y8" s="306"/>
      <c r="Z8" s="306"/>
      <c r="AA8" s="306"/>
      <c r="AB8" s="306"/>
      <c r="AC8" s="306"/>
    </row>
    <row r="10" spans="1:29" ht="27.4" customHeight="1">
      <c r="A10" s="312" t="s">
        <v>546</v>
      </c>
      <c r="B10" s="772" t="s">
        <v>571</v>
      </c>
      <c r="C10" s="773"/>
      <c r="D10" s="774"/>
      <c r="E10" s="756">
        <v>0.4375</v>
      </c>
      <c r="F10" s="759" t="str">
        <f>F5</f>
        <v>ＦＣ中津ジュニア</v>
      </c>
      <c r="G10" s="762">
        <f>SUM(I10:I11)</f>
        <v>2</v>
      </c>
      <c r="H10" s="765" t="s">
        <v>294</v>
      </c>
      <c r="I10" s="313">
        <v>0</v>
      </c>
      <c r="J10" s="313" t="s">
        <v>548</v>
      </c>
      <c r="K10" s="313">
        <v>1</v>
      </c>
      <c r="L10" s="765" t="s">
        <v>549</v>
      </c>
      <c r="M10" s="762">
        <f>SUM(K10:K11)</f>
        <v>1</v>
      </c>
      <c r="N10" s="768" t="str">
        <f>F6</f>
        <v>北郡坂ノ市サッカースポーツ少年団</v>
      </c>
      <c r="P10" s="312" t="s">
        <v>546</v>
      </c>
      <c r="Q10" s="772" t="s">
        <v>572</v>
      </c>
      <c r="R10" s="773"/>
      <c r="S10" s="774"/>
      <c r="T10" s="756">
        <v>0.4791666666666667</v>
      </c>
      <c r="U10" s="759" t="str">
        <f>U5</f>
        <v>中津沖代ジュニアサッカークラブ</v>
      </c>
      <c r="V10" s="762">
        <f>SUM(X10:X11)</f>
        <v>1</v>
      </c>
      <c r="W10" s="765" t="s">
        <v>294</v>
      </c>
      <c r="X10" s="313">
        <v>1</v>
      </c>
      <c r="Y10" s="313" t="s">
        <v>548</v>
      </c>
      <c r="Z10" s="313">
        <v>0</v>
      </c>
      <c r="AA10" s="765" t="s">
        <v>549</v>
      </c>
      <c r="AB10" s="762">
        <f>SUM(Z10:Z11)</f>
        <v>1</v>
      </c>
      <c r="AC10" s="768" t="str">
        <f>U6</f>
        <v>ＫＩＮＧＳ　ＦＯＯＴＢＡＬＬＣＬＵＢ　Ｕ－１２</v>
      </c>
    </row>
    <row r="11" spans="1:29" ht="27.4" customHeight="1">
      <c r="A11" s="314" t="s">
        <v>551</v>
      </c>
      <c r="B11" s="771" t="s">
        <v>16</v>
      </c>
      <c r="C11" s="771"/>
      <c r="D11" s="772"/>
      <c r="E11" s="757"/>
      <c r="F11" s="760"/>
      <c r="G11" s="763"/>
      <c r="H11" s="766"/>
      <c r="I11" s="303">
        <v>2</v>
      </c>
      <c r="J11" s="303" t="s">
        <v>552</v>
      </c>
      <c r="K11" s="303">
        <v>0</v>
      </c>
      <c r="L11" s="766"/>
      <c r="M11" s="763"/>
      <c r="N11" s="769"/>
      <c r="P11" s="314" t="s">
        <v>551</v>
      </c>
      <c r="Q11" s="771" t="s">
        <v>16</v>
      </c>
      <c r="R11" s="771"/>
      <c r="S11" s="772"/>
      <c r="T11" s="757"/>
      <c r="U11" s="760"/>
      <c r="V11" s="763"/>
      <c r="W11" s="766"/>
      <c r="X11" s="303">
        <v>0</v>
      </c>
      <c r="Y11" s="303" t="s">
        <v>552</v>
      </c>
      <c r="Z11" s="303">
        <v>1</v>
      </c>
      <c r="AA11" s="766"/>
      <c r="AB11" s="763"/>
      <c r="AC11" s="769"/>
    </row>
    <row r="12" spans="1:29" ht="27.4" customHeight="1">
      <c r="A12" s="314" t="s">
        <v>553</v>
      </c>
      <c r="B12" s="771" t="s">
        <v>573</v>
      </c>
      <c r="C12" s="771"/>
      <c r="D12" s="772"/>
      <c r="E12" s="758"/>
      <c r="F12" s="761"/>
      <c r="G12" s="764"/>
      <c r="H12" s="767"/>
      <c r="I12" s="315"/>
      <c r="J12" s="315" t="s">
        <v>555</v>
      </c>
      <c r="K12" s="315"/>
      <c r="L12" s="767"/>
      <c r="M12" s="764"/>
      <c r="N12" s="770"/>
      <c r="P12" s="314" t="s">
        <v>553</v>
      </c>
      <c r="Q12" s="771" t="s">
        <v>571</v>
      </c>
      <c r="R12" s="771"/>
      <c r="S12" s="772"/>
      <c r="T12" s="758"/>
      <c r="U12" s="761"/>
      <c r="V12" s="764"/>
      <c r="W12" s="767"/>
      <c r="X12" s="315"/>
      <c r="Y12" s="315" t="s">
        <v>555</v>
      </c>
      <c r="Z12" s="315"/>
      <c r="AA12" s="767"/>
      <c r="AB12" s="764"/>
      <c r="AC12" s="770"/>
    </row>
    <row r="13" spans="1:29" ht="20.25" customHeight="1">
      <c r="A13" s="754" t="s">
        <v>556</v>
      </c>
      <c r="B13" s="754"/>
      <c r="C13" s="754"/>
      <c r="D13" s="754"/>
      <c r="E13" s="316"/>
      <c r="F13" s="317" t="s">
        <v>418</v>
      </c>
      <c r="G13" s="317" t="s">
        <v>557</v>
      </c>
      <c r="H13" s="317" t="s">
        <v>524</v>
      </c>
      <c r="I13" s="317"/>
      <c r="J13" s="318"/>
      <c r="K13" s="317"/>
      <c r="L13" s="317" t="s">
        <v>524</v>
      </c>
      <c r="M13" s="317" t="s">
        <v>557</v>
      </c>
      <c r="N13" s="319" t="s">
        <v>418</v>
      </c>
      <c r="P13" s="754" t="s">
        <v>556</v>
      </c>
      <c r="Q13" s="754"/>
      <c r="R13" s="754"/>
      <c r="S13" s="755"/>
      <c r="T13" s="316"/>
      <c r="U13" s="317" t="s">
        <v>418</v>
      </c>
      <c r="V13" s="317" t="s">
        <v>557</v>
      </c>
      <c r="W13" s="317" t="s">
        <v>524</v>
      </c>
      <c r="X13" s="317"/>
      <c r="Y13" s="318"/>
      <c r="Z13" s="317"/>
      <c r="AA13" s="317" t="s">
        <v>524</v>
      </c>
      <c r="AB13" s="317" t="s">
        <v>557</v>
      </c>
      <c r="AC13" s="319" t="s">
        <v>418</v>
      </c>
    </row>
    <row r="14" spans="5:29" ht="20.25" customHeight="1" hidden="1">
      <c r="E14" s="320" t="s">
        <v>558</v>
      </c>
      <c r="F14" s="321" t="str">
        <f>IF(ISERROR(VLOOKUP(CONCATENATE($F$10,"_",G14),'選手名簿'!$A:$E,5,FALSE))=TRUE,"",VLOOKUP(CONCATENATE($F$10,"_",G14),'選手名簿'!$A:$E,5,FALSE))</f>
        <v/>
      </c>
      <c r="G14" s="322"/>
      <c r="H14" s="322"/>
      <c r="I14" s="322"/>
      <c r="J14" s="323"/>
      <c r="K14" s="322"/>
      <c r="L14" s="322"/>
      <c r="M14" s="322"/>
      <c r="N14" s="324" t="str">
        <f>IF(ISERROR(VLOOKUP(CONCATENATE($N$10,"_",M14),'選手名簿'!$A:$E,5,FALSE))=TRUE,"",VLOOKUP(CONCATENATE($N$10,"_",M14),'選手名簿'!$A:$E,5,FALSE))</f>
        <v/>
      </c>
      <c r="T14" s="320" t="s">
        <v>558</v>
      </c>
      <c r="U14" s="321" t="str">
        <f>IF(ISERROR(VLOOKUP(CONCATENATE($U$10,"_",V14),'選手名簿'!$A:$E,5,FALSE))=TRUE,"",VLOOKUP(CONCATENATE($U$10,"_",V14),'選手名簿'!$A:$E,5,FALSE))</f>
        <v/>
      </c>
      <c r="V14" s="322"/>
      <c r="W14" s="322"/>
      <c r="X14" s="322"/>
      <c r="Y14" s="323"/>
      <c r="Z14" s="322"/>
      <c r="AA14" s="322"/>
      <c r="AB14" s="322"/>
      <c r="AC14" s="324" t="str">
        <f>IF(ISERROR(VLOOKUP(CONCATENATE($AC$10,"_",AB14),'選手名簿'!$A:$E,5,FALSE))=TRUE,"",VLOOKUP(CONCATENATE($AC$10,"_",AB14),'選手名簿'!$A:$E,5,FALSE))</f>
        <v/>
      </c>
    </row>
    <row r="15" spans="5:29" ht="20.25" customHeight="1" hidden="1">
      <c r="E15" s="320" t="s">
        <v>558</v>
      </c>
      <c r="F15" s="321" t="str">
        <f>IF(ISERROR(VLOOKUP(CONCATENATE($F$10,"_",G15),'選手名簿'!$A:$E,5,FALSE))=TRUE,"",VLOOKUP(CONCATENATE($F$10,"_",G15),'選手名簿'!$A:$E,5,FALSE))</f>
        <v/>
      </c>
      <c r="G15" s="322"/>
      <c r="H15" s="322"/>
      <c r="I15" s="322"/>
      <c r="J15" s="323"/>
      <c r="K15" s="322"/>
      <c r="L15" s="322"/>
      <c r="M15" s="322"/>
      <c r="N15" s="324" t="str">
        <f>IF(ISERROR(VLOOKUP(CONCATENATE($N$10,"_",M15),'選手名簿'!$A:$E,5,FALSE))=TRUE,"",VLOOKUP(CONCATENATE($N$10,"_",M15),'選手名簿'!$A:$E,5,FALSE))</f>
        <v/>
      </c>
      <c r="T15" s="320" t="s">
        <v>558</v>
      </c>
      <c r="U15" s="321" t="str">
        <f>IF(ISERROR(VLOOKUP(CONCATENATE($U$10,"_",V15),'選手名簿'!$A:$E,5,FALSE))=TRUE,"",VLOOKUP(CONCATENATE($U$10,"_",V15),'選手名簿'!$A:$E,5,FALSE))</f>
        <v/>
      </c>
      <c r="V15" s="322"/>
      <c r="W15" s="322"/>
      <c r="X15" s="322"/>
      <c r="Y15" s="323"/>
      <c r="Z15" s="322"/>
      <c r="AA15" s="322"/>
      <c r="AB15" s="322"/>
      <c r="AC15" s="324" t="str">
        <f>IF(ISERROR(VLOOKUP(CONCATENATE($AC$10,"_",AB15),'選手名簿'!$A:$E,5,FALSE))=TRUE,"",VLOOKUP(CONCATENATE($AC$10,"_",AB15),'選手名簿'!$A:$E,5,FALSE))</f>
        <v/>
      </c>
    </row>
    <row r="16" spans="5:29" ht="20.25" customHeight="1" hidden="1">
      <c r="E16" s="320" t="s">
        <v>558</v>
      </c>
      <c r="F16" s="321" t="str">
        <f>IF(ISERROR(VLOOKUP(CONCATENATE($F$10,"_",G16),'選手名簿'!$A:$E,5,FALSE))=TRUE,"",VLOOKUP(CONCATENATE($F$10,"_",G16),'選手名簿'!$A:$E,5,FALSE))</f>
        <v/>
      </c>
      <c r="G16" s="322"/>
      <c r="H16" s="322"/>
      <c r="I16" s="322"/>
      <c r="J16" s="323"/>
      <c r="K16" s="322"/>
      <c r="L16" s="322"/>
      <c r="M16" s="322"/>
      <c r="N16" s="324" t="str">
        <f>IF(ISERROR(VLOOKUP(CONCATENATE($N$10,"_",M16),'選手名簿'!$A:$E,5,FALSE))=TRUE,"",VLOOKUP(CONCATENATE($N$10,"_",M16),'選手名簿'!$A:$E,5,FALSE))</f>
        <v/>
      </c>
      <c r="T16" s="320" t="s">
        <v>558</v>
      </c>
      <c r="U16" s="321" t="str">
        <f>IF(ISERROR(VLOOKUP(CONCATENATE($U$10,"_",V16),'選手名簿'!$A:$E,5,FALSE))=TRUE,"",VLOOKUP(CONCATENATE($U$10,"_",V16),'選手名簿'!$A:$E,5,FALSE))</f>
        <v/>
      </c>
      <c r="V16" s="322"/>
      <c r="W16" s="322"/>
      <c r="X16" s="322"/>
      <c r="Y16" s="323"/>
      <c r="Z16" s="322"/>
      <c r="AA16" s="322"/>
      <c r="AB16" s="322"/>
      <c r="AC16" s="324" t="str">
        <f>IF(ISERROR(VLOOKUP(CONCATENATE($AC$10,"_",AB16),'選手名簿'!$A:$E,5,FALSE))=TRUE,"",VLOOKUP(CONCATENATE($AC$10,"_",AB16),'選手名簿'!$A:$E,5,FALSE))</f>
        <v/>
      </c>
    </row>
    <row r="17" spans="5:29" ht="20.25" customHeight="1" hidden="1">
      <c r="E17" s="320" t="s">
        <v>558</v>
      </c>
      <c r="F17" s="321" t="str">
        <f>IF(ISERROR(VLOOKUP(CONCATENATE($F$10,"_",G17),'選手名簿'!$A:$E,5,FALSE))=TRUE,"",VLOOKUP(CONCATENATE($F$10,"_",G17),'選手名簿'!$A:$E,5,FALSE))</f>
        <v/>
      </c>
      <c r="G17" s="322"/>
      <c r="H17" s="322"/>
      <c r="I17" s="322"/>
      <c r="J17" s="323"/>
      <c r="K17" s="322"/>
      <c r="L17" s="322"/>
      <c r="M17" s="322"/>
      <c r="N17" s="324" t="str">
        <f>IF(ISERROR(VLOOKUP(CONCATENATE($N$10,"_",M17),'選手名簿'!$A:$E,5,FALSE))=TRUE,"",VLOOKUP(CONCATENATE($N$10,"_",M17),'選手名簿'!$A:$E,5,FALSE))</f>
        <v/>
      </c>
      <c r="T17" s="320" t="s">
        <v>558</v>
      </c>
      <c r="U17" s="321" t="str">
        <f>IF(ISERROR(VLOOKUP(CONCATENATE($U$10,"_",V17),'選手名簿'!$A:$E,5,FALSE))=TRUE,"",VLOOKUP(CONCATENATE($U$10,"_",V17),'選手名簿'!$A:$E,5,FALSE))</f>
        <v/>
      </c>
      <c r="V17" s="322"/>
      <c r="W17" s="322"/>
      <c r="X17" s="322"/>
      <c r="Y17" s="323"/>
      <c r="Z17" s="322"/>
      <c r="AA17" s="322"/>
      <c r="AB17" s="322"/>
      <c r="AC17" s="324" t="str">
        <f>IF(ISERROR(VLOOKUP(CONCATENATE($AC$10,"_",AB17),'選手名簿'!$A:$E,5,FALSE))=TRUE,"",VLOOKUP(CONCATENATE($AC$10,"_",AB17),'選手名簿'!$A:$E,5,FALSE))</f>
        <v/>
      </c>
    </row>
    <row r="18" spans="5:29" ht="20.25" customHeight="1" hidden="1">
      <c r="E18" s="320" t="s">
        <v>558</v>
      </c>
      <c r="F18" s="321" t="str">
        <f>IF(ISERROR(VLOOKUP(CONCATENATE($F$10,"_",G18),'選手名簿'!$A:$E,5,FALSE))=TRUE,"",VLOOKUP(CONCATENATE($F$10,"_",G18),'選手名簿'!$A:$E,5,FALSE))</f>
        <v/>
      </c>
      <c r="G18" s="322"/>
      <c r="H18" s="322"/>
      <c r="I18" s="322"/>
      <c r="J18" s="323"/>
      <c r="K18" s="322"/>
      <c r="L18" s="322"/>
      <c r="M18" s="322"/>
      <c r="N18" s="324" t="str">
        <f>IF(ISERROR(VLOOKUP(CONCATENATE($N$10,"_",M18),'選手名簿'!$A:$E,5,FALSE))=TRUE,"",VLOOKUP(CONCATENATE($N$10,"_",M18),'選手名簿'!$A:$E,5,FALSE))</f>
        <v/>
      </c>
      <c r="T18" s="320" t="s">
        <v>558</v>
      </c>
      <c r="U18" s="321" t="str">
        <f>IF(ISERROR(VLOOKUP(CONCATENATE($U$10,"_",V18),'選手名簿'!$A:$E,5,FALSE))=TRUE,"",VLOOKUP(CONCATENATE($U$10,"_",V18),'選手名簿'!$A:$E,5,FALSE))</f>
        <v/>
      </c>
      <c r="V18" s="322"/>
      <c r="W18" s="322"/>
      <c r="X18" s="322"/>
      <c r="Y18" s="323"/>
      <c r="Z18" s="322"/>
      <c r="AA18" s="322"/>
      <c r="AB18" s="322"/>
      <c r="AC18" s="324" t="str">
        <f>IF(ISERROR(VLOOKUP(CONCATENATE($AC$10,"_",AB18),'選手名簿'!$A:$E,5,FALSE))=TRUE,"",VLOOKUP(CONCATENATE($AC$10,"_",AB18),'選手名簿'!$A:$E,5,FALSE))</f>
        <v/>
      </c>
    </row>
    <row r="19" spans="5:29" ht="20.25" customHeight="1" hidden="1">
      <c r="E19" s="320" t="s">
        <v>558</v>
      </c>
      <c r="F19" s="321" t="str">
        <f>IF(ISERROR(VLOOKUP(CONCATENATE($F$10,"_",G19),'選手名簿'!$A:$E,5,FALSE))=TRUE,"",VLOOKUP(CONCATENATE($F$10,"_",G19),'選手名簿'!$A:$E,5,FALSE))</f>
        <v/>
      </c>
      <c r="G19" s="322"/>
      <c r="H19" s="322"/>
      <c r="I19" s="322"/>
      <c r="J19" s="323"/>
      <c r="K19" s="322"/>
      <c r="L19" s="322"/>
      <c r="M19" s="322"/>
      <c r="N19" s="324" t="str">
        <f>IF(ISERROR(VLOOKUP(CONCATENATE($N$10,"_",M19),'選手名簿'!$A:$E,5,FALSE))=TRUE,"",VLOOKUP(CONCATENATE($N$10,"_",M19),'選手名簿'!$A:$E,5,FALSE))</f>
        <v/>
      </c>
      <c r="T19" s="320" t="s">
        <v>558</v>
      </c>
      <c r="U19" s="321" t="str">
        <f>IF(ISERROR(VLOOKUP(CONCATENATE($U$10,"_",V19),'選手名簿'!$A:$E,5,FALSE))=TRUE,"",VLOOKUP(CONCATENATE($U$10,"_",V19),'選手名簿'!$A:$E,5,FALSE))</f>
        <v/>
      </c>
      <c r="V19" s="322"/>
      <c r="W19" s="322"/>
      <c r="X19" s="322"/>
      <c r="Y19" s="323"/>
      <c r="Z19" s="322"/>
      <c r="AA19" s="322"/>
      <c r="AB19" s="322"/>
      <c r="AC19" s="324" t="str">
        <f>IF(ISERROR(VLOOKUP(CONCATENATE($AC$10,"_",AB19),'選手名簿'!$A:$E,5,FALSE))=TRUE,"",VLOOKUP(CONCATENATE($AC$10,"_",AB19),'選手名簿'!$A:$E,5,FALSE))</f>
        <v/>
      </c>
    </row>
    <row r="20" spans="5:29" ht="20.25" customHeight="1" hidden="1">
      <c r="E20" s="320" t="s">
        <v>558</v>
      </c>
      <c r="F20" s="321" t="str">
        <f>IF(ISERROR(VLOOKUP(CONCATENATE($F$10,"_",G20),'選手名簿'!$A:$E,5,FALSE))=TRUE,"",VLOOKUP(CONCATENATE($F$10,"_",G20),'選手名簿'!$A:$E,5,FALSE))</f>
        <v/>
      </c>
      <c r="G20" s="322"/>
      <c r="H20" s="322"/>
      <c r="I20" s="322"/>
      <c r="J20" s="323"/>
      <c r="K20" s="322"/>
      <c r="L20" s="322"/>
      <c r="M20" s="322"/>
      <c r="N20" s="324" t="str">
        <f>IF(ISERROR(VLOOKUP(CONCATENATE($N$10,"_",M20),'選手名簿'!$A:$E,5,FALSE))=TRUE,"",VLOOKUP(CONCATENATE($N$10,"_",M20),'選手名簿'!$A:$E,5,FALSE))</f>
        <v/>
      </c>
      <c r="T20" s="320" t="s">
        <v>558</v>
      </c>
      <c r="U20" s="321" t="str">
        <f>IF(ISERROR(VLOOKUP(CONCATENATE($U$10,"_",V20),'選手名簿'!$A:$E,5,FALSE))=TRUE,"",VLOOKUP(CONCATENATE($U$10,"_",V20),'選手名簿'!$A:$E,5,FALSE))</f>
        <v/>
      </c>
      <c r="V20" s="322"/>
      <c r="W20" s="322"/>
      <c r="X20" s="322"/>
      <c r="Y20" s="323"/>
      <c r="Z20" s="322"/>
      <c r="AA20" s="322"/>
      <c r="AB20" s="322"/>
      <c r="AC20" s="324" t="str">
        <f>IF(ISERROR(VLOOKUP(CONCATENATE($AC$10,"_",AB20),'選手名簿'!$A:$E,5,FALSE))=TRUE,"",VLOOKUP(CONCATENATE($AC$10,"_",AB20),'選手名簿'!$A:$E,5,FALSE))</f>
        <v/>
      </c>
    </row>
    <row r="21" spans="5:29" ht="20.25" customHeight="1" hidden="1">
      <c r="E21" s="320" t="s">
        <v>558</v>
      </c>
      <c r="F21" s="321" t="str">
        <f>IF(ISERROR(VLOOKUP(CONCATENATE($F$10,"_",G21),'選手名簿'!$A:$E,5,FALSE))=TRUE,"",VLOOKUP(CONCATENATE($F$10,"_",G21),'選手名簿'!$A:$E,5,FALSE))</f>
        <v/>
      </c>
      <c r="G21" s="322"/>
      <c r="H21" s="322"/>
      <c r="I21" s="322"/>
      <c r="J21" s="323"/>
      <c r="K21" s="322"/>
      <c r="L21" s="322"/>
      <c r="M21" s="322"/>
      <c r="N21" s="324" t="str">
        <f>IF(ISERROR(VLOOKUP(CONCATENATE($N$10,"_",M21),'選手名簿'!$A:$E,5,FALSE))=TRUE,"",VLOOKUP(CONCATENATE($N$10,"_",M21),'選手名簿'!$A:$E,5,FALSE))</f>
        <v/>
      </c>
      <c r="T21" s="320" t="s">
        <v>558</v>
      </c>
      <c r="U21" s="321" t="str">
        <f>IF(ISERROR(VLOOKUP(CONCATENATE($U$10,"_",V21),'選手名簿'!$A:$E,5,FALSE))=TRUE,"",VLOOKUP(CONCATENATE($U$10,"_",V21),'選手名簿'!$A:$E,5,FALSE))</f>
        <v/>
      </c>
      <c r="V21" s="322"/>
      <c r="W21" s="322"/>
      <c r="X21" s="322"/>
      <c r="Y21" s="323"/>
      <c r="Z21" s="322"/>
      <c r="AA21" s="322"/>
      <c r="AB21" s="322"/>
      <c r="AC21" s="324" t="str">
        <f>IF(ISERROR(VLOOKUP(CONCATENATE($AC$10,"_",AB21),'選手名簿'!$A:$E,5,FALSE))=TRUE,"",VLOOKUP(CONCATENATE($AC$10,"_",AB21),'選手名簿'!$A:$E,5,FALSE))</f>
        <v/>
      </c>
    </row>
    <row r="22" spans="5:29" ht="20.25" customHeight="1" hidden="1">
      <c r="E22" s="320" t="s">
        <v>558</v>
      </c>
      <c r="F22" s="321" t="str">
        <f>IF(ISERROR(VLOOKUP(CONCATENATE($F$10,"_",G22),'選手名簿'!$A:$E,5,FALSE))=TRUE,"",VLOOKUP(CONCATENATE($F$10,"_",G22),'選手名簿'!$A:$E,5,FALSE))</f>
        <v/>
      </c>
      <c r="G22" s="322"/>
      <c r="H22" s="322"/>
      <c r="I22" s="322"/>
      <c r="J22" s="323"/>
      <c r="K22" s="322"/>
      <c r="L22" s="322"/>
      <c r="M22" s="322"/>
      <c r="N22" s="324" t="str">
        <f>IF(ISERROR(VLOOKUP(CONCATENATE($N$10,"_",M22),'選手名簿'!$A:$E,5,FALSE))=TRUE,"",VLOOKUP(CONCATENATE($N$10,"_",M22),'選手名簿'!$A:$E,5,FALSE))</f>
        <v/>
      </c>
      <c r="T22" s="320" t="s">
        <v>558</v>
      </c>
      <c r="U22" s="321" t="str">
        <f>IF(ISERROR(VLOOKUP(CONCATENATE($U$10,"_",V22),'選手名簿'!$A:$E,5,FALSE))=TRUE,"",VLOOKUP(CONCATENATE($U$10,"_",V22),'選手名簿'!$A:$E,5,FALSE))</f>
        <v/>
      </c>
      <c r="V22" s="322"/>
      <c r="W22" s="322"/>
      <c r="X22" s="322"/>
      <c r="Y22" s="323"/>
      <c r="Z22" s="322"/>
      <c r="AA22" s="322"/>
      <c r="AB22" s="322"/>
      <c r="AC22" s="324" t="str">
        <f>IF(ISERROR(VLOOKUP(CONCATENATE($AC$10,"_",AB22),'選手名簿'!$A:$E,5,FALSE))=TRUE,"",VLOOKUP(CONCATENATE($AC$10,"_",AB22),'選手名簿'!$A:$E,5,FALSE))</f>
        <v/>
      </c>
    </row>
    <row r="23" spans="5:29" ht="20.25" customHeight="1" hidden="1">
      <c r="E23" s="325" t="s">
        <v>558</v>
      </c>
      <c r="F23" s="326" t="str">
        <f>IF(ISERROR(VLOOKUP(CONCATENATE($F$10,"_",G23),'選手名簿'!$A:$E,5,FALSE))=TRUE,"",VLOOKUP(CONCATENATE($F$10,"_",G23),'選手名簿'!$A:$E,5,FALSE))</f>
        <v/>
      </c>
      <c r="G23" s="327"/>
      <c r="H23" s="327"/>
      <c r="I23" s="327"/>
      <c r="J23" s="328"/>
      <c r="K23" s="327"/>
      <c r="L23" s="327"/>
      <c r="M23" s="327"/>
      <c r="N23" s="329" t="str">
        <f>IF(ISERROR(VLOOKUP(CONCATENATE($N$10,"_",M23),'選手名簿'!$A:$E,5,FALSE))=TRUE,"",VLOOKUP(CONCATENATE($N$10,"_",M23),'選手名簿'!$A:$E,5,FALSE))</f>
        <v/>
      </c>
      <c r="T23" s="325" t="s">
        <v>558</v>
      </c>
      <c r="U23" s="326" t="str">
        <f>IF(ISERROR(VLOOKUP(CONCATENATE($U$10,"_",V23),'選手名簿'!$A:$E,5,FALSE))=TRUE,"",VLOOKUP(CONCATENATE($U$10,"_",V23),'選手名簿'!$A:$E,5,FALSE))</f>
        <v/>
      </c>
      <c r="V23" s="327"/>
      <c r="W23" s="327"/>
      <c r="X23" s="327"/>
      <c r="Y23" s="328"/>
      <c r="Z23" s="327"/>
      <c r="AA23" s="327"/>
      <c r="AB23" s="327"/>
      <c r="AC23" s="329" t="str">
        <f>IF(ISERROR(VLOOKUP(CONCATENATE($AC$10,"_",AB23),'選手名簿'!$A:$E,5,FALSE))=TRUE,"",VLOOKUP(CONCATENATE($AC$10,"_",AB23),'選手名簿'!$A:$E,5,FALSE))</f>
        <v/>
      </c>
    </row>
    <row r="24" spans="1:29" ht="20.25" customHeight="1">
      <c r="A24" s="330" t="s">
        <v>557</v>
      </c>
      <c r="B24" s="783" t="s">
        <v>574</v>
      </c>
      <c r="C24" s="750"/>
      <c r="D24" s="750"/>
      <c r="E24" s="320" t="s">
        <v>421</v>
      </c>
      <c r="F24" s="321" t="str">
        <f>IF(ISERROR(VLOOKUP(CONCATENATE($F$10,"_",G24),'選手名簿'!$A:$E,5,FALSE))=TRUE,"",VLOOKUP(CONCATENATE($F$10,"_",G24),'選手名簿'!$A:$E,5,FALSE))</f>
        <v/>
      </c>
      <c r="G24" s="322"/>
      <c r="H24" s="322"/>
      <c r="I24" s="322"/>
      <c r="J24" s="323"/>
      <c r="K24" s="343" t="s">
        <v>422</v>
      </c>
      <c r="L24" s="322">
        <v>30</v>
      </c>
      <c r="M24" s="322">
        <v>9</v>
      </c>
      <c r="N24" s="324" t="str">
        <f>IF(ISERROR(VLOOKUP(CONCATENATE($N$10,"_",M24),'選手名簿'!$A:$E,5,FALSE))=TRUE,"",VLOOKUP(CONCATENATE($N$10,"_",M24),'選手名簿'!$A:$E,5,FALSE))</f>
        <v>安部　煌大</v>
      </c>
      <c r="P24" s="330" t="s">
        <v>557</v>
      </c>
      <c r="Q24" s="750" t="s">
        <v>575</v>
      </c>
      <c r="R24" s="750"/>
      <c r="S24" s="751"/>
      <c r="T24" s="320" t="s">
        <v>419</v>
      </c>
      <c r="U24" s="321" t="str">
        <f>IF(ISERROR(VLOOKUP(CONCATENATE($U$10,"_",V24),'選手名簿'!$A:$E,5,FALSE))=TRUE,"",VLOOKUP(CONCATENATE($U$10,"_",V24),'選手名簿'!$A:$E,5,FALSE))</f>
        <v/>
      </c>
      <c r="V24" s="322"/>
      <c r="W24" s="322"/>
      <c r="X24" s="322"/>
      <c r="Y24" s="323"/>
      <c r="Z24" s="322"/>
      <c r="AA24" s="322"/>
      <c r="AB24" s="322"/>
      <c r="AC24" s="324" t="str">
        <f>IF(ISERROR(VLOOKUP(CONCATENATE($AC$10,"_",AB24),'選手名簿'!$A:$E,5,FALSE))=TRUE,"",VLOOKUP(CONCATENATE($AC$10,"_",AB24),'選手名簿'!$A:$E,5,FALSE))</f>
        <v/>
      </c>
    </row>
    <row r="25" spans="1:29" ht="20.25" customHeight="1">
      <c r="A25" s="331" t="s">
        <v>177</v>
      </c>
      <c r="B25" s="752" t="str">
        <f>IF(ISERROR(VLOOKUP(B24,'審判員'!$A:$C,2,FALSE))=TRUE,"",VLOOKUP(B24,'審判員'!$A:$C,2,FALSE))</f>
        <v>寺次　良生</v>
      </c>
      <c r="C25" s="753"/>
      <c r="D25" s="332" t="str">
        <f>IF(ISERROR(VLOOKUP(B24,'審判員'!$A:$C,3,FALSE))=TRUE,"",VLOOKUP(B24,'審判員'!$A:$C,3,FALSE))</f>
        <v>３級</v>
      </c>
      <c r="E25" s="333" t="s">
        <v>419</v>
      </c>
      <c r="F25" s="334" t="str">
        <f>IF(ISERROR(VLOOKUP(CONCATENATE($F$10,"_",G25),'選手名簿'!$A:$E,5,FALSE))=TRUE,"",VLOOKUP(CONCATENATE($F$10,"_",G25),'選手名簿'!$A:$E,5,FALSE))</f>
        <v/>
      </c>
      <c r="G25" s="335"/>
      <c r="H25" s="335"/>
      <c r="I25" s="335"/>
      <c r="J25" s="323"/>
      <c r="K25" s="335"/>
      <c r="L25" s="335"/>
      <c r="M25" s="335"/>
      <c r="N25" s="336" t="str">
        <f>IF(ISERROR(VLOOKUP(CONCATENATE($N$10,"_",M25),'選手名簿'!$A:$E,5,FALSE))=TRUE,"",VLOOKUP(CONCATENATE($N$10,"_",M25),'選手名簿'!$A:$E,5,FALSE))</f>
        <v/>
      </c>
      <c r="P25" s="331" t="s">
        <v>177</v>
      </c>
      <c r="Q25" s="752" t="str">
        <f>IF(ISERROR(VLOOKUP(Q24,'審判員'!$A:$C,2,FALSE))=TRUE,"",VLOOKUP(Q24,'審判員'!$A:$C,2,FALSE))</f>
        <v>吐合　直樹</v>
      </c>
      <c r="R25" s="753"/>
      <c r="S25" s="331" t="str">
        <f>IF(ISERROR(VLOOKUP(Q24,'審判員'!$A:$C,3,FALSE))=TRUE,"",VLOOKUP(Q24,'審判員'!$A:$C,3,FALSE))</f>
        <v>３級</v>
      </c>
      <c r="T25" s="333" t="s">
        <v>419</v>
      </c>
      <c r="U25" s="334" t="str">
        <f>IF(ISERROR(VLOOKUP(CONCATENATE($U$10,"_",V25),'選手名簿'!$A:$E,5,FALSE))=TRUE,"",VLOOKUP(CONCATENATE($U$10,"_",V25),'選手名簿'!$A:$E,5,FALSE))</f>
        <v/>
      </c>
      <c r="V25" s="335"/>
      <c r="W25" s="335"/>
      <c r="X25" s="335"/>
      <c r="Y25" s="323"/>
      <c r="Z25" s="335"/>
      <c r="AA25" s="335"/>
      <c r="AB25" s="335"/>
      <c r="AC25" s="336" t="str">
        <f>IF(ISERROR(VLOOKUP(CONCATENATE($AC$10,"_",AB25),'選手名簿'!$A:$E,5,FALSE))=TRUE,"",VLOOKUP(CONCATENATE($AC$10,"_",AB25),'選手名簿'!$A:$E,5,FALSE))</f>
        <v/>
      </c>
    </row>
    <row r="26" spans="1:32" ht="20.25" customHeight="1">
      <c r="A26" s="330" t="s">
        <v>557</v>
      </c>
      <c r="B26" s="750" t="s">
        <v>576</v>
      </c>
      <c r="C26" s="750"/>
      <c r="D26" s="750"/>
      <c r="E26" s="333" t="s">
        <v>419</v>
      </c>
      <c r="F26" s="334" t="str">
        <f>IF(ISERROR(VLOOKUP(CONCATENATE($F$10,"_",G26),'選手名簿'!$A:$E,5,FALSE))=TRUE,"",VLOOKUP(CONCATENATE($F$10,"_",G26),'選手名簿'!$A:$E,5,FALSE))</f>
        <v/>
      </c>
      <c r="G26" s="335"/>
      <c r="H26" s="335"/>
      <c r="I26" s="335"/>
      <c r="J26" s="323"/>
      <c r="K26" s="335"/>
      <c r="L26" s="335"/>
      <c r="M26" s="335"/>
      <c r="N26" s="336" t="str">
        <f>IF(ISERROR(VLOOKUP(CONCATENATE($N$10,"_",M26),'選手名簿'!$A:$E,5,FALSE))=TRUE,"",VLOOKUP(CONCATENATE($N$10,"_",M26),'選手名簿'!$A:$E,5,FALSE))</f>
        <v/>
      </c>
      <c r="P26" s="330" t="s">
        <v>557</v>
      </c>
      <c r="Q26" s="750" t="s">
        <v>577</v>
      </c>
      <c r="R26" s="750"/>
      <c r="S26" s="751"/>
      <c r="T26" s="333" t="s">
        <v>419</v>
      </c>
      <c r="U26" s="334" t="str">
        <f>IF(ISERROR(VLOOKUP(CONCATENATE($U$10,"_",V26),'選手名簿'!$A:$E,5,FALSE))=TRUE,"",VLOOKUP(CONCATENATE($U$10,"_",V26),'選手名簿'!$A:$E,5,FALSE))</f>
        <v/>
      </c>
      <c r="V26" s="335"/>
      <c r="W26" s="335"/>
      <c r="X26" s="335"/>
      <c r="Y26" s="323"/>
      <c r="Z26" s="335"/>
      <c r="AA26" s="335"/>
      <c r="AB26" s="335"/>
      <c r="AC26" s="336" t="str">
        <f>IF(ISERROR(VLOOKUP(CONCATENATE($AC$10,"_",AB26),'選手名簿'!$A:$E,5,FALSE))=TRUE,"",VLOOKUP(CONCATENATE($AC$10,"_",AB26),'選手名簿'!$A:$E,5,FALSE))</f>
        <v/>
      </c>
      <c r="AF26" s="307"/>
    </row>
    <row r="27" spans="1:29" ht="20.25" customHeight="1">
      <c r="A27" s="331" t="s">
        <v>563</v>
      </c>
      <c r="B27" s="752" t="str">
        <f>IF(ISERROR(VLOOKUP(B26,'審判員'!$A:$C,2,FALSE))=TRUE,"",VLOOKUP(B26,'審判員'!$A:$C,2,FALSE))</f>
        <v>江藤　雅章</v>
      </c>
      <c r="C27" s="753"/>
      <c r="D27" s="332" t="str">
        <f>IF(ISERROR(VLOOKUP(B26,'審判員'!$A:$C,3,FALSE))=TRUE,"",VLOOKUP(B26,'審判員'!$A:$C,3,FALSE))</f>
        <v>３級</v>
      </c>
      <c r="E27" s="333" t="s">
        <v>419</v>
      </c>
      <c r="F27" s="334" t="str">
        <f>IF(ISERROR(VLOOKUP(CONCATENATE($F$10,"_",G27),'選手名簿'!$A:$E,5,FALSE))=TRUE,"",VLOOKUP(CONCATENATE($F$10,"_",G27),'選手名簿'!$A:$E,5,FALSE))</f>
        <v/>
      </c>
      <c r="G27" s="335"/>
      <c r="H27" s="335"/>
      <c r="I27" s="335"/>
      <c r="J27" s="323"/>
      <c r="K27" s="335"/>
      <c r="L27" s="335"/>
      <c r="M27" s="335"/>
      <c r="N27" s="336" t="str">
        <f>IF(ISERROR(VLOOKUP(CONCATENATE($N$10,"_",M27),'選手名簿'!$A:$E,5,FALSE))=TRUE,"",VLOOKUP(CONCATENATE($N$10,"_",M27),'選手名簿'!$A:$E,5,FALSE))</f>
        <v/>
      </c>
      <c r="P27" s="331" t="s">
        <v>563</v>
      </c>
      <c r="Q27" s="752" t="str">
        <f>IF(ISERROR(VLOOKUP(Q26,'審判員'!$A:$C,2,FALSE))=TRUE,"",VLOOKUP(Q26,'審判員'!$A:$C,2,FALSE))</f>
        <v>山本　貴志</v>
      </c>
      <c r="R27" s="753"/>
      <c r="S27" s="331" t="str">
        <f>IF(ISERROR(VLOOKUP(Q26,'審判員'!$A:$C,3,FALSE))=TRUE,"",VLOOKUP(Q26,'審判員'!$A:$C,3,FALSE))</f>
        <v>３級</v>
      </c>
      <c r="T27" s="333" t="s">
        <v>419</v>
      </c>
      <c r="U27" s="334" t="str">
        <f>IF(ISERROR(VLOOKUP(CONCATENATE($U$10,"_",V27),'選手名簿'!$A:$E,5,FALSE))=TRUE,"",VLOOKUP(CONCATENATE($U$10,"_",V27),'選手名簿'!$A:$E,5,FALSE))</f>
        <v/>
      </c>
      <c r="V27" s="335"/>
      <c r="W27" s="335"/>
      <c r="X27" s="335"/>
      <c r="Y27" s="323"/>
      <c r="Z27" s="335"/>
      <c r="AA27" s="335"/>
      <c r="AB27" s="335"/>
      <c r="AC27" s="336" t="str">
        <f>IF(ISERROR(VLOOKUP(CONCATENATE($AC$10,"_",AB27),'選手名簿'!$A:$E,5,FALSE))=TRUE,"",VLOOKUP(CONCATENATE($AC$10,"_",AB27),'選手名簿'!$A:$E,5,FALSE))</f>
        <v/>
      </c>
    </row>
    <row r="28" spans="1:29" ht="20.25" customHeight="1">
      <c r="A28" s="330" t="s">
        <v>557</v>
      </c>
      <c r="B28" s="750" t="s">
        <v>578</v>
      </c>
      <c r="C28" s="750"/>
      <c r="D28" s="750"/>
      <c r="E28" s="333" t="s">
        <v>419</v>
      </c>
      <c r="F28" s="334" t="str">
        <f>IF(ISERROR(VLOOKUP(CONCATENATE($F$10,"_",G28),'選手名簿'!$A:$E,5,FALSE))=TRUE,"",VLOOKUP(CONCATENATE($F$10,"_",G28),'選手名簿'!$A:$E,5,FALSE))</f>
        <v/>
      </c>
      <c r="G28" s="335"/>
      <c r="H28" s="335"/>
      <c r="I28" s="335"/>
      <c r="J28" s="323"/>
      <c r="K28" s="335"/>
      <c r="L28" s="335"/>
      <c r="M28" s="335"/>
      <c r="N28" s="336" t="str">
        <f>IF(ISERROR(VLOOKUP(CONCATENATE($N$10,"_",M28),'選手名簿'!$A:$E,5,FALSE))=TRUE,"",VLOOKUP(CONCATENATE($N$10,"_",M28),'選手名簿'!$A:$E,5,FALSE))</f>
        <v/>
      </c>
      <c r="P28" s="330" t="s">
        <v>557</v>
      </c>
      <c r="Q28" s="750" t="s">
        <v>579</v>
      </c>
      <c r="R28" s="750"/>
      <c r="S28" s="751"/>
      <c r="T28" s="333" t="s">
        <v>419</v>
      </c>
      <c r="U28" s="334" t="str">
        <f>IF(ISERROR(VLOOKUP(CONCATENATE($U$10,"_",V28),'選手名簿'!$A:$E,5,FALSE))=TRUE,"",VLOOKUP(CONCATENATE($U$10,"_",V28),'選手名簿'!$A:$E,5,FALSE))</f>
        <v/>
      </c>
      <c r="V28" s="335"/>
      <c r="W28" s="335"/>
      <c r="X28" s="335"/>
      <c r="Y28" s="323"/>
      <c r="Z28" s="335"/>
      <c r="AA28" s="335"/>
      <c r="AB28" s="335"/>
      <c r="AC28" s="336" t="str">
        <f>IF(ISERROR(VLOOKUP(CONCATENATE($AC$10,"_",AB28),'選手名簿'!$A:$E,5,FALSE))=TRUE,"",VLOOKUP(CONCATENATE($AC$10,"_",AB28),'選手名簿'!$A:$E,5,FALSE))</f>
        <v/>
      </c>
    </row>
    <row r="29" spans="1:29" ht="20.25" customHeight="1">
      <c r="A29" s="331" t="s">
        <v>566</v>
      </c>
      <c r="B29" s="752" t="str">
        <f>IF(ISERROR(VLOOKUP(B28,'審判員'!$A:$C,2,FALSE))=TRUE,"",VLOOKUP(B28,'審判員'!$A:$C,2,FALSE))</f>
        <v>田中　靖之</v>
      </c>
      <c r="C29" s="753"/>
      <c r="D29" s="332" t="str">
        <f>IF(ISERROR(VLOOKUP(B28,'審判員'!$A:$C,3,FALSE))=TRUE,"",VLOOKUP(B28,'審判員'!$A:$C,3,FALSE))</f>
        <v>３級</v>
      </c>
      <c r="E29" s="333" t="s">
        <v>419</v>
      </c>
      <c r="F29" s="334" t="str">
        <f>IF(ISERROR(VLOOKUP(CONCATENATE($F$10,"_",G29),'選手名簿'!$A:$E,5,FALSE))=TRUE,"",VLOOKUP(CONCATENATE($F$10,"_",G29),'選手名簿'!$A:$E,5,FALSE))</f>
        <v/>
      </c>
      <c r="G29" s="335"/>
      <c r="H29" s="335"/>
      <c r="I29" s="335"/>
      <c r="J29" s="323"/>
      <c r="K29" s="335"/>
      <c r="L29" s="335"/>
      <c r="M29" s="335"/>
      <c r="N29" s="336" t="str">
        <f>IF(ISERROR(VLOOKUP(CONCATENATE($N$10,"_",M29),'選手名簿'!$A:$E,5,FALSE))=TRUE,"",VLOOKUP(CONCATENATE($N$10,"_",M29),'選手名簿'!$A:$E,5,FALSE))</f>
        <v/>
      </c>
      <c r="P29" s="331" t="s">
        <v>566</v>
      </c>
      <c r="Q29" s="752" t="str">
        <f>IF(ISERROR(VLOOKUP(Q28,'審判員'!$A:$C,2,FALSE))=TRUE,"",VLOOKUP(Q28,'審判員'!$A:$C,2,FALSE))</f>
        <v>後藤　滉稀</v>
      </c>
      <c r="R29" s="753"/>
      <c r="S29" s="331" t="str">
        <f>IF(ISERROR(VLOOKUP(Q28,'審判員'!$A:$C,3,FALSE))=TRUE,"",VLOOKUP(Q28,'審判員'!$A:$C,3,FALSE))</f>
        <v>３級</v>
      </c>
      <c r="T29" s="333" t="s">
        <v>419</v>
      </c>
      <c r="U29" s="334" t="str">
        <f>IF(ISERROR(VLOOKUP(CONCATENATE($U$10,"_",V29),'選手名簿'!$A:$E,5,FALSE))=TRUE,"",VLOOKUP(CONCATENATE($U$10,"_",V29),'選手名簿'!$A:$E,5,FALSE))</f>
        <v/>
      </c>
      <c r="V29" s="335"/>
      <c r="W29" s="335"/>
      <c r="X29" s="335"/>
      <c r="Y29" s="323"/>
      <c r="Z29" s="335"/>
      <c r="AA29" s="335"/>
      <c r="AB29" s="335"/>
      <c r="AC29" s="336" t="str">
        <f>IF(ISERROR(VLOOKUP(CONCATENATE($AC$10,"_",AB29),'選手名簿'!$A:$E,5,FALSE))=TRUE,"",VLOOKUP(CONCATENATE($AC$10,"_",AB29),'選手名簿'!$A:$E,5,FALSE))</f>
        <v/>
      </c>
    </row>
    <row r="30" spans="1:29" ht="20.25" customHeight="1">
      <c r="A30" s="330" t="s">
        <v>557</v>
      </c>
      <c r="B30" s="750" t="s">
        <v>575</v>
      </c>
      <c r="C30" s="750"/>
      <c r="D30" s="750"/>
      <c r="E30" s="333" t="s">
        <v>419</v>
      </c>
      <c r="F30" s="334" t="str">
        <f>IF(ISERROR(VLOOKUP(CONCATENATE($F$10,"_",G30),'選手名簿'!$A:$E,5,FALSE))=TRUE,"",VLOOKUP(CONCATENATE($F$10,"_",G30),'選手名簿'!$A:$E,5,FALSE))</f>
        <v/>
      </c>
      <c r="G30" s="335"/>
      <c r="H30" s="335"/>
      <c r="I30" s="335"/>
      <c r="J30" s="323"/>
      <c r="K30" s="335"/>
      <c r="L30" s="335"/>
      <c r="M30" s="335"/>
      <c r="N30" s="336" t="str">
        <f>IF(ISERROR(VLOOKUP(CONCATENATE($N$10,"_",M30),'選手名簿'!$A:$E,5,FALSE))=TRUE,"",VLOOKUP(CONCATENATE($N$10,"_",M30),'選手名簿'!$A:$E,5,FALSE))</f>
        <v/>
      </c>
      <c r="P30" s="330" t="s">
        <v>557</v>
      </c>
      <c r="Q30" s="750" t="s">
        <v>580</v>
      </c>
      <c r="R30" s="750"/>
      <c r="S30" s="751"/>
      <c r="T30" s="333" t="s">
        <v>419</v>
      </c>
      <c r="U30" s="334" t="str">
        <f>IF(ISERROR(VLOOKUP(CONCATENATE($U$10,"_",V30),'選手名簿'!$A:$E,5,FALSE))=TRUE,"",VLOOKUP(CONCATENATE($U$10,"_",V30),'選手名簿'!$A:$E,5,FALSE))</f>
        <v/>
      </c>
      <c r="V30" s="335"/>
      <c r="W30" s="335"/>
      <c r="X30" s="335"/>
      <c r="Y30" s="323"/>
      <c r="Z30" s="335"/>
      <c r="AA30" s="335"/>
      <c r="AB30" s="335"/>
      <c r="AC30" s="336" t="str">
        <f>IF(ISERROR(VLOOKUP(CONCATENATE($AC$10,"_",AB30),'選手名簿'!$A:$E,5,FALSE))=TRUE,"",VLOOKUP(CONCATENATE($AC$10,"_",AB30),'選手名簿'!$A:$E,5,FALSE))</f>
        <v/>
      </c>
    </row>
    <row r="31" spans="1:29" ht="20.25" customHeight="1">
      <c r="A31" s="331" t="s">
        <v>568</v>
      </c>
      <c r="B31" s="752" t="str">
        <f>IF(ISERROR(VLOOKUP(B30,'審判員'!$A:$C,2,FALSE))=TRUE,"",VLOOKUP(B30,'審判員'!$A:$C,2,FALSE))</f>
        <v>吐合　直樹</v>
      </c>
      <c r="C31" s="753"/>
      <c r="D31" s="332" t="str">
        <f>IF(ISERROR(VLOOKUP(B30,'審判員'!$A:$C,3,FALSE))=TRUE,"",VLOOKUP(B30,'審判員'!$A:$C,3,FALSE))</f>
        <v>３級</v>
      </c>
      <c r="E31" s="337" t="s">
        <v>419</v>
      </c>
      <c r="F31" s="338" t="str">
        <f>IF(ISERROR(VLOOKUP(CONCATENATE($F$10,"_",G31),'選手名簿'!$A:$E,5,FALSE))=TRUE,"",VLOOKUP(CONCATENATE($F$10,"_",G31),'選手名簿'!$A:$E,5,FALSE))</f>
        <v/>
      </c>
      <c r="G31" s="339"/>
      <c r="H31" s="339"/>
      <c r="I31" s="339"/>
      <c r="J31" s="328"/>
      <c r="K31" s="339"/>
      <c r="L31" s="339"/>
      <c r="M31" s="339"/>
      <c r="N31" s="340" t="str">
        <f>IF(ISERROR(VLOOKUP(CONCATENATE($N$10,"_",M31),'選手名簿'!$A:$E,5,FALSE))=TRUE,"",VLOOKUP(CONCATENATE($N$10,"_",M31),'選手名簿'!$A:$E,5,FALSE))</f>
        <v/>
      </c>
      <c r="P31" s="331" t="s">
        <v>568</v>
      </c>
      <c r="Q31" s="752" t="str">
        <f>IF(ISERROR(VLOOKUP(Q30,'審判員'!$A:$C,2,FALSE))=TRUE,"",VLOOKUP(Q30,'審判員'!$A:$C,2,FALSE))</f>
        <v>長門　崚太</v>
      </c>
      <c r="R31" s="753"/>
      <c r="S31" s="331" t="str">
        <f>IF(ISERROR(VLOOKUP(Q30,'審判員'!$A:$C,3,FALSE))=TRUE,"",VLOOKUP(Q30,'審判員'!$A:$C,3,FALSE))</f>
        <v>３級</v>
      </c>
      <c r="T31" s="337" t="s">
        <v>419</v>
      </c>
      <c r="U31" s="338" t="str">
        <f>IF(ISERROR(VLOOKUP(CONCATENATE($U$10,"_",V31),'選手名簿'!$A:$E,5,FALSE))=TRUE,"",VLOOKUP(CONCATENATE($U$10,"_",V31),'選手名簿'!$A:$E,5,FALSE))</f>
        <v/>
      </c>
      <c r="V31" s="339"/>
      <c r="W31" s="339"/>
      <c r="X31" s="339"/>
      <c r="Y31" s="328"/>
      <c r="Z31" s="339"/>
      <c r="AA31" s="339"/>
      <c r="AB31" s="339"/>
      <c r="AC31" s="340" t="str">
        <f>IF(ISERROR(VLOOKUP(CONCATENATE($AC$10,"_",AB31),'選手名簿'!$A:$E,5,FALSE))=TRUE,"",VLOOKUP(CONCATENATE($AC$10,"_",AB31),'選手名簿'!$A:$E,5,FALSE))</f>
        <v/>
      </c>
    </row>
    <row r="32" spans="5:20" ht="9.95" customHeight="1">
      <c r="E32" s="341"/>
      <c r="T32" s="341"/>
    </row>
    <row r="33" spans="5:20" ht="9.95" customHeight="1">
      <c r="E33" s="341"/>
      <c r="T33" s="341"/>
    </row>
    <row r="34" ht="9.95" customHeight="1"/>
    <row r="35" ht="9.95" customHeight="1"/>
    <row r="36" ht="9.95" customHeight="1"/>
    <row r="37" ht="9.95" customHeight="1"/>
    <row r="38" spans="5:20" ht="9.95" customHeight="1">
      <c r="E38" s="341"/>
      <c r="T38" s="341"/>
    </row>
    <row r="39" spans="1:29" ht="27.4" customHeight="1">
      <c r="A39" s="312" t="s">
        <v>546</v>
      </c>
      <c r="B39" s="772" t="s">
        <v>573</v>
      </c>
      <c r="C39" s="773"/>
      <c r="D39" s="774"/>
      <c r="E39" s="756">
        <v>0.5208333333333334</v>
      </c>
      <c r="F39" s="759" t="str">
        <f>F6</f>
        <v>北郡坂ノ市サッカースポーツ少年団</v>
      </c>
      <c r="G39" s="762">
        <f>SUM(I39:I40)</f>
        <v>2</v>
      </c>
      <c r="H39" s="765" t="s">
        <v>294</v>
      </c>
      <c r="I39" s="313">
        <v>0</v>
      </c>
      <c r="J39" s="313" t="s">
        <v>548</v>
      </c>
      <c r="K39" s="313">
        <v>0</v>
      </c>
      <c r="L39" s="765" t="s">
        <v>549</v>
      </c>
      <c r="M39" s="762">
        <f>SUM(K39:K40)</f>
        <v>0</v>
      </c>
      <c r="N39" s="768" t="str">
        <f>F7</f>
        <v>日岡サッカースポーツ少年団</v>
      </c>
      <c r="P39" s="312" t="s">
        <v>546</v>
      </c>
      <c r="Q39" s="772" t="s">
        <v>571</v>
      </c>
      <c r="R39" s="773"/>
      <c r="S39" s="774"/>
      <c r="T39" s="756">
        <v>0.5625</v>
      </c>
      <c r="U39" s="759" t="str">
        <f>U6</f>
        <v>ＫＩＮＧＳ　ＦＯＯＴＢＡＬＬＣＬＵＢ　Ｕ－１２</v>
      </c>
      <c r="V39" s="762">
        <f>SUM(X39:X40)</f>
        <v>2</v>
      </c>
      <c r="W39" s="765" t="s">
        <v>294</v>
      </c>
      <c r="X39" s="313">
        <v>1</v>
      </c>
      <c r="Y39" s="313"/>
      <c r="Z39" s="313">
        <v>1</v>
      </c>
      <c r="AA39" s="765" t="s">
        <v>549</v>
      </c>
      <c r="AB39" s="762">
        <f>SUM(Z39:Z40)</f>
        <v>1</v>
      </c>
      <c r="AC39" s="768" t="str">
        <f>U7</f>
        <v>鶴岡Ｓ―ｐｌａｙ・ＭＩＮＡＭＩ</v>
      </c>
    </row>
    <row r="40" spans="1:29" ht="27.4" customHeight="1">
      <c r="A40" s="314" t="s">
        <v>551</v>
      </c>
      <c r="B40" s="771" t="s">
        <v>16</v>
      </c>
      <c r="C40" s="771"/>
      <c r="D40" s="772"/>
      <c r="E40" s="757"/>
      <c r="F40" s="760"/>
      <c r="G40" s="763"/>
      <c r="H40" s="766"/>
      <c r="I40" s="303">
        <v>2</v>
      </c>
      <c r="J40" s="303" t="s">
        <v>552</v>
      </c>
      <c r="K40" s="303">
        <v>0</v>
      </c>
      <c r="L40" s="766"/>
      <c r="M40" s="763"/>
      <c r="N40" s="769"/>
      <c r="P40" s="314" t="s">
        <v>551</v>
      </c>
      <c r="Q40" s="771" t="s">
        <v>16</v>
      </c>
      <c r="R40" s="771"/>
      <c r="S40" s="772"/>
      <c r="T40" s="757"/>
      <c r="U40" s="760"/>
      <c r="V40" s="763"/>
      <c r="W40" s="766"/>
      <c r="X40" s="303">
        <v>1</v>
      </c>
      <c r="Z40" s="303">
        <v>0</v>
      </c>
      <c r="AA40" s="766"/>
      <c r="AB40" s="763"/>
      <c r="AC40" s="769"/>
    </row>
    <row r="41" spans="1:29" ht="27.4" customHeight="1">
      <c r="A41" s="314" t="s">
        <v>553</v>
      </c>
      <c r="B41" s="771" t="s">
        <v>572</v>
      </c>
      <c r="C41" s="771"/>
      <c r="D41" s="772"/>
      <c r="E41" s="758"/>
      <c r="F41" s="761"/>
      <c r="G41" s="764"/>
      <c r="H41" s="767"/>
      <c r="I41" s="315"/>
      <c r="J41" s="315" t="s">
        <v>555</v>
      </c>
      <c r="K41" s="315"/>
      <c r="L41" s="767"/>
      <c r="M41" s="764"/>
      <c r="N41" s="770"/>
      <c r="P41" s="314" t="s">
        <v>553</v>
      </c>
      <c r="Q41" s="771" t="s">
        <v>573</v>
      </c>
      <c r="R41" s="771"/>
      <c r="S41" s="772"/>
      <c r="T41" s="758"/>
      <c r="U41" s="761"/>
      <c r="V41" s="764"/>
      <c r="W41" s="767"/>
      <c r="X41" s="315"/>
      <c r="Y41" s="315" t="s">
        <v>555</v>
      </c>
      <c r="Z41" s="315"/>
      <c r="AA41" s="767"/>
      <c r="AB41" s="764"/>
      <c r="AC41" s="770"/>
    </row>
    <row r="42" spans="1:29" ht="20.25" customHeight="1">
      <c r="A42" s="754" t="s">
        <v>556</v>
      </c>
      <c r="B42" s="754"/>
      <c r="C42" s="754"/>
      <c r="D42" s="755"/>
      <c r="E42" s="316"/>
      <c r="F42" s="317" t="s">
        <v>418</v>
      </c>
      <c r="G42" s="317" t="s">
        <v>557</v>
      </c>
      <c r="H42" s="317" t="s">
        <v>524</v>
      </c>
      <c r="I42" s="317"/>
      <c r="J42" s="318"/>
      <c r="K42" s="317"/>
      <c r="L42" s="317" t="s">
        <v>524</v>
      </c>
      <c r="M42" s="317" t="s">
        <v>557</v>
      </c>
      <c r="N42" s="319" t="s">
        <v>418</v>
      </c>
      <c r="P42" s="754" t="s">
        <v>556</v>
      </c>
      <c r="Q42" s="754"/>
      <c r="R42" s="754"/>
      <c r="S42" s="755"/>
      <c r="T42" s="316"/>
      <c r="U42" s="317" t="s">
        <v>418</v>
      </c>
      <c r="V42" s="317" t="s">
        <v>557</v>
      </c>
      <c r="W42" s="317" t="s">
        <v>524</v>
      </c>
      <c r="X42" s="317"/>
      <c r="Y42" s="318"/>
      <c r="Z42" s="317"/>
      <c r="AA42" s="317" t="s">
        <v>524</v>
      </c>
      <c r="AB42" s="317" t="s">
        <v>557</v>
      </c>
      <c r="AC42" s="319" t="s">
        <v>418</v>
      </c>
    </row>
    <row r="43" spans="5:29" ht="20.25" customHeight="1" hidden="1">
      <c r="E43" s="320" t="s">
        <v>558</v>
      </c>
      <c r="F43" s="321" t="str">
        <f>IF(ISERROR(VLOOKUP(CONCATENATE($F$39,"_",G43),'選手名簿'!$A:$E,5,FALSE))=TRUE,"",VLOOKUP(CONCATENATE($F$39,"_",G43),'選手名簿'!$A:$E,5,FALSE))</f>
        <v/>
      </c>
      <c r="G43" s="322"/>
      <c r="H43" s="322"/>
      <c r="I43" s="322"/>
      <c r="J43" s="323"/>
      <c r="K43" s="322"/>
      <c r="L43" s="322"/>
      <c r="M43" s="322"/>
      <c r="N43" s="324" t="str">
        <f>IF(ISERROR(VLOOKUP(CONCATENATE($N$39,"_",M43),'選手名簿'!$A:$E,5,FALSE))=TRUE,"",VLOOKUP(CONCATENATE($N$39,"_",M43),'選手名簿'!$A:$E,5,FALSE))</f>
        <v/>
      </c>
      <c r="T43" s="320" t="s">
        <v>558</v>
      </c>
      <c r="U43" s="321" t="str">
        <f>IF(ISERROR(VLOOKUP(CONCATENATE($U$39,"_",V43),'選手名簿'!$A:$E,5,FALSE))=TRUE,"",VLOOKUP(CONCATENATE($U$39,"_",V43),'選手名簿'!$A:$E,5,FALSE))</f>
        <v/>
      </c>
      <c r="V43" s="322"/>
      <c r="W43" s="322"/>
      <c r="X43" s="322"/>
      <c r="Y43" s="323"/>
      <c r="Z43" s="322"/>
      <c r="AA43" s="322"/>
      <c r="AB43" s="322"/>
      <c r="AC43" s="324" t="str">
        <f>IF(ISERROR(VLOOKUP(CONCATENATE($AC$39,"_",AB43),'選手名簿'!$A:$E,5,FALSE))=TRUE,"",VLOOKUP(CONCATENATE($AC$39,"_",AB43),'選手名簿'!$A:$E,5,FALSE))</f>
        <v/>
      </c>
    </row>
    <row r="44" spans="5:29" ht="20.25" customHeight="1" hidden="1">
      <c r="E44" s="320" t="s">
        <v>558</v>
      </c>
      <c r="F44" s="321" t="str">
        <f>IF(ISERROR(VLOOKUP(CONCATENATE($F$39,"_",G44),'選手名簿'!$A:$E,5,FALSE))=TRUE,"",VLOOKUP(CONCATENATE($F$39,"_",G44),'選手名簿'!$A:$E,5,FALSE))</f>
        <v/>
      </c>
      <c r="G44" s="322"/>
      <c r="H44" s="322"/>
      <c r="I44" s="322"/>
      <c r="J44" s="323"/>
      <c r="K44" s="322"/>
      <c r="L44" s="322"/>
      <c r="M44" s="322"/>
      <c r="N44" s="324" t="str">
        <f>IF(ISERROR(VLOOKUP(CONCATENATE($N$39,"_",M44),'選手名簿'!$A:$E,5,FALSE))=TRUE,"",VLOOKUP(CONCATENATE($N$39,"_",M44),'選手名簿'!$A:$E,5,FALSE))</f>
        <v/>
      </c>
      <c r="T44" s="320" t="s">
        <v>558</v>
      </c>
      <c r="U44" s="321" t="str">
        <f>IF(ISERROR(VLOOKUP(CONCATENATE($U$39,"_",V44),'選手名簿'!$A:$E,5,FALSE))=TRUE,"",VLOOKUP(CONCATENATE($U$39,"_",V44),'選手名簿'!$A:$E,5,FALSE))</f>
        <v/>
      </c>
      <c r="V44" s="322"/>
      <c r="W44" s="322"/>
      <c r="X44" s="322"/>
      <c r="Y44" s="323"/>
      <c r="Z44" s="322"/>
      <c r="AA44" s="322"/>
      <c r="AB44" s="322"/>
      <c r="AC44" s="324" t="str">
        <f>IF(ISERROR(VLOOKUP(CONCATENATE($AC$39,"_",AB44),'選手名簿'!$A:$E,5,FALSE))=TRUE,"",VLOOKUP(CONCATENATE($AC$39,"_",AB44),'選手名簿'!$A:$E,5,FALSE))</f>
        <v/>
      </c>
    </row>
    <row r="45" spans="5:29" ht="20.25" customHeight="1" hidden="1">
      <c r="E45" s="320" t="s">
        <v>558</v>
      </c>
      <c r="F45" s="321" t="str">
        <f>IF(ISERROR(VLOOKUP(CONCATENATE($F$39,"_",G45),'選手名簿'!$A:$E,5,FALSE))=TRUE,"",VLOOKUP(CONCATENATE($F$39,"_",G45),'選手名簿'!$A:$E,5,FALSE))</f>
        <v/>
      </c>
      <c r="G45" s="322"/>
      <c r="H45" s="322"/>
      <c r="I45" s="322"/>
      <c r="J45" s="323"/>
      <c r="K45" s="322"/>
      <c r="L45" s="322"/>
      <c r="M45" s="322"/>
      <c r="N45" s="324" t="str">
        <f>IF(ISERROR(VLOOKUP(CONCATENATE($N$39,"_",M45),'選手名簿'!$A:$E,5,FALSE))=TRUE,"",VLOOKUP(CONCATENATE($N$39,"_",M45),'選手名簿'!$A:$E,5,FALSE))</f>
        <v/>
      </c>
      <c r="T45" s="320" t="s">
        <v>558</v>
      </c>
      <c r="U45" s="321" t="str">
        <f>IF(ISERROR(VLOOKUP(CONCATENATE($U$39,"_",V45),'選手名簿'!$A:$E,5,FALSE))=TRUE,"",VLOOKUP(CONCATENATE($U$39,"_",V45),'選手名簿'!$A:$E,5,FALSE))</f>
        <v/>
      </c>
      <c r="V45" s="322"/>
      <c r="W45" s="322"/>
      <c r="X45" s="322"/>
      <c r="Y45" s="323"/>
      <c r="Z45" s="322"/>
      <c r="AA45" s="322"/>
      <c r="AB45" s="322"/>
      <c r="AC45" s="324" t="str">
        <f>IF(ISERROR(VLOOKUP(CONCATENATE($AC$39,"_",AB45),'選手名簿'!$A:$E,5,FALSE))=TRUE,"",VLOOKUP(CONCATENATE($AC$39,"_",AB45),'選手名簿'!$A:$E,5,FALSE))</f>
        <v/>
      </c>
    </row>
    <row r="46" spans="5:29" ht="20.25" customHeight="1" hidden="1">
      <c r="E46" s="320" t="s">
        <v>558</v>
      </c>
      <c r="F46" s="321" t="str">
        <f>IF(ISERROR(VLOOKUP(CONCATENATE($F$39,"_",G46),'選手名簿'!$A:$E,5,FALSE))=TRUE,"",VLOOKUP(CONCATENATE($F$39,"_",G46),'選手名簿'!$A:$E,5,FALSE))</f>
        <v/>
      </c>
      <c r="G46" s="322"/>
      <c r="H46" s="322"/>
      <c r="I46" s="322"/>
      <c r="J46" s="323"/>
      <c r="K46" s="322"/>
      <c r="L46" s="322"/>
      <c r="M46" s="322"/>
      <c r="N46" s="324" t="str">
        <f>IF(ISERROR(VLOOKUP(CONCATENATE($N$39,"_",M46),'選手名簿'!$A:$E,5,FALSE))=TRUE,"",VLOOKUP(CONCATENATE($N$39,"_",M46),'選手名簿'!$A:$E,5,FALSE))</f>
        <v/>
      </c>
      <c r="T46" s="320" t="s">
        <v>558</v>
      </c>
      <c r="U46" s="321" t="str">
        <f>IF(ISERROR(VLOOKUP(CONCATENATE($U$39,"_",V46),'選手名簿'!$A:$E,5,FALSE))=TRUE,"",VLOOKUP(CONCATENATE($U$39,"_",V46),'選手名簿'!$A:$E,5,FALSE))</f>
        <v/>
      </c>
      <c r="V46" s="322"/>
      <c r="W46" s="322"/>
      <c r="X46" s="322"/>
      <c r="Y46" s="323"/>
      <c r="Z46" s="322"/>
      <c r="AA46" s="322"/>
      <c r="AB46" s="322"/>
      <c r="AC46" s="324" t="str">
        <f>IF(ISERROR(VLOOKUP(CONCATENATE($AC$39,"_",AB46),'選手名簿'!$A:$E,5,FALSE))=TRUE,"",VLOOKUP(CONCATENATE($AC$39,"_",AB46),'選手名簿'!$A:$E,5,FALSE))</f>
        <v/>
      </c>
    </row>
    <row r="47" spans="5:29" ht="20.25" customHeight="1" hidden="1">
      <c r="E47" s="320" t="s">
        <v>558</v>
      </c>
      <c r="F47" s="321" t="str">
        <f>IF(ISERROR(VLOOKUP(CONCATENATE($F$39,"_",G47),'選手名簿'!$A:$E,5,FALSE))=TRUE,"",VLOOKUP(CONCATENATE($F$39,"_",G47),'選手名簿'!$A:$E,5,FALSE))</f>
        <v/>
      </c>
      <c r="G47" s="322"/>
      <c r="H47" s="322"/>
      <c r="I47" s="322"/>
      <c r="J47" s="323"/>
      <c r="K47" s="322"/>
      <c r="L47" s="322"/>
      <c r="M47" s="322"/>
      <c r="N47" s="324" t="str">
        <f>IF(ISERROR(VLOOKUP(CONCATENATE($N$39,"_",M47),'選手名簿'!$A:$E,5,FALSE))=TRUE,"",VLOOKUP(CONCATENATE($N$39,"_",M47),'選手名簿'!$A:$E,5,FALSE))</f>
        <v/>
      </c>
      <c r="T47" s="320" t="s">
        <v>558</v>
      </c>
      <c r="U47" s="321" t="str">
        <f>IF(ISERROR(VLOOKUP(CONCATENATE($U$39,"_",V47),'選手名簿'!$A:$E,5,FALSE))=TRUE,"",VLOOKUP(CONCATENATE($U$39,"_",V47),'選手名簿'!$A:$E,5,FALSE))</f>
        <v/>
      </c>
      <c r="V47" s="322"/>
      <c r="W47" s="322"/>
      <c r="X47" s="322"/>
      <c r="Y47" s="323"/>
      <c r="Z47" s="322"/>
      <c r="AA47" s="322"/>
      <c r="AB47" s="322"/>
      <c r="AC47" s="324" t="str">
        <f>IF(ISERROR(VLOOKUP(CONCATENATE($AC$39,"_",AB47),'選手名簿'!$A:$E,5,FALSE))=TRUE,"",VLOOKUP(CONCATENATE($AC$39,"_",AB47),'選手名簿'!$A:$E,5,FALSE))</f>
        <v/>
      </c>
    </row>
    <row r="48" spans="5:29" ht="20.25" customHeight="1" hidden="1">
      <c r="E48" s="320" t="s">
        <v>558</v>
      </c>
      <c r="F48" s="321" t="str">
        <f>IF(ISERROR(VLOOKUP(CONCATENATE($F$39,"_",G48),'選手名簿'!$A:$E,5,FALSE))=TRUE,"",VLOOKUP(CONCATENATE($F$39,"_",G48),'選手名簿'!$A:$E,5,FALSE))</f>
        <v/>
      </c>
      <c r="G48" s="322"/>
      <c r="H48" s="322"/>
      <c r="I48" s="322"/>
      <c r="J48" s="323"/>
      <c r="K48" s="322"/>
      <c r="L48" s="322"/>
      <c r="M48" s="322"/>
      <c r="N48" s="324" t="str">
        <f>IF(ISERROR(VLOOKUP(CONCATENATE($N$39,"_",M48),'選手名簿'!$A:$E,5,FALSE))=TRUE,"",VLOOKUP(CONCATENATE($N$39,"_",M48),'選手名簿'!$A:$E,5,FALSE))</f>
        <v/>
      </c>
      <c r="T48" s="320" t="s">
        <v>558</v>
      </c>
      <c r="U48" s="321" t="str">
        <f>IF(ISERROR(VLOOKUP(CONCATENATE($U$39,"_",V48),'選手名簿'!$A:$E,5,FALSE))=TRUE,"",VLOOKUP(CONCATENATE($U$39,"_",V48),'選手名簿'!$A:$E,5,FALSE))</f>
        <v/>
      </c>
      <c r="V48" s="322"/>
      <c r="W48" s="322"/>
      <c r="X48" s="322"/>
      <c r="Y48" s="323"/>
      <c r="Z48" s="322"/>
      <c r="AA48" s="322"/>
      <c r="AB48" s="322"/>
      <c r="AC48" s="324" t="str">
        <f>IF(ISERROR(VLOOKUP(CONCATENATE($AC$39,"_",AB48),'選手名簿'!$A:$E,5,FALSE))=TRUE,"",VLOOKUP(CONCATENATE($AC$39,"_",AB48),'選手名簿'!$A:$E,5,FALSE))</f>
        <v/>
      </c>
    </row>
    <row r="49" spans="5:29" ht="20.25" customHeight="1" hidden="1">
      <c r="E49" s="320" t="s">
        <v>558</v>
      </c>
      <c r="F49" s="321" t="str">
        <f>IF(ISERROR(VLOOKUP(CONCATENATE($F$39,"_",G49),'選手名簿'!$A:$E,5,FALSE))=TRUE,"",VLOOKUP(CONCATENATE($F$39,"_",G49),'選手名簿'!$A:$E,5,FALSE))</f>
        <v/>
      </c>
      <c r="G49" s="322"/>
      <c r="H49" s="322"/>
      <c r="I49" s="322"/>
      <c r="J49" s="323"/>
      <c r="K49" s="322"/>
      <c r="L49" s="322"/>
      <c r="M49" s="322"/>
      <c r="N49" s="324" t="str">
        <f>IF(ISERROR(VLOOKUP(CONCATENATE($N$39,"_",M49),'選手名簿'!$A:$E,5,FALSE))=TRUE,"",VLOOKUP(CONCATENATE($N$39,"_",M49),'選手名簿'!$A:$E,5,FALSE))</f>
        <v/>
      </c>
      <c r="T49" s="320" t="s">
        <v>558</v>
      </c>
      <c r="U49" s="321" t="str">
        <f>IF(ISERROR(VLOOKUP(CONCATENATE($U$39,"_",V49),'選手名簿'!$A:$E,5,FALSE))=TRUE,"",VLOOKUP(CONCATENATE($U$39,"_",V49),'選手名簿'!$A:$E,5,FALSE))</f>
        <v/>
      </c>
      <c r="V49" s="322"/>
      <c r="W49" s="322"/>
      <c r="X49" s="322"/>
      <c r="Y49" s="323"/>
      <c r="Z49" s="322"/>
      <c r="AA49" s="322"/>
      <c r="AB49" s="322"/>
      <c r="AC49" s="324" t="str">
        <f>IF(ISERROR(VLOOKUP(CONCATENATE($AC$39,"_",AB49),'選手名簿'!$A:$E,5,FALSE))=TRUE,"",VLOOKUP(CONCATENATE($AC$39,"_",AB49),'選手名簿'!$A:$E,5,FALSE))</f>
        <v/>
      </c>
    </row>
    <row r="50" spans="5:29" ht="20.25" customHeight="1" hidden="1">
      <c r="E50" s="320" t="s">
        <v>558</v>
      </c>
      <c r="F50" s="321" t="str">
        <f>IF(ISERROR(VLOOKUP(CONCATENATE($F$39,"_",G50),'選手名簿'!$A:$E,5,FALSE))=TRUE,"",VLOOKUP(CONCATENATE($F$39,"_",G50),'選手名簿'!$A:$E,5,FALSE))</f>
        <v/>
      </c>
      <c r="G50" s="322"/>
      <c r="H50" s="322"/>
      <c r="I50" s="322"/>
      <c r="J50" s="323"/>
      <c r="K50" s="322"/>
      <c r="L50" s="322"/>
      <c r="M50" s="322"/>
      <c r="N50" s="324" t="str">
        <f>IF(ISERROR(VLOOKUP(CONCATENATE($N$39,"_",M50),'選手名簿'!$A:$E,5,FALSE))=TRUE,"",VLOOKUP(CONCATENATE($N$39,"_",M50),'選手名簿'!$A:$E,5,FALSE))</f>
        <v/>
      </c>
      <c r="T50" s="320" t="s">
        <v>558</v>
      </c>
      <c r="U50" s="321" t="str">
        <f>IF(ISERROR(VLOOKUP(CONCATENATE($U$39,"_",V50),'選手名簿'!$A:$E,5,FALSE))=TRUE,"",VLOOKUP(CONCATENATE($U$39,"_",V50),'選手名簿'!$A:$E,5,FALSE))</f>
        <v/>
      </c>
      <c r="V50" s="322"/>
      <c r="W50" s="322"/>
      <c r="X50" s="322"/>
      <c r="Y50" s="323"/>
      <c r="Z50" s="322"/>
      <c r="AA50" s="322"/>
      <c r="AB50" s="322"/>
      <c r="AC50" s="324" t="str">
        <f>IF(ISERROR(VLOOKUP(CONCATENATE($AC$39,"_",AB50),'選手名簿'!$A:$E,5,FALSE))=TRUE,"",VLOOKUP(CONCATENATE($AC$39,"_",AB50),'選手名簿'!$A:$E,5,FALSE))</f>
        <v/>
      </c>
    </row>
    <row r="51" spans="5:29" ht="20.25" customHeight="1" hidden="1">
      <c r="E51" s="320" t="s">
        <v>558</v>
      </c>
      <c r="F51" s="321" t="str">
        <f>IF(ISERROR(VLOOKUP(CONCATENATE($F$39,"_",G51),'選手名簿'!$A:$E,5,FALSE))=TRUE,"",VLOOKUP(CONCATENATE($F$39,"_",G51),'選手名簿'!$A:$E,5,FALSE))</f>
        <v/>
      </c>
      <c r="G51" s="322"/>
      <c r="H51" s="322"/>
      <c r="I51" s="322"/>
      <c r="J51" s="323"/>
      <c r="K51" s="322"/>
      <c r="L51" s="322"/>
      <c r="M51" s="322"/>
      <c r="N51" s="324" t="str">
        <f>IF(ISERROR(VLOOKUP(CONCATENATE($N$39,"_",M51),'選手名簿'!$A:$E,5,FALSE))=TRUE,"",VLOOKUP(CONCATENATE($N$39,"_",M51),'選手名簿'!$A:$E,5,FALSE))</f>
        <v/>
      </c>
      <c r="T51" s="320" t="s">
        <v>558</v>
      </c>
      <c r="U51" s="321" t="str">
        <f>IF(ISERROR(VLOOKUP(CONCATENATE($U$39,"_",V51),'選手名簿'!$A:$E,5,FALSE))=TRUE,"",VLOOKUP(CONCATENATE($U$39,"_",V51),'選手名簿'!$A:$E,5,FALSE))</f>
        <v/>
      </c>
      <c r="V51" s="322"/>
      <c r="W51" s="322"/>
      <c r="X51" s="322"/>
      <c r="Y51" s="323"/>
      <c r="Z51" s="322"/>
      <c r="AA51" s="322"/>
      <c r="AB51" s="322"/>
      <c r="AC51" s="324" t="str">
        <f>IF(ISERROR(VLOOKUP(CONCATENATE($AC$39,"_",AB51),'選手名簿'!$A:$E,5,FALSE))=TRUE,"",VLOOKUP(CONCATENATE($AC$39,"_",AB51),'選手名簿'!$A:$E,5,FALSE))</f>
        <v/>
      </c>
    </row>
    <row r="52" spans="5:29" ht="20.25" customHeight="1" hidden="1">
      <c r="E52" s="325" t="s">
        <v>558</v>
      </c>
      <c r="F52" s="326" t="str">
        <f>IF(ISERROR(VLOOKUP(CONCATENATE($F$39,"_",G52),'選手名簿'!$A:$E,5,FALSE))=TRUE,"",VLOOKUP(CONCATENATE($F$39,"_",G52),'選手名簿'!$A:$E,5,FALSE))</f>
        <v/>
      </c>
      <c r="G52" s="327"/>
      <c r="H52" s="327"/>
      <c r="I52" s="327"/>
      <c r="J52" s="328"/>
      <c r="K52" s="327"/>
      <c r="L52" s="327"/>
      <c r="M52" s="327"/>
      <c r="N52" s="329" t="str">
        <f>IF(ISERROR(VLOOKUP(CONCATENATE($N$39,"_",M52),'選手名簿'!$A:$E,5,FALSE))=TRUE,"",VLOOKUP(CONCATENATE($N$39,"_",M52),'選手名簿'!$A:$E,5,FALSE))</f>
        <v/>
      </c>
      <c r="T52" s="325" t="s">
        <v>558</v>
      </c>
      <c r="U52" s="326" t="str">
        <f>IF(ISERROR(VLOOKUP(CONCATENATE($U$39,"_",V52),'選手名簿'!$A:$E,5,FALSE))=TRUE,"",VLOOKUP(CONCATENATE($U$39,"_",V52),'選手名簿'!$A:$E,5,FALSE))</f>
        <v/>
      </c>
      <c r="V52" s="327"/>
      <c r="W52" s="327"/>
      <c r="X52" s="327"/>
      <c r="Y52" s="328"/>
      <c r="Z52" s="327"/>
      <c r="AA52" s="327"/>
      <c r="AB52" s="327"/>
      <c r="AC52" s="329" t="str">
        <f>IF(ISERROR(VLOOKUP(CONCATENATE($AC$39,"_",AB52),'選手名簿'!$A:$E,5,FALSE))=TRUE,"",VLOOKUP(CONCATENATE($AC$39,"_",AB52),'選手名簿'!$A:$E,5,FALSE))</f>
        <v/>
      </c>
    </row>
    <row r="53" spans="1:29" ht="20.25" customHeight="1">
      <c r="A53" s="330" t="s">
        <v>557</v>
      </c>
      <c r="B53" s="750" t="s">
        <v>580</v>
      </c>
      <c r="C53" s="750"/>
      <c r="D53" s="751"/>
      <c r="E53" s="320" t="s">
        <v>419</v>
      </c>
      <c r="F53" s="321" t="str">
        <f>IF(ISERROR(VLOOKUP(CONCATENATE($F$39,"_",G53),'選手名簿'!$A:$E,5,FALSE))=TRUE,"",VLOOKUP(CONCATENATE($F$39,"_",G53),'選手名簿'!$A:$E,5,FALSE))</f>
        <v/>
      </c>
      <c r="G53" s="322"/>
      <c r="H53" s="322"/>
      <c r="I53" s="322"/>
      <c r="J53" s="323"/>
      <c r="K53" s="322"/>
      <c r="L53" s="322"/>
      <c r="M53" s="322"/>
      <c r="N53" s="324" t="str">
        <f>IF(ISERROR(VLOOKUP(CONCATENATE($N$39,"_",M53),'選手名簿'!$A:$E,5,FALSE))=TRUE,"",VLOOKUP(CONCATENATE($N$39,"_",M53),'選手名簿'!$A:$E,5,FALSE))</f>
        <v/>
      </c>
      <c r="P53" s="330" t="s">
        <v>557</v>
      </c>
      <c r="Q53" s="750" t="s">
        <v>574</v>
      </c>
      <c r="R53" s="750"/>
      <c r="S53" s="751"/>
      <c r="T53" s="320" t="s">
        <v>419</v>
      </c>
      <c r="U53" s="321" t="str">
        <f>IF(ISERROR(VLOOKUP(CONCATENATE($U$39,"_",V53),'選手名簿'!$A:$E,5,FALSE))=TRUE,"",VLOOKUP(CONCATENATE($U$39,"_",V53),'選手名簿'!$A:$E,5,FALSE))</f>
        <v/>
      </c>
      <c r="V53" s="322"/>
      <c r="W53" s="322"/>
      <c r="X53" s="322"/>
      <c r="Y53" s="323"/>
      <c r="Z53" s="322"/>
      <c r="AA53" s="322"/>
      <c r="AB53" s="322"/>
      <c r="AC53" s="324" t="str">
        <f>IF(ISERROR(VLOOKUP(CONCATENATE($AC$39,"_",AB53),'選手名簿'!$A:$E,5,FALSE))=TRUE,"",VLOOKUP(CONCATENATE($AC$39,"_",AB53),'選手名簿'!$A:$E,5,FALSE))</f>
        <v/>
      </c>
    </row>
    <row r="54" spans="1:29" ht="20.25" customHeight="1">
      <c r="A54" s="331" t="s">
        <v>177</v>
      </c>
      <c r="B54" s="752" t="str">
        <f>IF(ISERROR(VLOOKUP(B53,'審判員'!$A:$C,2,FALSE))=TRUE,"",VLOOKUP(B53,'審判員'!$A:$C,2,FALSE))</f>
        <v>長門　崚太</v>
      </c>
      <c r="C54" s="753"/>
      <c r="D54" s="331" t="str">
        <f>IF(ISERROR(VLOOKUP(B53,'審判員'!$A:$C,3,FALSE))=TRUE,"",VLOOKUP(B53,'審判員'!$A:$C,3,FALSE))</f>
        <v>３級</v>
      </c>
      <c r="E54" s="333" t="s">
        <v>419</v>
      </c>
      <c r="F54" s="334" t="str">
        <f>IF(ISERROR(VLOOKUP(CONCATENATE($F$39,"_",G54),'選手名簿'!$A:$E,5,FALSE))=TRUE,"",VLOOKUP(CONCATENATE($F$39,"_",G54),'選手名簿'!$A:$E,5,FALSE))</f>
        <v/>
      </c>
      <c r="G54" s="335"/>
      <c r="H54" s="335"/>
      <c r="I54" s="335"/>
      <c r="J54" s="323"/>
      <c r="K54" s="335"/>
      <c r="L54" s="335"/>
      <c r="M54" s="335"/>
      <c r="N54" s="336" t="str">
        <f>IF(ISERROR(VLOOKUP(CONCATENATE($N$39,"_",M54),'選手名簿'!$A:$E,5,FALSE))=TRUE,"",VLOOKUP(CONCATENATE($N$39,"_",M54),'選手名簿'!$A:$E,5,FALSE))</f>
        <v/>
      </c>
      <c r="P54" s="331" t="s">
        <v>177</v>
      </c>
      <c r="Q54" s="752" t="str">
        <f>IF(ISERROR(VLOOKUP(Q53,'審判員'!$A:$C,2,FALSE))=TRUE,"",VLOOKUP(Q53,'審判員'!$A:$C,2,FALSE))</f>
        <v>寺次　良生</v>
      </c>
      <c r="R54" s="753"/>
      <c r="S54" s="331" t="str">
        <f>IF(ISERROR(VLOOKUP(Q53,'審判員'!$A:$C,3,FALSE))=TRUE,"",VLOOKUP(Q53,'審判員'!$A:$C,3,FALSE))</f>
        <v>３級</v>
      </c>
      <c r="T54" s="333" t="s">
        <v>419</v>
      </c>
      <c r="U54" s="334" t="str">
        <f>IF(ISERROR(VLOOKUP(CONCATENATE($U$39,"_",V54),'選手名簿'!$A:$E,5,FALSE))=TRUE,"",VLOOKUP(CONCATENATE($U$39,"_",V54),'選手名簿'!$A:$E,5,FALSE))</f>
        <v/>
      </c>
      <c r="V54" s="335"/>
      <c r="W54" s="335"/>
      <c r="X54" s="335"/>
      <c r="Y54" s="323"/>
      <c r="Z54" s="335"/>
      <c r="AA54" s="335"/>
      <c r="AB54" s="335"/>
      <c r="AC54" s="336" t="str">
        <f>IF(ISERROR(VLOOKUP(CONCATENATE($AC$39,"_",AB54),'選手名簿'!$A:$E,5,FALSE))=TRUE,"",VLOOKUP(CONCATENATE($AC$39,"_",AB54),'選手名簿'!$A:$E,5,FALSE))</f>
        <v/>
      </c>
    </row>
    <row r="55" spans="1:29" ht="20.25" customHeight="1">
      <c r="A55" s="330" t="s">
        <v>557</v>
      </c>
      <c r="B55" s="750" t="s">
        <v>578</v>
      </c>
      <c r="C55" s="750"/>
      <c r="D55" s="751"/>
      <c r="E55" s="333" t="s">
        <v>419</v>
      </c>
      <c r="F55" s="334" t="str">
        <f>IF(ISERROR(VLOOKUP(CONCATENATE($F$39,"_",G55),'選手名簿'!$A:$E,5,FALSE))=TRUE,"",VLOOKUP(CONCATENATE($F$39,"_",G55),'選手名簿'!$A:$E,5,FALSE))</f>
        <v/>
      </c>
      <c r="G55" s="335"/>
      <c r="H55" s="335"/>
      <c r="I55" s="335"/>
      <c r="J55" s="323"/>
      <c r="K55" s="335"/>
      <c r="L55" s="335"/>
      <c r="M55" s="335"/>
      <c r="N55" s="336" t="str">
        <f>IF(ISERROR(VLOOKUP(CONCATENATE($N$39,"_",M55),'選手名簿'!$A:$E,5,FALSE))=TRUE,"",VLOOKUP(CONCATENATE($N$39,"_",M55),'選手名簿'!$A:$E,5,FALSE))</f>
        <v/>
      </c>
      <c r="P55" s="330" t="s">
        <v>557</v>
      </c>
      <c r="Q55" s="750" t="s">
        <v>579</v>
      </c>
      <c r="R55" s="750"/>
      <c r="S55" s="751"/>
      <c r="T55" s="333" t="s">
        <v>419</v>
      </c>
      <c r="U55" s="334" t="str">
        <f>IF(ISERROR(VLOOKUP(CONCATENATE($U$39,"_",V55),'選手名簿'!$A:$E,5,FALSE))=TRUE,"",VLOOKUP(CONCATENATE($U$39,"_",V55),'選手名簿'!$A:$E,5,FALSE))</f>
        <v/>
      </c>
      <c r="V55" s="335"/>
      <c r="W55" s="335"/>
      <c r="X55" s="335"/>
      <c r="Y55" s="323"/>
      <c r="Z55" s="335"/>
      <c r="AA55" s="335"/>
      <c r="AB55" s="335"/>
      <c r="AC55" s="336" t="str">
        <f>IF(ISERROR(VLOOKUP(CONCATENATE($AC$39,"_",AB55),'選手名簿'!$A:$E,5,FALSE))=TRUE,"",VLOOKUP(CONCATENATE($AC$39,"_",AB55),'選手名簿'!$A:$E,5,FALSE))</f>
        <v/>
      </c>
    </row>
    <row r="56" spans="1:29" ht="20.25" customHeight="1">
      <c r="A56" s="331" t="s">
        <v>563</v>
      </c>
      <c r="B56" s="752" t="str">
        <f>IF(ISERROR(VLOOKUP(B55,'審判員'!$A:$C,2,FALSE))=TRUE,"",VLOOKUP(B55,'審判員'!$A:$C,2,FALSE))</f>
        <v>田中　靖之</v>
      </c>
      <c r="C56" s="753"/>
      <c r="D56" s="331" t="str">
        <f>IF(ISERROR(VLOOKUP(B55,'審判員'!$A:$C,3,FALSE))=TRUE,"",VLOOKUP(B55,'審判員'!$A:$C,3,FALSE))</f>
        <v>３級</v>
      </c>
      <c r="E56" s="333" t="s">
        <v>419</v>
      </c>
      <c r="F56" s="334" t="str">
        <f>IF(ISERROR(VLOOKUP(CONCATENATE($F$39,"_",G56),'選手名簿'!$A:$E,5,FALSE))=TRUE,"",VLOOKUP(CONCATENATE($F$39,"_",G56),'選手名簿'!$A:$E,5,FALSE))</f>
        <v/>
      </c>
      <c r="G56" s="335"/>
      <c r="H56" s="335"/>
      <c r="I56" s="335"/>
      <c r="J56" s="323"/>
      <c r="K56" s="335"/>
      <c r="L56" s="335"/>
      <c r="M56" s="335"/>
      <c r="N56" s="336" t="str">
        <f>IF(ISERROR(VLOOKUP(CONCATENATE($N$39,"_",M56),'選手名簿'!$A:$E,5,FALSE))=TRUE,"",VLOOKUP(CONCATENATE($N$39,"_",M56),'選手名簿'!$A:$E,5,FALSE))</f>
        <v/>
      </c>
      <c r="P56" s="331" t="s">
        <v>563</v>
      </c>
      <c r="Q56" s="752" t="str">
        <f>IF(ISERROR(VLOOKUP(Q55,'審判員'!$A:$C,2,FALSE))=TRUE,"",VLOOKUP(Q55,'審判員'!$A:$C,2,FALSE))</f>
        <v>後藤　滉稀</v>
      </c>
      <c r="R56" s="753"/>
      <c r="S56" s="331" t="str">
        <f>IF(ISERROR(VLOOKUP(Q55,'審判員'!$A:$C,3,FALSE))=TRUE,"",VLOOKUP(Q55,'審判員'!$A:$C,3,FALSE))</f>
        <v>３級</v>
      </c>
      <c r="T56" s="333" t="s">
        <v>419</v>
      </c>
      <c r="U56" s="334" t="str">
        <f>IF(ISERROR(VLOOKUP(CONCATENATE($U$39,"_",V56),'選手名簿'!$A:$E,5,FALSE))=TRUE,"",VLOOKUP(CONCATENATE($U$39,"_",V56),'選手名簿'!$A:$E,5,FALSE))</f>
        <v/>
      </c>
      <c r="V56" s="335"/>
      <c r="W56" s="335"/>
      <c r="X56" s="335"/>
      <c r="Y56" s="323"/>
      <c r="Z56" s="335"/>
      <c r="AA56" s="335"/>
      <c r="AB56" s="335"/>
      <c r="AC56" s="336" t="str">
        <f>IF(ISERROR(VLOOKUP(CONCATENATE($AC$39,"_",AB56),'選手名簿'!$A:$E,5,FALSE))=TRUE,"",VLOOKUP(CONCATENATE($AC$39,"_",AB56),'選手名簿'!$A:$E,5,FALSE))</f>
        <v/>
      </c>
    </row>
    <row r="57" spans="1:29" ht="20.25" customHeight="1">
      <c r="A57" s="330" t="s">
        <v>557</v>
      </c>
      <c r="B57" s="750" t="s">
        <v>581</v>
      </c>
      <c r="C57" s="750"/>
      <c r="D57" s="751"/>
      <c r="E57" s="333" t="s">
        <v>419</v>
      </c>
      <c r="F57" s="334" t="str">
        <f>IF(ISERROR(VLOOKUP(CONCATENATE($F$39,"_",G57),'選手名簿'!$A:$E,5,FALSE))=TRUE,"",VLOOKUP(CONCATENATE($F$39,"_",G57),'選手名簿'!$A:$E,5,FALSE))</f>
        <v/>
      </c>
      <c r="G57" s="335"/>
      <c r="H57" s="335"/>
      <c r="I57" s="335"/>
      <c r="J57" s="323"/>
      <c r="K57" s="335"/>
      <c r="L57" s="335"/>
      <c r="M57" s="335"/>
      <c r="N57" s="336" t="str">
        <f>IF(ISERROR(VLOOKUP(CONCATENATE($N$39,"_",M57),'選手名簿'!$A:$E,5,FALSE))=TRUE,"",VLOOKUP(CONCATENATE($N$39,"_",M57),'選手名簿'!$A:$E,5,FALSE))</f>
        <v/>
      </c>
      <c r="P57" s="330" t="s">
        <v>557</v>
      </c>
      <c r="Q57" s="750" t="s">
        <v>582</v>
      </c>
      <c r="R57" s="750"/>
      <c r="S57" s="751"/>
      <c r="T57" s="333" t="s">
        <v>419</v>
      </c>
      <c r="U57" s="334" t="str">
        <f>IF(ISERROR(VLOOKUP(CONCATENATE($U$39,"_",V57),'選手名簿'!$A:$E,5,FALSE))=TRUE,"",VLOOKUP(CONCATENATE($U$39,"_",V57),'選手名簿'!$A:$E,5,FALSE))</f>
        <v/>
      </c>
      <c r="V57" s="335"/>
      <c r="W57" s="335"/>
      <c r="X57" s="335"/>
      <c r="Y57" s="323"/>
      <c r="Z57" s="335"/>
      <c r="AA57" s="335"/>
      <c r="AB57" s="335"/>
      <c r="AC57" s="336" t="str">
        <f>IF(ISERROR(VLOOKUP(CONCATENATE($AC$39,"_",AB57),'選手名簿'!$A:$E,5,FALSE))=TRUE,"",VLOOKUP(CONCATENATE($AC$39,"_",AB57),'選手名簿'!$A:$E,5,FALSE))</f>
        <v/>
      </c>
    </row>
    <row r="58" spans="1:29" ht="20.25" customHeight="1">
      <c r="A58" s="331" t="s">
        <v>566</v>
      </c>
      <c r="B58" s="752" t="str">
        <f>IF(ISERROR(VLOOKUP(B57,'審判員'!$A:$C,2,FALSE))=TRUE,"",VLOOKUP(B57,'審判員'!$A:$C,2,FALSE))</f>
        <v>花崎　宏</v>
      </c>
      <c r="C58" s="753"/>
      <c r="D58" s="331" t="str">
        <f>IF(ISERROR(VLOOKUP(B57,'審判員'!$A:$C,3,FALSE))=TRUE,"",VLOOKUP(B57,'審判員'!$A:$C,3,FALSE))</f>
        <v>３級</v>
      </c>
      <c r="E58" s="333" t="s">
        <v>419</v>
      </c>
      <c r="F58" s="334" t="str">
        <f>IF(ISERROR(VLOOKUP(CONCATENATE($F$39,"_",G58),'選手名簿'!$A:$E,5,FALSE))=TRUE,"",VLOOKUP(CONCATENATE($F$39,"_",G58),'選手名簿'!$A:$E,5,FALSE))</f>
        <v/>
      </c>
      <c r="G58" s="335"/>
      <c r="H58" s="335"/>
      <c r="I58" s="335"/>
      <c r="J58" s="323"/>
      <c r="K58" s="335"/>
      <c r="L58" s="335"/>
      <c r="M58" s="335"/>
      <c r="N58" s="336" t="str">
        <f>IF(ISERROR(VLOOKUP(CONCATENATE($N$39,"_",M58),'選手名簿'!$A:$E,5,FALSE))=TRUE,"",VLOOKUP(CONCATENATE($N$39,"_",M58),'選手名簿'!$A:$E,5,FALSE))</f>
        <v/>
      </c>
      <c r="P58" s="331" t="s">
        <v>566</v>
      </c>
      <c r="Q58" s="752" t="str">
        <f>IF(ISERROR(VLOOKUP(Q57,'審判員'!$A:$C,2,FALSE))=TRUE,"",VLOOKUP(Q57,'審判員'!$A:$C,2,FALSE))</f>
        <v>渡辺　陽一郎</v>
      </c>
      <c r="R58" s="753"/>
      <c r="S58" s="331" t="str">
        <f>IF(ISERROR(VLOOKUP(Q57,'審判員'!$A:$C,3,FALSE))=TRUE,"",VLOOKUP(Q57,'審判員'!$A:$C,3,FALSE))</f>
        <v>３級</v>
      </c>
      <c r="T58" s="333" t="s">
        <v>419</v>
      </c>
      <c r="U58" s="334" t="str">
        <f>IF(ISERROR(VLOOKUP(CONCATENATE($U$39,"_",V58),'選手名簿'!$A:$E,5,FALSE))=TRUE,"",VLOOKUP(CONCATENATE($U$39,"_",V58),'選手名簿'!$A:$E,5,FALSE))</f>
        <v/>
      </c>
      <c r="V58" s="335"/>
      <c r="W58" s="335"/>
      <c r="X58" s="335"/>
      <c r="Y58" s="323"/>
      <c r="Z58" s="335"/>
      <c r="AA58" s="335"/>
      <c r="AB58" s="335"/>
      <c r="AC58" s="336" t="str">
        <f>IF(ISERROR(VLOOKUP(CONCATENATE($AC$39,"_",AB58),'選手名簿'!$A:$E,5,FALSE))=TRUE,"",VLOOKUP(CONCATENATE($AC$39,"_",AB58),'選手名簿'!$A:$E,5,FALSE))</f>
        <v/>
      </c>
    </row>
    <row r="59" spans="1:29" ht="20.25" customHeight="1">
      <c r="A59" s="330" t="s">
        <v>557</v>
      </c>
      <c r="B59" s="750" t="s">
        <v>574</v>
      </c>
      <c r="C59" s="750"/>
      <c r="D59" s="751"/>
      <c r="E59" s="333" t="s">
        <v>419</v>
      </c>
      <c r="F59" s="334" t="str">
        <f>IF(ISERROR(VLOOKUP(CONCATENATE($F$39,"_",G59),'選手名簿'!$A:$E,5,FALSE))=TRUE,"",VLOOKUP(CONCATENATE($F$39,"_",G59),'選手名簿'!$A:$E,5,FALSE))</f>
        <v/>
      </c>
      <c r="G59" s="335"/>
      <c r="H59" s="335"/>
      <c r="I59" s="335"/>
      <c r="J59" s="323"/>
      <c r="K59" s="335"/>
      <c r="L59" s="335"/>
      <c r="M59" s="335"/>
      <c r="N59" s="336" t="str">
        <f>IF(ISERROR(VLOOKUP(CONCATENATE($N$39,"_",M59),'選手名簿'!$A:$E,5,FALSE))=TRUE,"",VLOOKUP(CONCATENATE($N$39,"_",M59),'選手名簿'!$A:$E,5,FALSE))</f>
        <v/>
      </c>
      <c r="P59" s="330" t="s">
        <v>557</v>
      </c>
      <c r="Q59" s="750" t="s">
        <v>575</v>
      </c>
      <c r="R59" s="750"/>
      <c r="S59" s="751"/>
      <c r="T59" s="333" t="s">
        <v>419</v>
      </c>
      <c r="U59" s="334" t="str">
        <f>IF(ISERROR(VLOOKUP(CONCATENATE($U$39,"_",V59),'選手名簿'!$A:$E,5,FALSE))=TRUE,"",VLOOKUP(CONCATENATE($U$39,"_",V59),'選手名簿'!$A:$E,5,FALSE))</f>
        <v/>
      </c>
      <c r="V59" s="335"/>
      <c r="W59" s="335"/>
      <c r="X59" s="335"/>
      <c r="Y59" s="323"/>
      <c r="Z59" s="335"/>
      <c r="AA59" s="335"/>
      <c r="AB59" s="335"/>
      <c r="AC59" s="336" t="str">
        <f>IF(ISERROR(VLOOKUP(CONCATENATE($AC$39,"_",AB59),'選手名簿'!$A:$E,5,FALSE))=TRUE,"",VLOOKUP(CONCATENATE($AC$39,"_",AB59),'選手名簿'!$A:$E,5,FALSE))</f>
        <v/>
      </c>
    </row>
    <row r="60" spans="1:29" ht="20.25" customHeight="1">
      <c r="A60" s="331" t="s">
        <v>568</v>
      </c>
      <c r="B60" s="752" t="str">
        <f>IF(ISERROR(VLOOKUP(B59,'審判員'!$A:$C,2,FALSE))=TRUE,"",VLOOKUP(B59,'審判員'!$A:$C,2,FALSE))</f>
        <v>寺次　良生</v>
      </c>
      <c r="C60" s="753"/>
      <c r="D60" s="331" t="str">
        <f>IF(ISERROR(VLOOKUP(B59,'審判員'!$A:$C,3,FALSE))=TRUE,"",VLOOKUP(B59,'審判員'!$A:$C,3,FALSE))</f>
        <v>３級</v>
      </c>
      <c r="E60" s="337" t="s">
        <v>419</v>
      </c>
      <c r="F60" s="338" t="str">
        <f>IF(ISERROR(VLOOKUP(CONCATENATE($F$39,"_",G60),'選手名簿'!$A:$E,5,FALSE))=TRUE,"",VLOOKUP(CONCATENATE($F$39,"_",G60),'選手名簿'!$A:$E,5,FALSE))</f>
        <v/>
      </c>
      <c r="G60" s="339"/>
      <c r="H60" s="339"/>
      <c r="I60" s="339"/>
      <c r="J60" s="328"/>
      <c r="K60" s="339"/>
      <c r="L60" s="339"/>
      <c r="M60" s="339"/>
      <c r="N60" s="340" t="str">
        <f>IF(ISERROR(VLOOKUP(CONCATENATE($N$39,"_",M60),'選手名簿'!$A:$E,5,FALSE))=TRUE,"",VLOOKUP(CONCATENATE($N$39,"_",M60),'選手名簿'!$A:$E,5,FALSE))</f>
        <v/>
      </c>
      <c r="P60" s="331" t="s">
        <v>568</v>
      </c>
      <c r="Q60" s="752" t="str">
        <f>IF(ISERROR(VLOOKUP(Q59,'審判員'!$A:$C,2,FALSE))=TRUE,"",VLOOKUP(Q59,'審判員'!$A:$C,2,FALSE))</f>
        <v>吐合　直樹</v>
      </c>
      <c r="R60" s="753"/>
      <c r="S60" s="331" t="str">
        <f>IF(ISERROR(VLOOKUP(Q59,'審判員'!$A:$C,3,FALSE))=TRUE,"",VLOOKUP(Q59,'審判員'!$A:$C,3,FALSE))</f>
        <v>３級</v>
      </c>
      <c r="T60" s="337" t="s">
        <v>419</v>
      </c>
      <c r="U60" s="338" t="str">
        <f>IF(ISERROR(VLOOKUP(CONCATENATE($U$39,"_",V60),'選手名簿'!$A:$E,5,FALSE))=TRUE,"",VLOOKUP(CONCATENATE($U$39,"_",V60),'選手名簿'!$A:$E,5,FALSE))</f>
        <v/>
      </c>
      <c r="V60" s="339"/>
      <c r="W60" s="339"/>
      <c r="X60" s="339"/>
      <c r="Y60" s="328"/>
      <c r="Z60" s="339"/>
      <c r="AA60" s="339"/>
      <c r="AB60" s="339"/>
      <c r="AC60" s="340" t="str">
        <f>IF(ISERROR(VLOOKUP(CONCATENATE($AC$39,"_",AB60),'選手名簿'!$A:$E,5,FALSE))=TRUE,"",VLOOKUP(CONCATENATE($AC$39,"_",AB60),'選手名簿'!$A:$E,5,FALSE))</f>
        <v/>
      </c>
    </row>
    <row r="61" spans="5:20" ht="9.95" customHeight="1">
      <c r="E61" s="341"/>
      <c r="T61" s="341"/>
    </row>
    <row r="62" spans="5:20" ht="9.95" customHeight="1">
      <c r="E62" s="341"/>
      <c r="T62" s="341"/>
    </row>
    <row r="63" ht="9.95" customHeight="1"/>
    <row r="64" ht="9.95" customHeight="1"/>
    <row r="65" ht="9.95" customHeight="1"/>
    <row r="66" ht="9.95" customHeight="1"/>
    <row r="67" spans="5:20" ht="9.95" customHeight="1">
      <c r="E67" s="341"/>
      <c r="T67" s="341"/>
    </row>
    <row r="68" spans="1:29" ht="27.4" customHeight="1">
      <c r="A68" s="312" t="s">
        <v>546</v>
      </c>
      <c r="B68" s="772" t="s">
        <v>572</v>
      </c>
      <c r="C68" s="773"/>
      <c r="D68" s="774"/>
      <c r="E68" s="756">
        <v>0.6041666666666666</v>
      </c>
      <c r="F68" s="759" t="str">
        <f>F7</f>
        <v>日岡サッカースポーツ少年団</v>
      </c>
      <c r="G68" s="762">
        <f>SUM(I68:I69)</f>
        <v>0</v>
      </c>
      <c r="H68" s="765" t="s">
        <v>294</v>
      </c>
      <c r="I68" s="313">
        <v>0</v>
      </c>
      <c r="J68" s="313" t="s">
        <v>548</v>
      </c>
      <c r="K68" s="313">
        <v>4</v>
      </c>
      <c r="L68" s="765" t="s">
        <v>549</v>
      </c>
      <c r="M68" s="762">
        <f>SUM(K68:K69)</f>
        <v>8</v>
      </c>
      <c r="N68" s="768" t="str">
        <f>F5</f>
        <v>ＦＣ中津ジュニア</v>
      </c>
      <c r="P68" s="312" t="s">
        <v>546</v>
      </c>
      <c r="Q68" s="772" t="s">
        <v>573</v>
      </c>
      <c r="R68" s="773"/>
      <c r="S68" s="774"/>
      <c r="T68" s="756">
        <v>0.6458333333333334</v>
      </c>
      <c r="U68" s="759" t="str">
        <f>U7</f>
        <v>鶴岡Ｓ―ｐｌａｙ・ＭＩＮＡＭＩ</v>
      </c>
      <c r="V68" s="762">
        <f>SUM(X68:X69)</f>
        <v>1</v>
      </c>
      <c r="W68" s="765" t="s">
        <v>294</v>
      </c>
      <c r="X68" s="313">
        <v>0</v>
      </c>
      <c r="Y68" s="313" t="s">
        <v>548</v>
      </c>
      <c r="Z68" s="313">
        <v>0</v>
      </c>
      <c r="AA68" s="765" t="s">
        <v>549</v>
      </c>
      <c r="AB68" s="762">
        <f>SUM(Z68:Z69)</f>
        <v>2</v>
      </c>
      <c r="AC68" s="768" t="str">
        <f>U5</f>
        <v>中津沖代ジュニアサッカークラブ</v>
      </c>
    </row>
    <row r="69" spans="1:29" ht="27.4" customHeight="1">
      <c r="A69" s="314" t="s">
        <v>551</v>
      </c>
      <c r="B69" s="771" t="s">
        <v>16</v>
      </c>
      <c r="C69" s="771"/>
      <c r="D69" s="772"/>
      <c r="E69" s="757"/>
      <c r="F69" s="760"/>
      <c r="G69" s="763"/>
      <c r="H69" s="766"/>
      <c r="I69" s="303">
        <v>0</v>
      </c>
      <c r="J69" s="303" t="s">
        <v>552</v>
      </c>
      <c r="K69" s="303">
        <v>4</v>
      </c>
      <c r="L69" s="766"/>
      <c r="M69" s="763"/>
      <c r="N69" s="769"/>
      <c r="P69" s="314" t="s">
        <v>551</v>
      </c>
      <c r="Q69" s="771" t="s">
        <v>16</v>
      </c>
      <c r="R69" s="771"/>
      <c r="S69" s="772"/>
      <c r="T69" s="757"/>
      <c r="U69" s="760"/>
      <c r="V69" s="763"/>
      <c r="W69" s="766"/>
      <c r="X69" s="303">
        <v>1</v>
      </c>
      <c r="Y69" s="303" t="s">
        <v>552</v>
      </c>
      <c r="Z69" s="303">
        <v>2</v>
      </c>
      <c r="AA69" s="766"/>
      <c r="AB69" s="763"/>
      <c r="AC69" s="769"/>
    </row>
    <row r="70" spans="1:29" ht="27.4" customHeight="1">
      <c r="A70" s="314" t="s">
        <v>553</v>
      </c>
      <c r="B70" s="771" t="s">
        <v>571</v>
      </c>
      <c r="C70" s="771"/>
      <c r="D70" s="772"/>
      <c r="E70" s="758"/>
      <c r="F70" s="761"/>
      <c r="G70" s="764"/>
      <c r="H70" s="767"/>
      <c r="I70" s="315"/>
      <c r="J70" s="315" t="s">
        <v>555</v>
      </c>
      <c r="K70" s="315"/>
      <c r="L70" s="767"/>
      <c r="M70" s="764"/>
      <c r="N70" s="770"/>
      <c r="P70" s="314" t="s">
        <v>553</v>
      </c>
      <c r="Q70" s="771" t="s">
        <v>572</v>
      </c>
      <c r="R70" s="771"/>
      <c r="S70" s="772"/>
      <c r="T70" s="758"/>
      <c r="U70" s="761"/>
      <c r="V70" s="764"/>
      <c r="W70" s="767"/>
      <c r="X70" s="315"/>
      <c r="Y70" s="315" t="s">
        <v>555</v>
      </c>
      <c r="Z70" s="315"/>
      <c r="AA70" s="767"/>
      <c r="AB70" s="764"/>
      <c r="AC70" s="770"/>
    </row>
    <row r="71" spans="1:29" ht="20.25" customHeight="1">
      <c r="A71" s="754" t="s">
        <v>556</v>
      </c>
      <c r="B71" s="754"/>
      <c r="C71" s="754"/>
      <c r="D71" s="755"/>
      <c r="E71" s="316"/>
      <c r="F71" s="317" t="s">
        <v>418</v>
      </c>
      <c r="G71" s="317" t="s">
        <v>557</v>
      </c>
      <c r="H71" s="317" t="s">
        <v>524</v>
      </c>
      <c r="I71" s="317"/>
      <c r="J71" s="318"/>
      <c r="K71" s="317"/>
      <c r="L71" s="317" t="s">
        <v>524</v>
      </c>
      <c r="M71" s="317" t="s">
        <v>557</v>
      </c>
      <c r="N71" s="319" t="s">
        <v>418</v>
      </c>
      <c r="P71" s="754" t="s">
        <v>556</v>
      </c>
      <c r="Q71" s="754"/>
      <c r="R71" s="754"/>
      <c r="S71" s="755"/>
      <c r="T71" s="316"/>
      <c r="U71" s="317" t="s">
        <v>418</v>
      </c>
      <c r="V71" s="317" t="s">
        <v>557</v>
      </c>
      <c r="W71" s="317" t="s">
        <v>524</v>
      </c>
      <c r="X71" s="317"/>
      <c r="Y71" s="318"/>
      <c r="Z71" s="317"/>
      <c r="AA71" s="317" t="s">
        <v>524</v>
      </c>
      <c r="AB71" s="317" t="s">
        <v>557</v>
      </c>
      <c r="AC71" s="319" t="s">
        <v>418</v>
      </c>
    </row>
    <row r="72" spans="5:29" ht="20.25" customHeight="1" hidden="1">
      <c r="E72" s="320" t="s">
        <v>558</v>
      </c>
      <c r="F72" s="321" t="str">
        <f>IF(ISERROR(VLOOKUP(CONCATENATE($F$68,"_",G72),'選手名簿'!$A:$E,5,FALSE))=TRUE,"",VLOOKUP(CONCATENATE($F$68,"_",G72),'選手名簿'!$A:$E,5,FALSE))</f>
        <v/>
      </c>
      <c r="G72" s="322"/>
      <c r="H72" s="322"/>
      <c r="I72" s="322"/>
      <c r="J72" s="323"/>
      <c r="K72" s="322"/>
      <c r="L72" s="322"/>
      <c r="M72" s="322"/>
      <c r="N72" s="324" t="str">
        <f>IF(ISERROR(VLOOKUP(CONCATENATE($N$68,"_",M72),'選手名簿'!$A:$E,5,FALSE))=TRUE,"",VLOOKUP(CONCATENATE($N$68,"_",M72),'選手名簿'!$A:$E,5,FALSE))</f>
        <v/>
      </c>
      <c r="T72" s="320" t="s">
        <v>558</v>
      </c>
      <c r="U72" s="321" t="str">
        <f>IF(ISERROR(VLOOKUP(CONCATENATE($U$68,"_",V72),'選手名簿'!$A:$E,5,FALSE))=TRUE,"",VLOOKUP(CONCATENATE($U$68,"_",V72),'選手名簿'!$A:$E,5,FALSE))</f>
        <v/>
      </c>
      <c r="V72" s="322"/>
      <c r="W72" s="322"/>
      <c r="X72" s="322"/>
      <c r="Y72" s="323"/>
      <c r="Z72" s="322"/>
      <c r="AA72" s="322"/>
      <c r="AB72" s="322"/>
      <c r="AC72" s="324" t="str">
        <f>IF(ISERROR(VLOOKUP(CONCATENATE($AC$68,"_",AB72),'選手名簿'!$A:$E,5,FALSE))=TRUE,"",VLOOKUP(CONCATENATE($AC$68,"_",AB72),'選手名簿'!$A:$E,5,FALSE))</f>
        <v/>
      </c>
    </row>
    <row r="73" spans="5:29" ht="20.25" customHeight="1" hidden="1">
      <c r="E73" s="320" t="s">
        <v>558</v>
      </c>
      <c r="F73" s="321" t="str">
        <f>IF(ISERROR(VLOOKUP(CONCATENATE($F$68,"_",G73),'選手名簿'!$A:$E,5,FALSE))=TRUE,"",VLOOKUP(CONCATENATE($F$68,"_",G73),'選手名簿'!$A:$E,5,FALSE))</f>
        <v/>
      </c>
      <c r="G73" s="322"/>
      <c r="H73" s="322"/>
      <c r="I73" s="322"/>
      <c r="J73" s="323"/>
      <c r="K73" s="322"/>
      <c r="L73" s="322"/>
      <c r="M73" s="322"/>
      <c r="N73" s="324" t="str">
        <f>IF(ISERROR(VLOOKUP(CONCATENATE($N$68,"_",M73),'選手名簿'!$A:$E,5,FALSE))=TRUE,"",VLOOKUP(CONCATENATE($N$68,"_",M73),'選手名簿'!$A:$E,5,FALSE))</f>
        <v/>
      </c>
      <c r="T73" s="320" t="s">
        <v>558</v>
      </c>
      <c r="U73" s="321" t="str">
        <f>IF(ISERROR(VLOOKUP(CONCATENATE($U$68,"_",V73),'選手名簿'!$A:$E,5,FALSE))=TRUE,"",VLOOKUP(CONCATENATE($U$68,"_",V73),'選手名簿'!$A:$E,5,FALSE))</f>
        <v/>
      </c>
      <c r="V73" s="322"/>
      <c r="W73" s="322"/>
      <c r="X73" s="322"/>
      <c r="Y73" s="323"/>
      <c r="Z73" s="322"/>
      <c r="AA73" s="322"/>
      <c r="AB73" s="322"/>
      <c r="AC73" s="324" t="str">
        <f>IF(ISERROR(VLOOKUP(CONCATENATE($AC$68,"_",AB73),'選手名簿'!$A:$E,5,FALSE))=TRUE,"",VLOOKUP(CONCATENATE($AC$68,"_",AB73),'選手名簿'!$A:$E,5,FALSE))</f>
        <v/>
      </c>
    </row>
    <row r="74" spans="5:29" ht="20.25" customHeight="1" hidden="1">
      <c r="E74" s="320" t="s">
        <v>558</v>
      </c>
      <c r="F74" s="321" t="str">
        <f>IF(ISERROR(VLOOKUP(CONCATENATE($F$68,"_",G74),'選手名簿'!$A:$E,5,FALSE))=TRUE,"",VLOOKUP(CONCATENATE($F$68,"_",G74),'選手名簿'!$A:$E,5,FALSE))</f>
        <v/>
      </c>
      <c r="G74" s="322"/>
      <c r="H74" s="322"/>
      <c r="I74" s="322"/>
      <c r="J74" s="323"/>
      <c r="K74" s="322"/>
      <c r="L74" s="322"/>
      <c r="M74" s="322"/>
      <c r="N74" s="324" t="str">
        <f>IF(ISERROR(VLOOKUP(CONCATENATE($N$68,"_",M74),'選手名簿'!$A:$E,5,FALSE))=TRUE,"",VLOOKUP(CONCATENATE($N$68,"_",M74),'選手名簿'!$A:$E,5,FALSE))</f>
        <v/>
      </c>
      <c r="T74" s="320" t="s">
        <v>558</v>
      </c>
      <c r="U74" s="321" t="str">
        <f>IF(ISERROR(VLOOKUP(CONCATENATE($U$68,"_",V74),'選手名簿'!$A:$E,5,FALSE))=TRUE,"",VLOOKUP(CONCATENATE($U$68,"_",V74),'選手名簿'!$A:$E,5,FALSE))</f>
        <v/>
      </c>
      <c r="V74" s="322"/>
      <c r="W74" s="322"/>
      <c r="X74" s="322"/>
      <c r="Y74" s="323"/>
      <c r="Z74" s="322"/>
      <c r="AA74" s="322"/>
      <c r="AB74" s="322"/>
      <c r="AC74" s="324" t="str">
        <f>IF(ISERROR(VLOOKUP(CONCATENATE($AC$68,"_",AB74),'選手名簿'!$A:$E,5,FALSE))=TRUE,"",VLOOKUP(CONCATENATE($AC$68,"_",AB74),'選手名簿'!$A:$E,5,FALSE))</f>
        <v/>
      </c>
    </row>
    <row r="75" spans="5:29" ht="20.25" customHeight="1" hidden="1">
      <c r="E75" s="320" t="s">
        <v>558</v>
      </c>
      <c r="F75" s="321" t="str">
        <f>IF(ISERROR(VLOOKUP(CONCATENATE($F$68,"_",G75),'選手名簿'!$A:$E,5,FALSE))=TRUE,"",VLOOKUP(CONCATENATE($F$68,"_",G75),'選手名簿'!$A:$E,5,FALSE))</f>
        <v/>
      </c>
      <c r="G75" s="322"/>
      <c r="H75" s="322"/>
      <c r="I75" s="322"/>
      <c r="J75" s="323"/>
      <c r="K75" s="322"/>
      <c r="L75" s="322"/>
      <c r="M75" s="322"/>
      <c r="N75" s="324" t="str">
        <f>IF(ISERROR(VLOOKUP(CONCATENATE($N$68,"_",M75),'選手名簿'!$A:$E,5,FALSE))=TRUE,"",VLOOKUP(CONCATENATE($N$68,"_",M75),'選手名簿'!$A:$E,5,FALSE))</f>
        <v/>
      </c>
      <c r="T75" s="320" t="s">
        <v>558</v>
      </c>
      <c r="U75" s="321" t="str">
        <f>IF(ISERROR(VLOOKUP(CONCATENATE($U$68,"_",V75),'選手名簿'!$A:$E,5,FALSE))=TRUE,"",VLOOKUP(CONCATENATE($U$68,"_",V75),'選手名簿'!$A:$E,5,FALSE))</f>
        <v/>
      </c>
      <c r="V75" s="322"/>
      <c r="W75" s="322"/>
      <c r="X75" s="322"/>
      <c r="Y75" s="323"/>
      <c r="Z75" s="322"/>
      <c r="AA75" s="322"/>
      <c r="AB75" s="322"/>
      <c r="AC75" s="324" t="str">
        <f>IF(ISERROR(VLOOKUP(CONCATENATE($AC$68,"_",AB75),'選手名簿'!$A:$E,5,FALSE))=TRUE,"",VLOOKUP(CONCATENATE($AC$68,"_",AB75),'選手名簿'!$A:$E,5,FALSE))</f>
        <v/>
      </c>
    </row>
    <row r="76" spans="5:29" ht="20.25" customHeight="1" hidden="1">
      <c r="E76" s="320" t="s">
        <v>558</v>
      </c>
      <c r="F76" s="321" t="str">
        <f>IF(ISERROR(VLOOKUP(CONCATENATE($F$68,"_",G76),'選手名簿'!$A:$E,5,FALSE))=TRUE,"",VLOOKUP(CONCATENATE($F$68,"_",G76),'選手名簿'!$A:$E,5,FALSE))</f>
        <v/>
      </c>
      <c r="G76" s="322"/>
      <c r="H76" s="322"/>
      <c r="I76" s="322"/>
      <c r="J76" s="323"/>
      <c r="K76" s="322"/>
      <c r="L76" s="322"/>
      <c r="M76" s="322"/>
      <c r="N76" s="324" t="str">
        <f>IF(ISERROR(VLOOKUP(CONCATENATE($N$68,"_",M76),'選手名簿'!$A:$E,5,FALSE))=TRUE,"",VLOOKUP(CONCATENATE($N$68,"_",M76),'選手名簿'!$A:$E,5,FALSE))</f>
        <v/>
      </c>
      <c r="T76" s="320" t="s">
        <v>558</v>
      </c>
      <c r="U76" s="321" t="str">
        <f>IF(ISERROR(VLOOKUP(CONCATENATE($U$68,"_",V76),'選手名簿'!$A:$E,5,FALSE))=TRUE,"",VLOOKUP(CONCATENATE($U$68,"_",V76),'選手名簿'!$A:$E,5,FALSE))</f>
        <v/>
      </c>
      <c r="V76" s="322"/>
      <c r="W76" s="322"/>
      <c r="X76" s="322"/>
      <c r="Y76" s="323"/>
      <c r="Z76" s="322"/>
      <c r="AA76" s="322"/>
      <c r="AB76" s="322"/>
      <c r="AC76" s="324" t="str">
        <f>IF(ISERROR(VLOOKUP(CONCATENATE($AC$68,"_",AB76),'選手名簿'!$A:$E,5,FALSE))=TRUE,"",VLOOKUP(CONCATENATE($AC$68,"_",AB76),'選手名簿'!$A:$E,5,FALSE))</f>
        <v/>
      </c>
    </row>
    <row r="77" spans="5:29" ht="20.25" customHeight="1" hidden="1">
      <c r="E77" s="320" t="s">
        <v>558</v>
      </c>
      <c r="F77" s="321" t="str">
        <f>IF(ISERROR(VLOOKUP(CONCATENATE($F$68,"_",G77),'選手名簿'!$A:$E,5,FALSE))=TRUE,"",VLOOKUP(CONCATENATE($F$68,"_",G77),'選手名簿'!$A:$E,5,FALSE))</f>
        <v/>
      </c>
      <c r="G77" s="322"/>
      <c r="H77" s="322"/>
      <c r="I77" s="322"/>
      <c r="J77" s="323"/>
      <c r="K77" s="322"/>
      <c r="L77" s="322"/>
      <c r="M77" s="322"/>
      <c r="N77" s="324" t="str">
        <f>IF(ISERROR(VLOOKUP(CONCATENATE($N$68,"_",M77),'選手名簿'!$A:$E,5,FALSE))=TRUE,"",VLOOKUP(CONCATENATE($N$68,"_",M77),'選手名簿'!$A:$E,5,FALSE))</f>
        <v/>
      </c>
      <c r="T77" s="320" t="s">
        <v>558</v>
      </c>
      <c r="U77" s="321" t="str">
        <f>IF(ISERROR(VLOOKUP(CONCATENATE($U$68,"_",V77),'選手名簿'!$A:$E,5,FALSE))=TRUE,"",VLOOKUP(CONCATENATE($U$68,"_",V77),'選手名簿'!$A:$E,5,FALSE))</f>
        <v/>
      </c>
      <c r="V77" s="322"/>
      <c r="W77" s="322"/>
      <c r="X77" s="322"/>
      <c r="Y77" s="323"/>
      <c r="Z77" s="322"/>
      <c r="AA77" s="322"/>
      <c r="AB77" s="322"/>
      <c r="AC77" s="324" t="str">
        <f>IF(ISERROR(VLOOKUP(CONCATENATE($AC$68,"_",AB77),'選手名簿'!$A:$E,5,FALSE))=TRUE,"",VLOOKUP(CONCATENATE($AC$68,"_",AB77),'選手名簿'!$A:$E,5,FALSE))</f>
        <v/>
      </c>
    </row>
    <row r="78" spans="5:29" ht="20.25" customHeight="1" hidden="1">
      <c r="E78" s="320" t="s">
        <v>558</v>
      </c>
      <c r="F78" s="321" t="str">
        <f>IF(ISERROR(VLOOKUP(CONCATENATE($F$68,"_",G78),'選手名簿'!$A:$E,5,FALSE))=TRUE,"",VLOOKUP(CONCATENATE($F$68,"_",G78),'選手名簿'!$A:$E,5,FALSE))</f>
        <v/>
      </c>
      <c r="G78" s="322"/>
      <c r="H78" s="322"/>
      <c r="I78" s="322"/>
      <c r="J78" s="323"/>
      <c r="K78" s="322"/>
      <c r="L78" s="322"/>
      <c r="M78" s="322"/>
      <c r="N78" s="324" t="str">
        <f>IF(ISERROR(VLOOKUP(CONCATENATE($N$68,"_",M78),'選手名簿'!$A:$E,5,FALSE))=TRUE,"",VLOOKUP(CONCATENATE($N$68,"_",M78),'選手名簿'!$A:$E,5,FALSE))</f>
        <v/>
      </c>
      <c r="T78" s="320" t="s">
        <v>558</v>
      </c>
      <c r="U78" s="321" t="str">
        <f>IF(ISERROR(VLOOKUP(CONCATENATE($U$68,"_",V78),'選手名簿'!$A:$E,5,FALSE))=TRUE,"",VLOOKUP(CONCATENATE($U$68,"_",V78),'選手名簿'!$A:$E,5,FALSE))</f>
        <v/>
      </c>
      <c r="V78" s="322"/>
      <c r="W78" s="322"/>
      <c r="X78" s="322"/>
      <c r="Y78" s="323"/>
      <c r="Z78" s="322"/>
      <c r="AA78" s="322"/>
      <c r="AB78" s="322"/>
      <c r="AC78" s="324" t="str">
        <f>IF(ISERROR(VLOOKUP(CONCATENATE($AC$68,"_",AB78),'選手名簿'!$A:$E,5,FALSE))=TRUE,"",VLOOKUP(CONCATENATE($AC$68,"_",AB78),'選手名簿'!$A:$E,5,FALSE))</f>
        <v/>
      </c>
    </row>
    <row r="79" spans="5:29" ht="20.25" customHeight="1" hidden="1">
      <c r="E79" s="320" t="s">
        <v>558</v>
      </c>
      <c r="F79" s="321" t="str">
        <f>IF(ISERROR(VLOOKUP(CONCATENATE($F$68,"_",G79),'選手名簿'!$A:$E,5,FALSE))=TRUE,"",VLOOKUP(CONCATENATE($F$68,"_",G79),'選手名簿'!$A:$E,5,FALSE))</f>
        <v/>
      </c>
      <c r="G79" s="322"/>
      <c r="H79" s="322"/>
      <c r="I79" s="322"/>
      <c r="J79" s="323"/>
      <c r="K79" s="322"/>
      <c r="L79" s="322"/>
      <c r="M79" s="322"/>
      <c r="N79" s="324" t="str">
        <f>IF(ISERROR(VLOOKUP(CONCATENATE($N$68,"_",M79),'選手名簿'!$A:$E,5,FALSE))=TRUE,"",VLOOKUP(CONCATENATE($N$68,"_",M79),'選手名簿'!$A:$E,5,FALSE))</f>
        <v/>
      </c>
      <c r="T79" s="320" t="s">
        <v>558</v>
      </c>
      <c r="U79" s="321" t="str">
        <f>IF(ISERROR(VLOOKUP(CONCATENATE($U$68,"_",V79),'選手名簿'!$A:$E,5,FALSE))=TRUE,"",VLOOKUP(CONCATENATE($U$68,"_",V79),'選手名簿'!$A:$E,5,FALSE))</f>
        <v/>
      </c>
      <c r="V79" s="322"/>
      <c r="W79" s="322"/>
      <c r="X79" s="322"/>
      <c r="Y79" s="323"/>
      <c r="Z79" s="322"/>
      <c r="AA79" s="322"/>
      <c r="AB79" s="322"/>
      <c r="AC79" s="324" t="str">
        <f>IF(ISERROR(VLOOKUP(CONCATENATE($AC$68,"_",AB79),'選手名簿'!$A:$E,5,FALSE))=TRUE,"",VLOOKUP(CONCATENATE($AC$68,"_",AB79),'選手名簿'!$A:$E,5,FALSE))</f>
        <v/>
      </c>
    </row>
    <row r="80" spans="5:29" ht="20.25" customHeight="1" hidden="1">
      <c r="E80" s="320" t="s">
        <v>558</v>
      </c>
      <c r="F80" s="321" t="str">
        <f>IF(ISERROR(VLOOKUP(CONCATENATE($F$68,"_",G80),'選手名簿'!$A:$E,5,FALSE))=TRUE,"",VLOOKUP(CONCATENATE($F$68,"_",G80),'選手名簿'!$A:$E,5,FALSE))</f>
        <v/>
      </c>
      <c r="G80" s="322"/>
      <c r="H80" s="322"/>
      <c r="I80" s="322"/>
      <c r="J80" s="323"/>
      <c r="K80" s="322"/>
      <c r="L80" s="322"/>
      <c r="M80" s="322"/>
      <c r="N80" s="324" t="str">
        <f>IF(ISERROR(VLOOKUP(CONCATENATE($N$68,"_",M80),'選手名簿'!$A:$E,5,FALSE))=TRUE,"",VLOOKUP(CONCATENATE($N$68,"_",M80),'選手名簿'!$A:$E,5,FALSE))</f>
        <v/>
      </c>
      <c r="T80" s="320" t="s">
        <v>558</v>
      </c>
      <c r="U80" s="321" t="str">
        <f>IF(ISERROR(VLOOKUP(CONCATENATE($U$68,"_",V80),'選手名簿'!$A:$E,5,FALSE))=TRUE,"",VLOOKUP(CONCATENATE($U$68,"_",V80),'選手名簿'!$A:$E,5,FALSE))</f>
        <v/>
      </c>
      <c r="V80" s="322"/>
      <c r="W80" s="322"/>
      <c r="X80" s="322"/>
      <c r="Y80" s="323"/>
      <c r="Z80" s="322"/>
      <c r="AA80" s="322"/>
      <c r="AB80" s="322"/>
      <c r="AC80" s="324" t="str">
        <f>IF(ISERROR(VLOOKUP(CONCATENATE($AC$68,"_",AB80),'選手名簿'!$A:$E,5,FALSE))=TRUE,"",VLOOKUP(CONCATENATE($AC$68,"_",AB80),'選手名簿'!$A:$E,5,FALSE))</f>
        <v/>
      </c>
    </row>
    <row r="81" spans="5:29" ht="20.25" customHeight="1" hidden="1">
      <c r="E81" s="325" t="s">
        <v>558</v>
      </c>
      <c r="F81" s="326" t="str">
        <f>IF(ISERROR(VLOOKUP(CONCATENATE($F$68,"_",G81),'選手名簿'!$A:$E,5,FALSE))=TRUE,"",VLOOKUP(CONCATENATE($F$68,"_",G81),'選手名簿'!$A:$E,5,FALSE))</f>
        <v/>
      </c>
      <c r="G81" s="327"/>
      <c r="H81" s="327"/>
      <c r="I81" s="327"/>
      <c r="J81" s="328"/>
      <c r="K81" s="327"/>
      <c r="L81" s="327"/>
      <c r="M81" s="327"/>
      <c r="N81" s="329" t="str">
        <f>IF(ISERROR(VLOOKUP(CONCATENATE($N$68,"_",M81),'選手名簿'!$A:$E,5,FALSE))=TRUE,"",VLOOKUP(CONCATENATE($N$68,"_",M81),'選手名簿'!$A:$E,5,FALSE))</f>
        <v/>
      </c>
      <c r="T81" s="325" t="s">
        <v>558</v>
      </c>
      <c r="U81" s="326" t="str">
        <f>IF(ISERROR(VLOOKUP(CONCATENATE($U$68,"_",V81),'選手名簿'!$A:$E,5,FALSE))=TRUE,"",VLOOKUP(CONCATENATE($U$68,"_",V81),'選手名簿'!$A:$E,5,FALSE))</f>
        <v/>
      </c>
      <c r="V81" s="327"/>
      <c r="W81" s="327"/>
      <c r="X81" s="327"/>
      <c r="Y81" s="328"/>
      <c r="Z81" s="327"/>
      <c r="AA81" s="327"/>
      <c r="AB81" s="327"/>
      <c r="AC81" s="329" t="str">
        <f>IF(ISERROR(VLOOKUP(CONCATENATE($AC$68,"_",AB81),'選手名簿'!$A:$E,5,FALSE))=TRUE,"",VLOOKUP(CONCATENATE($AC$68,"_",AB81),'選手名簿'!$A:$E,5,FALSE))</f>
        <v/>
      </c>
    </row>
    <row r="82" spans="1:29" ht="20.25" customHeight="1">
      <c r="A82" s="330" t="s">
        <v>557</v>
      </c>
      <c r="B82" s="750" t="s">
        <v>575</v>
      </c>
      <c r="C82" s="750"/>
      <c r="D82" s="751"/>
      <c r="E82" s="320" t="s">
        <v>419</v>
      </c>
      <c r="F82" s="321" t="str">
        <f>IF(ISERROR(VLOOKUP(CONCATENATE($F$68,"_",G82),'選手名簿'!$A:$E,5,FALSE))=TRUE,"",VLOOKUP(CONCATENATE($F$68,"_",G82),'選手名簿'!$A:$E,5,FALSE))</f>
        <v/>
      </c>
      <c r="G82" s="322"/>
      <c r="H82" s="322"/>
      <c r="I82" s="322"/>
      <c r="J82" s="323"/>
      <c r="K82" s="322"/>
      <c r="L82" s="322"/>
      <c r="M82" s="322"/>
      <c r="N82" s="324" t="str">
        <f>IF(ISERROR(VLOOKUP(CONCATENATE($N$68,"_",M82),'選手名簿'!$A:$E,5,FALSE))=TRUE,"",VLOOKUP(CONCATENATE($N$68,"_",M82),'選手名簿'!$A:$E,5,FALSE))</f>
        <v/>
      </c>
      <c r="P82" s="330" t="s">
        <v>557</v>
      </c>
      <c r="Q82" s="750" t="s">
        <v>580</v>
      </c>
      <c r="R82" s="750"/>
      <c r="S82" s="751"/>
      <c r="T82" s="320" t="s">
        <v>419</v>
      </c>
      <c r="U82" s="321" t="str">
        <f>IF(ISERROR(VLOOKUP(CONCATENATE($U$68,"_",V82),'選手名簿'!$A:$E,5,FALSE))=TRUE,"",VLOOKUP(CONCATENATE($U$68,"_",V82),'選手名簿'!$A:$E,5,FALSE))</f>
        <v/>
      </c>
      <c r="V82" s="322"/>
      <c r="W82" s="322"/>
      <c r="X82" s="322"/>
      <c r="Y82" s="323"/>
      <c r="Z82" s="322"/>
      <c r="AA82" s="322"/>
      <c r="AB82" s="322"/>
      <c r="AC82" s="324" t="str">
        <f>IF(ISERROR(VLOOKUP(CONCATENATE($AC$68,"_",AB82),'選手名簿'!$A:$E,5,FALSE))=TRUE,"",VLOOKUP(CONCATENATE($AC$68,"_",AB82),'選手名簿'!$A:$E,5,FALSE))</f>
        <v/>
      </c>
    </row>
    <row r="83" spans="1:29" ht="20.25" customHeight="1">
      <c r="A83" s="331" t="s">
        <v>177</v>
      </c>
      <c r="B83" s="752" t="str">
        <f>IF(ISERROR(VLOOKUP(B82,'審判員'!$A:$C,2,FALSE))=TRUE,"",VLOOKUP(B82,'審判員'!$A:$C,2,FALSE))</f>
        <v>吐合　直樹</v>
      </c>
      <c r="C83" s="753"/>
      <c r="D83" s="331" t="str">
        <f>IF(ISERROR(VLOOKUP(B82,'審判員'!$A:$C,3,FALSE))=TRUE,"",VLOOKUP(B82,'審判員'!$A:$C,3,FALSE))</f>
        <v>３級</v>
      </c>
      <c r="E83" s="333" t="s">
        <v>419</v>
      </c>
      <c r="F83" s="334" t="str">
        <f>IF(ISERROR(VLOOKUP(CONCATENATE($F$68,"_",G83),'選手名簿'!$A:$E,5,FALSE))=TRUE,"",VLOOKUP(CONCATENATE($F$68,"_",G83),'選手名簿'!$A:$E,5,FALSE))</f>
        <v/>
      </c>
      <c r="G83" s="335"/>
      <c r="H83" s="335"/>
      <c r="I83" s="335"/>
      <c r="J83" s="323"/>
      <c r="K83" s="335"/>
      <c r="L83" s="335"/>
      <c r="M83" s="335"/>
      <c r="N83" s="336" t="str">
        <f>IF(ISERROR(VLOOKUP(CONCATENATE($N$68,"_",M83),'選手名簿'!$A:$E,5,FALSE))=TRUE,"",VLOOKUP(CONCATENATE($N$68,"_",M83),'選手名簿'!$A:$E,5,FALSE))</f>
        <v/>
      </c>
      <c r="P83" s="331" t="s">
        <v>177</v>
      </c>
      <c r="Q83" s="752" t="str">
        <f>IF(ISERROR(VLOOKUP(Q82,'審判員'!$A:$C,2,FALSE))=TRUE,"",VLOOKUP(Q82,'審判員'!$A:$C,2,FALSE))</f>
        <v>長門　崚太</v>
      </c>
      <c r="R83" s="753"/>
      <c r="S83" s="331" t="str">
        <f>IF(ISERROR(VLOOKUP(Q82,'審判員'!$A:$C,3,FALSE))=TRUE,"",VLOOKUP(Q82,'審判員'!$A:$C,3,FALSE))</f>
        <v>３級</v>
      </c>
      <c r="T83" s="333" t="s">
        <v>419</v>
      </c>
      <c r="U83" s="334" t="str">
        <f>IF(ISERROR(VLOOKUP(CONCATENATE($U$68,"_",V83),'選手名簿'!$A:$E,5,FALSE))=TRUE,"",VLOOKUP(CONCATENATE($U$68,"_",V83),'選手名簿'!$A:$E,5,FALSE))</f>
        <v/>
      </c>
      <c r="V83" s="335"/>
      <c r="W83" s="335"/>
      <c r="X83" s="335"/>
      <c r="Y83" s="323"/>
      <c r="Z83" s="335"/>
      <c r="AA83" s="335"/>
      <c r="AB83" s="335"/>
      <c r="AC83" s="336" t="str">
        <f>IF(ISERROR(VLOOKUP(CONCATENATE($AC$68,"_",AB83),'選手名簿'!$A:$E,5,FALSE))=TRUE,"",VLOOKUP(CONCATENATE($AC$68,"_",AB83),'選手名簿'!$A:$E,5,FALSE))</f>
        <v/>
      </c>
    </row>
    <row r="84" spans="1:29" ht="20.25" customHeight="1">
      <c r="A84" s="330" t="s">
        <v>557</v>
      </c>
      <c r="B84" s="750" t="s">
        <v>581</v>
      </c>
      <c r="C84" s="750"/>
      <c r="D84" s="751"/>
      <c r="E84" s="333" t="s">
        <v>419</v>
      </c>
      <c r="F84" s="334" t="str">
        <f>IF(ISERROR(VLOOKUP(CONCATENATE($F$68,"_",G84),'選手名簿'!$A:$E,5,FALSE))=TRUE,"",VLOOKUP(CONCATENATE($F$68,"_",G84),'選手名簿'!$A:$E,5,FALSE))</f>
        <v/>
      </c>
      <c r="G84" s="335"/>
      <c r="H84" s="335"/>
      <c r="I84" s="335"/>
      <c r="J84" s="323"/>
      <c r="K84" s="335"/>
      <c r="L84" s="335"/>
      <c r="M84" s="335"/>
      <c r="N84" s="336" t="str">
        <f>IF(ISERROR(VLOOKUP(CONCATENATE($N$68,"_",M84),'選手名簿'!$A:$E,5,FALSE))=TRUE,"",VLOOKUP(CONCATENATE($N$68,"_",M84),'選手名簿'!$A:$E,5,FALSE))</f>
        <v/>
      </c>
      <c r="P84" s="330" t="s">
        <v>557</v>
      </c>
      <c r="Q84" s="750" t="s">
        <v>582</v>
      </c>
      <c r="R84" s="750"/>
      <c r="S84" s="751"/>
      <c r="T84" s="333" t="s">
        <v>419</v>
      </c>
      <c r="U84" s="334" t="str">
        <f>IF(ISERROR(VLOOKUP(CONCATENATE($U$68,"_",V84),'選手名簿'!$A:$E,5,FALSE))=TRUE,"",VLOOKUP(CONCATENATE($U$68,"_",V84),'選手名簿'!$A:$E,5,FALSE))</f>
        <v/>
      </c>
      <c r="V84" s="335"/>
      <c r="W84" s="335"/>
      <c r="X84" s="335"/>
      <c r="Y84" s="323"/>
      <c r="Z84" s="335"/>
      <c r="AA84" s="335"/>
      <c r="AB84" s="335"/>
      <c r="AC84" s="336" t="str">
        <f>IF(ISERROR(VLOOKUP(CONCATENATE($AC$68,"_",AB84),'選手名簿'!$A:$E,5,FALSE))=TRUE,"",VLOOKUP(CONCATENATE($AC$68,"_",AB84),'選手名簿'!$A:$E,5,FALSE))</f>
        <v/>
      </c>
    </row>
    <row r="85" spans="1:29" ht="20.25" customHeight="1">
      <c r="A85" s="331" t="s">
        <v>563</v>
      </c>
      <c r="B85" s="752" t="str">
        <f>IF(ISERROR(VLOOKUP(B84,'審判員'!$A:$C,2,FALSE))=TRUE,"",VLOOKUP(B84,'審判員'!$A:$C,2,FALSE))</f>
        <v>花崎　宏</v>
      </c>
      <c r="C85" s="753"/>
      <c r="D85" s="331" t="str">
        <f>IF(ISERROR(VLOOKUP(B84,'審判員'!$A:$C,3,FALSE))=TRUE,"",VLOOKUP(B84,'審判員'!$A:$C,3,FALSE))</f>
        <v>３級</v>
      </c>
      <c r="E85" s="333" t="s">
        <v>419</v>
      </c>
      <c r="F85" s="334" t="str">
        <f>IF(ISERROR(VLOOKUP(CONCATENATE($F$68,"_",G85),'選手名簿'!$A:$E,5,FALSE))=TRUE,"",VLOOKUP(CONCATENATE($F$68,"_",G85),'選手名簿'!$A:$E,5,FALSE))</f>
        <v/>
      </c>
      <c r="G85" s="335"/>
      <c r="H85" s="335"/>
      <c r="I85" s="335"/>
      <c r="J85" s="323"/>
      <c r="K85" s="335"/>
      <c r="L85" s="335"/>
      <c r="M85" s="335"/>
      <c r="N85" s="336" t="str">
        <f>IF(ISERROR(VLOOKUP(CONCATENATE($N$68,"_",M85),'選手名簿'!$A:$E,5,FALSE))=TRUE,"",VLOOKUP(CONCATENATE($N$68,"_",M85),'選手名簿'!$A:$E,5,FALSE))</f>
        <v/>
      </c>
      <c r="P85" s="331" t="s">
        <v>563</v>
      </c>
      <c r="Q85" s="752" t="str">
        <f>IF(ISERROR(VLOOKUP(Q84,'審判員'!$A:$C,2,FALSE))=TRUE,"",VLOOKUP(Q84,'審判員'!$A:$C,2,FALSE))</f>
        <v>渡辺　陽一郎</v>
      </c>
      <c r="R85" s="753"/>
      <c r="S85" s="331" t="str">
        <f>IF(ISERROR(VLOOKUP(Q84,'審判員'!$A:$C,3,FALSE))=TRUE,"",VLOOKUP(Q84,'審判員'!$A:$C,3,FALSE))</f>
        <v>３級</v>
      </c>
      <c r="T85" s="333" t="s">
        <v>419</v>
      </c>
      <c r="U85" s="334" t="str">
        <f>IF(ISERROR(VLOOKUP(CONCATENATE($U$68,"_",V85),'選手名簿'!$A:$E,5,FALSE))=TRUE,"",VLOOKUP(CONCATENATE($U$68,"_",V85),'選手名簿'!$A:$E,5,FALSE))</f>
        <v/>
      </c>
      <c r="V85" s="335"/>
      <c r="W85" s="335"/>
      <c r="X85" s="335"/>
      <c r="Y85" s="323"/>
      <c r="Z85" s="335"/>
      <c r="AA85" s="335"/>
      <c r="AB85" s="335"/>
      <c r="AC85" s="336" t="str">
        <f>IF(ISERROR(VLOOKUP(CONCATENATE($AC$68,"_",AB85),'選手名簿'!$A:$E,5,FALSE))=TRUE,"",VLOOKUP(CONCATENATE($AC$68,"_",AB85),'選手名簿'!$A:$E,5,FALSE))</f>
        <v/>
      </c>
    </row>
    <row r="86" spans="1:29" ht="20.25" customHeight="1">
      <c r="A86" s="330" t="s">
        <v>557</v>
      </c>
      <c r="B86" s="750" t="s">
        <v>576</v>
      </c>
      <c r="C86" s="750"/>
      <c r="D86" s="751"/>
      <c r="E86" s="333" t="s">
        <v>419</v>
      </c>
      <c r="F86" s="334" t="str">
        <f>IF(ISERROR(VLOOKUP(CONCATENATE($F$68,"_",G86),'選手名簿'!$A:$E,5,FALSE))=TRUE,"",VLOOKUP(CONCATENATE($F$68,"_",G86),'選手名簿'!$A:$E,5,FALSE))</f>
        <v/>
      </c>
      <c r="G86" s="335"/>
      <c r="H86" s="335"/>
      <c r="I86" s="335"/>
      <c r="J86" s="323"/>
      <c r="K86" s="335"/>
      <c r="L86" s="335"/>
      <c r="M86" s="335"/>
      <c r="N86" s="336" t="str">
        <f>IF(ISERROR(VLOOKUP(CONCATENATE($N$68,"_",M86),'選手名簿'!$A:$E,5,FALSE))=TRUE,"",VLOOKUP(CONCATENATE($N$68,"_",M86),'選手名簿'!$A:$E,5,FALSE))</f>
        <v/>
      </c>
      <c r="P86" s="330" t="s">
        <v>557</v>
      </c>
      <c r="Q86" s="750" t="s">
        <v>577</v>
      </c>
      <c r="R86" s="750"/>
      <c r="S86" s="751"/>
      <c r="T86" s="333" t="s">
        <v>419</v>
      </c>
      <c r="U86" s="334" t="str">
        <f>IF(ISERROR(VLOOKUP(CONCATENATE($U$68,"_",V86),'選手名簿'!$A:$E,5,FALSE))=TRUE,"",VLOOKUP(CONCATENATE($U$68,"_",V86),'選手名簿'!$A:$E,5,FALSE))</f>
        <v/>
      </c>
      <c r="V86" s="335"/>
      <c r="W86" s="335"/>
      <c r="X86" s="335"/>
      <c r="Y86" s="323"/>
      <c r="Z86" s="335"/>
      <c r="AA86" s="335"/>
      <c r="AB86" s="335"/>
      <c r="AC86" s="336" t="str">
        <f>IF(ISERROR(VLOOKUP(CONCATENATE($AC$68,"_",AB86),'選手名簿'!$A:$E,5,FALSE))=TRUE,"",VLOOKUP(CONCATENATE($AC$68,"_",AB86),'選手名簿'!$A:$E,5,FALSE))</f>
        <v/>
      </c>
    </row>
    <row r="87" spans="1:29" ht="20.25" customHeight="1">
      <c r="A87" s="331" t="s">
        <v>566</v>
      </c>
      <c r="B87" s="752" t="str">
        <f>IF(ISERROR(VLOOKUP(B86,'審判員'!$A:$C,2,FALSE))=TRUE,"",VLOOKUP(B86,'審判員'!$A:$C,2,FALSE))</f>
        <v>江藤　雅章</v>
      </c>
      <c r="C87" s="753"/>
      <c r="D87" s="331" t="str">
        <f>IF(ISERROR(VLOOKUP(B86,'審判員'!$A:$C,3,FALSE))=TRUE,"",VLOOKUP(B86,'審判員'!$A:$C,3,FALSE))</f>
        <v>３級</v>
      </c>
      <c r="E87" s="333" t="s">
        <v>419</v>
      </c>
      <c r="F87" s="334" t="str">
        <f>IF(ISERROR(VLOOKUP(CONCATENATE($F$68,"_",G87),'選手名簿'!$A:$E,5,FALSE))=TRUE,"",VLOOKUP(CONCATENATE($F$68,"_",G87),'選手名簿'!$A:$E,5,FALSE))</f>
        <v/>
      </c>
      <c r="G87" s="335"/>
      <c r="H87" s="335"/>
      <c r="I87" s="335"/>
      <c r="J87" s="323"/>
      <c r="K87" s="335"/>
      <c r="L87" s="335"/>
      <c r="M87" s="335"/>
      <c r="N87" s="336" t="str">
        <f>IF(ISERROR(VLOOKUP(CONCATENATE($N$68,"_",M87),'選手名簿'!$A:$E,5,FALSE))=TRUE,"",VLOOKUP(CONCATENATE($N$68,"_",M87),'選手名簿'!$A:$E,5,FALSE))</f>
        <v/>
      </c>
      <c r="P87" s="331" t="s">
        <v>566</v>
      </c>
      <c r="Q87" s="752" t="str">
        <f>IF(ISERROR(VLOOKUP(Q86,'審判員'!$A:$C,2,FALSE))=TRUE,"",VLOOKUP(Q86,'審判員'!$A:$C,2,FALSE))</f>
        <v>山本　貴志</v>
      </c>
      <c r="R87" s="753"/>
      <c r="S87" s="331" t="str">
        <f>IF(ISERROR(VLOOKUP(Q86,'審判員'!$A:$C,3,FALSE))=TRUE,"",VLOOKUP(Q86,'審判員'!$A:$C,3,FALSE))</f>
        <v>３級</v>
      </c>
      <c r="T87" s="333" t="s">
        <v>419</v>
      </c>
      <c r="U87" s="334" t="str">
        <f>IF(ISERROR(VLOOKUP(CONCATENATE($U$68,"_",V87),'選手名簿'!$A:$E,5,FALSE))=TRUE,"",VLOOKUP(CONCATENATE($U$68,"_",V87),'選手名簿'!$A:$E,5,FALSE))</f>
        <v/>
      </c>
      <c r="V87" s="335"/>
      <c r="W87" s="335"/>
      <c r="X87" s="335"/>
      <c r="Y87" s="323"/>
      <c r="Z87" s="335"/>
      <c r="AA87" s="335"/>
      <c r="AB87" s="335"/>
      <c r="AC87" s="336" t="str">
        <f>IF(ISERROR(VLOOKUP(CONCATENATE($AC$68,"_",AB87),'選手名簿'!$A:$E,5,FALSE))=TRUE,"",VLOOKUP(CONCATENATE($AC$68,"_",AB87),'選手名簿'!$A:$E,5,FALSE))</f>
        <v/>
      </c>
    </row>
    <row r="88" spans="1:29" ht="20.25" customHeight="1">
      <c r="A88" s="330" t="s">
        <v>557</v>
      </c>
      <c r="B88" s="750" t="s">
        <v>580</v>
      </c>
      <c r="C88" s="750"/>
      <c r="D88" s="751"/>
      <c r="E88" s="333" t="s">
        <v>419</v>
      </c>
      <c r="F88" s="334" t="str">
        <f>IF(ISERROR(VLOOKUP(CONCATENATE($F$68,"_",G88),'選手名簿'!$A:$E,5,FALSE))=TRUE,"",VLOOKUP(CONCATENATE($F$68,"_",G88),'選手名簿'!$A:$E,5,FALSE))</f>
        <v/>
      </c>
      <c r="G88" s="335"/>
      <c r="H88" s="335"/>
      <c r="I88" s="335"/>
      <c r="J88" s="323"/>
      <c r="K88" s="335"/>
      <c r="L88" s="335"/>
      <c r="M88" s="335"/>
      <c r="N88" s="336" t="str">
        <f>IF(ISERROR(VLOOKUP(CONCATENATE($N$68,"_",M88),'選手名簿'!$A:$E,5,FALSE))=TRUE,"",VLOOKUP(CONCATENATE($N$68,"_",M88),'選手名簿'!$A:$E,5,FALSE))</f>
        <v/>
      </c>
      <c r="P88" s="330" t="s">
        <v>557</v>
      </c>
      <c r="Q88" s="750" t="s">
        <v>574</v>
      </c>
      <c r="R88" s="750"/>
      <c r="S88" s="751"/>
      <c r="T88" s="333" t="s">
        <v>419</v>
      </c>
      <c r="U88" s="334" t="str">
        <f>IF(ISERROR(VLOOKUP(CONCATENATE($U$68,"_",V88),'選手名簿'!$A:$E,5,FALSE))=TRUE,"",VLOOKUP(CONCATENATE($U$68,"_",V88),'選手名簿'!$A:$E,5,FALSE))</f>
        <v/>
      </c>
      <c r="V88" s="335"/>
      <c r="W88" s="335"/>
      <c r="X88" s="335"/>
      <c r="Y88" s="323"/>
      <c r="Z88" s="335"/>
      <c r="AA88" s="335"/>
      <c r="AB88" s="335"/>
      <c r="AC88" s="336" t="str">
        <f>IF(ISERROR(VLOOKUP(CONCATENATE($AC$68,"_",AB88),'選手名簿'!$A:$E,5,FALSE))=TRUE,"",VLOOKUP(CONCATENATE($AC$68,"_",AB88),'選手名簿'!$A:$E,5,FALSE))</f>
        <v/>
      </c>
    </row>
    <row r="89" spans="1:29" ht="20.25" customHeight="1">
      <c r="A89" s="331" t="s">
        <v>568</v>
      </c>
      <c r="B89" s="752" t="str">
        <f>IF(ISERROR(VLOOKUP(B88,'審判員'!$A:$C,2,FALSE))=TRUE,"",VLOOKUP(B88,'審判員'!$A:$C,2,FALSE))</f>
        <v>長門　崚太</v>
      </c>
      <c r="C89" s="753"/>
      <c r="D89" s="331" t="str">
        <f>IF(ISERROR(VLOOKUP(B88,'審判員'!$A:$C,3,FALSE))=TRUE,"",VLOOKUP(B88,'審判員'!$A:$C,3,FALSE))</f>
        <v>３級</v>
      </c>
      <c r="E89" s="337" t="s">
        <v>419</v>
      </c>
      <c r="F89" s="338" t="str">
        <f>IF(ISERROR(VLOOKUP(CONCATENATE($F$68,"_",G89),'選手名簿'!$A:$E,5,FALSE))=TRUE,"",VLOOKUP(CONCATENATE($F$68,"_",G89),'選手名簿'!$A:$E,5,FALSE))</f>
        <v/>
      </c>
      <c r="G89" s="339"/>
      <c r="H89" s="339"/>
      <c r="I89" s="339"/>
      <c r="J89" s="328"/>
      <c r="K89" s="339"/>
      <c r="L89" s="339"/>
      <c r="M89" s="339"/>
      <c r="N89" s="340" t="str">
        <f>IF(ISERROR(VLOOKUP(CONCATENATE($N$68,"_",M89),'選手名簿'!$A:$E,5,FALSE))=TRUE,"",VLOOKUP(CONCATENATE($N$68,"_",M89),'選手名簿'!$A:$E,5,FALSE))</f>
        <v/>
      </c>
      <c r="P89" s="331" t="s">
        <v>568</v>
      </c>
      <c r="Q89" s="752" t="str">
        <f>IF(ISERROR(VLOOKUP(Q88,'審判員'!$A:$C,2,FALSE))=TRUE,"",VLOOKUP(Q88,'審判員'!$A:$C,2,FALSE))</f>
        <v>寺次　良生</v>
      </c>
      <c r="R89" s="753"/>
      <c r="S89" s="331" t="str">
        <f>IF(ISERROR(VLOOKUP(Q88,'審判員'!$A:$C,3,FALSE))=TRUE,"",VLOOKUP(Q88,'審判員'!$A:$C,3,FALSE))</f>
        <v>３級</v>
      </c>
      <c r="T89" s="337" t="s">
        <v>419</v>
      </c>
      <c r="U89" s="338" t="str">
        <f>IF(ISERROR(VLOOKUP(CONCATENATE($U$68,"_",V89),'選手名簿'!$A:$E,5,FALSE))=TRUE,"",VLOOKUP(CONCATENATE($U$68,"_",V89),'選手名簿'!$A:$E,5,FALSE))</f>
        <v/>
      </c>
      <c r="V89" s="339"/>
      <c r="W89" s="339"/>
      <c r="X89" s="339"/>
      <c r="Y89" s="328"/>
      <c r="Z89" s="339"/>
      <c r="AA89" s="339"/>
      <c r="AB89" s="339"/>
      <c r="AC89" s="340" t="str">
        <f>IF(ISERROR(VLOOKUP(CONCATENATE($AC$68,"_",AB89),'選手名簿'!$A:$E,5,FALSE))=TRUE,"",VLOOKUP(CONCATENATE($AC$68,"_",AB89),'選手名簿'!$A:$E,5,FALSE))</f>
        <v/>
      </c>
    </row>
  </sheetData>
  <mergeCells count="132">
    <mergeCell ref="A1:J1"/>
    <mergeCell ref="K1:N1"/>
    <mergeCell ref="P1:Y1"/>
    <mergeCell ref="Z1:AC1"/>
    <mergeCell ref="B3:E3"/>
    <mergeCell ref="Q3:T3"/>
    <mergeCell ref="F5:L5"/>
    <mergeCell ref="M5:N5"/>
    <mergeCell ref="U5:AA5"/>
    <mergeCell ref="AB5:AC5"/>
    <mergeCell ref="F6:L6"/>
    <mergeCell ref="M6:N6"/>
    <mergeCell ref="U6:AA6"/>
    <mergeCell ref="AB6:AC6"/>
    <mergeCell ref="F7:L7"/>
    <mergeCell ref="M7:N7"/>
    <mergeCell ref="U7:AA7"/>
    <mergeCell ref="AB7:AC7"/>
    <mergeCell ref="B10:D10"/>
    <mergeCell ref="E10:E12"/>
    <mergeCell ref="F10:F12"/>
    <mergeCell ref="G10:G12"/>
    <mergeCell ref="H10:H12"/>
    <mergeCell ref="L10:L12"/>
    <mergeCell ref="M10:M12"/>
    <mergeCell ref="N10:N12"/>
    <mergeCell ref="Q10:S10"/>
    <mergeCell ref="T10:T12"/>
    <mergeCell ref="U10:U12"/>
    <mergeCell ref="V10:V12"/>
    <mergeCell ref="W10:W12"/>
    <mergeCell ref="AA10:AA12"/>
    <mergeCell ref="AB10:AB12"/>
    <mergeCell ref="AC10:AC12"/>
    <mergeCell ref="B11:D11"/>
    <mergeCell ref="Q11:S11"/>
    <mergeCell ref="B12:D12"/>
    <mergeCell ref="Q12:S12"/>
    <mergeCell ref="A13:D13"/>
    <mergeCell ref="P13:S13"/>
    <mergeCell ref="B24:D24"/>
    <mergeCell ref="Q24:S24"/>
    <mergeCell ref="B25:C25"/>
    <mergeCell ref="Q25:R25"/>
    <mergeCell ref="B26:D26"/>
    <mergeCell ref="Q26:S26"/>
    <mergeCell ref="B27:C27"/>
    <mergeCell ref="Q27:R27"/>
    <mergeCell ref="B28:D28"/>
    <mergeCell ref="Q28:S28"/>
    <mergeCell ref="B29:C29"/>
    <mergeCell ref="Q29:R29"/>
    <mergeCell ref="B30:D30"/>
    <mergeCell ref="Q30:S30"/>
    <mergeCell ref="B31:C31"/>
    <mergeCell ref="Q31:R31"/>
    <mergeCell ref="B39:D39"/>
    <mergeCell ref="E39:E41"/>
    <mergeCell ref="F39:F41"/>
    <mergeCell ref="G39:G41"/>
    <mergeCell ref="H39:H41"/>
    <mergeCell ref="L39:L41"/>
    <mergeCell ref="M39:M41"/>
    <mergeCell ref="N39:N41"/>
    <mergeCell ref="Q39:S39"/>
    <mergeCell ref="T39:T41"/>
    <mergeCell ref="U39:U41"/>
    <mergeCell ref="V39:V41"/>
    <mergeCell ref="W39:W41"/>
    <mergeCell ref="AA39:AA41"/>
    <mergeCell ref="AB39:AB41"/>
    <mergeCell ref="AC39:AC41"/>
    <mergeCell ref="B40:D40"/>
    <mergeCell ref="Q40:S40"/>
    <mergeCell ref="B41:D41"/>
    <mergeCell ref="Q41:S41"/>
    <mergeCell ref="A42:D42"/>
    <mergeCell ref="P42:S42"/>
    <mergeCell ref="B53:D53"/>
    <mergeCell ref="Q53:S53"/>
    <mergeCell ref="B54:C54"/>
    <mergeCell ref="Q54:R54"/>
    <mergeCell ref="B55:D55"/>
    <mergeCell ref="Q55:S55"/>
    <mergeCell ref="B56:C56"/>
    <mergeCell ref="Q56:R56"/>
    <mergeCell ref="B57:D57"/>
    <mergeCell ref="Q57:S57"/>
    <mergeCell ref="B58:C58"/>
    <mergeCell ref="Q58:R58"/>
    <mergeCell ref="B59:D59"/>
    <mergeCell ref="Q59:S59"/>
    <mergeCell ref="B60:C60"/>
    <mergeCell ref="Q60:R60"/>
    <mergeCell ref="B68:D68"/>
    <mergeCell ref="E68:E70"/>
    <mergeCell ref="F68:F70"/>
    <mergeCell ref="G68:G70"/>
    <mergeCell ref="H68:H70"/>
    <mergeCell ref="L68:L70"/>
    <mergeCell ref="M68:M70"/>
    <mergeCell ref="N68:N70"/>
    <mergeCell ref="Q68:S68"/>
    <mergeCell ref="T68:T70"/>
    <mergeCell ref="U68:U70"/>
    <mergeCell ref="V68:V70"/>
    <mergeCell ref="W68:W70"/>
    <mergeCell ref="AA68:AA70"/>
    <mergeCell ref="AB68:AB70"/>
    <mergeCell ref="AC68:AC70"/>
    <mergeCell ref="B69:D69"/>
    <mergeCell ref="Q69:S69"/>
    <mergeCell ref="B70:D70"/>
    <mergeCell ref="Q70:S70"/>
    <mergeCell ref="B86:D86"/>
    <mergeCell ref="Q86:S86"/>
    <mergeCell ref="B87:C87"/>
    <mergeCell ref="Q87:R87"/>
    <mergeCell ref="B88:D88"/>
    <mergeCell ref="Q88:S88"/>
    <mergeCell ref="B89:C89"/>
    <mergeCell ref="Q89:R89"/>
    <mergeCell ref="A71:D71"/>
    <mergeCell ref="P71:S71"/>
    <mergeCell ref="B82:D82"/>
    <mergeCell ref="Q82:S82"/>
    <mergeCell ref="B83:C83"/>
    <mergeCell ref="Q83:R83"/>
    <mergeCell ref="B84:D84"/>
    <mergeCell ref="Q84:S84"/>
    <mergeCell ref="B85:C85"/>
    <mergeCell ref="Q85:R85"/>
  </mergeCells>
  <dataValidations count="1">
    <dataValidation type="list" allowBlank="1" showInputMessage="1" showErrorMessage="1" sqref="B10:D12 Q10:S12 Q39:S41 B39:D41 B68:D70 Q68:S70">
      <formula1>項目!$G$1:$G$33</formula1>
    </dataValidation>
  </dataValidations>
  <printOptions/>
  <pageMargins left="0" right="0" top="0" bottom="0" header="0" footer="0.5118110236220472"/>
  <pageSetup fitToHeight="1" fitToWidth="1" horizontalDpi="600" verticalDpi="600" orientation="landscape" paperSize="9" scale="5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C89"/>
  <sheetViews>
    <sheetView zoomScale="70" zoomScaleNormal="70" workbookViewId="0" topLeftCell="A1">
      <selection activeCell="A2" sqref="A2"/>
    </sheetView>
  </sheetViews>
  <sheetFormatPr defaultColWidth="9.00390625" defaultRowHeight="20.25" customHeight="1"/>
  <cols>
    <col min="1" max="1" width="12.125" style="303" customWidth="1"/>
    <col min="2" max="2" width="11.875" style="303" bestFit="1" customWidth="1"/>
    <col min="3" max="3" width="3.125" style="303" customWidth="1"/>
    <col min="4" max="4" width="6.75390625" style="303" bestFit="1" customWidth="1"/>
    <col min="5" max="5" width="10.125" style="303" bestFit="1" customWidth="1"/>
    <col min="6" max="6" width="20.625" style="303" customWidth="1"/>
    <col min="7" max="7" width="7.625" style="303" customWidth="1"/>
    <col min="8" max="9" width="4.875" style="303" customWidth="1"/>
    <col min="10" max="10" width="5.25390625" style="303" customWidth="1"/>
    <col min="11" max="12" width="4.875" style="303" customWidth="1"/>
    <col min="13" max="13" width="7.625" style="303" customWidth="1"/>
    <col min="14" max="14" width="20.625" style="303" customWidth="1"/>
    <col min="15" max="15" width="5.00390625" style="303" bestFit="1" customWidth="1"/>
    <col min="16" max="16" width="12.125" style="303" customWidth="1"/>
    <col min="17" max="17" width="11.875" style="303" bestFit="1" customWidth="1"/>
    <col min="18" max="18" width="3.125" style="303" customWidth="1"/>
    <col min="19" max="19" width="6.75390625" style="303" bestFit="1" customWidth="1"/>
    <col min="20" max="20" width="10.125" style="303" bestFit="1" customWidth="1"/>
    <col min="21" max="21" width="20.625" style="303" customWidth="1"/>
    <col min="22" max="22" width="7.625" style="303" customWidth="1"/>
    <col min="23" max="24" width="4.875" style="303" customWidth="1"/>
    <col min="25" max="25" width="5.25390625" style="303" customWidth="1"/>
    <col min="26" max="27" width="4.875" style="303" customWidth="1"/>
    <col min="28" max="28" width="7.625" style="303" customWidth="1"/>
    <col min="29" max="29" width="20.625" style="303" customWidth="1"/>
    <col min="30" max="16384" width="9.00390625" style="303" customWidth="1"/>
  </cols>
  <sheetData>
    <row r="1" spans="1:29" s="304" customFormat="1" ht="20.25" customHeight="1">
      <c r="A1" s="779" t="str">
        <f>'大会要項'!$B$3</f>
        <v>第11回 全日本不動産協会杯争奪U-12サッカー大会【ラビットカップ】大分県大会</v>
      </c>
      <c r="B1" s="779"/>
      <c r="C1" s="779"/>
      <c r="D1" s="779"/>
      <c r="E1" s="779"/>
      <c r="F1" s="779"/>
      <c r="G1" s="779"/>
      <c r="H1" s="779"/>
      <c r="I1" s="779"/>
      <c r="J1" s="779"/>
      <c r="K1" s="779" t="s">
        <v>545</v>
      </c>
      <c r="L1" s="779"/>
      <c r="M1" s="779"/>
      <c r="N1" s="779"/>
      <c r="O1" s="305"/>
      <c r="P1" s="779" t="str">
        <f>'大会要項'!$B$3</f>
        <v>第11回 全日本不動産協会杯争奪U-12サッカー大会【ラビットカップ】大分県大会</v>
      </c>
      <c r="Q1" s="779"/>
      <c r="R1" s="779"/>
      <c r="S1" s="779"/>
      <c r="T1" s="779"/>
      <c r="U1" s="779"/>
      <c r="V1" s="779"/>
      <c r="W1" s="779"/>
      <c r="X1" s="779"/>
      <c r="Y1" s="779"/>
      <c r="Z1" s="779" t="s">
        <v>545</v>
      </c>
      <c r="AA1" s="779"/>
      <c r="AB1" s="779"/>
      <c r="AC1" s="779"/>
    </row>
    <row r="2" spans="16:29" ht="20.25" customHeight="1">
      <c r="P2" s="306"/>
      <c r="Q2" s="306"/>
      <c r="R2" s="306"/>
      <c r="S2" s="306"/>
      <c r="T2" s="306"/>
      <c r="U2" s="306"/>
      <c r="V2" s="306"/>
      <c r="W2" s="306"/>
      <c r="X2" s="306"/>
      <c r="Y2" s="306"/>
      <c r="Z2" s="306"/>
      <c r="AA2" s="306"/>
      <c r="AB2" s="306"/>
      <c r="AC2" s="306"/>
    </row>
    <row r="3" spans="1:29" ht="20.25" customHeight="1">
      <c r="A3" s="303" t="s">
        <v>64</v>
      </c>
      <c r="B3" s="780" t="str">
        <f>'予選リーグ'!I14</f>
        <v>西部スポーツ交流ひろば「人工芝」</v>
      </c>
      <c r="C3" s="780"/>
      <c r="D3" s="780"/>
      <c r="E3" s="780"/>
      <c r="F3" s="307" t="str">
        <f>'予選リーグ'!I15</f>
        <v>「A」コート</v>
      </c>
      <c r="G3" s="307"/>
      <c r="H3" s="307"/>
      <c r="I3" s="307"/>
      <c r="J3" s="307"/>
      <c r="K3" s="307"/>
      <c r="L3" s="307"/>
      <c r="P3" s="303" t="s">
        <v>64</v>
      </c>
      <c r="Q3" s="780" t="str">
        <f>'予選リーグ'!I14</f>
        <v>西部スポーツ交流ひろば「人工芝」</v>
      </c>
      <c r="R3" s="780"/>
      <c r="S3" s="780"/>
      <c r="T3" s="780"/>
      <c r="U3" s="307" t="str">
        <f>'予選リーグ'!I15</f>
        <v>「A」コート</v>
      </c>
      <c r="V3" s="308"/>
      <c r="W3" s="308"/>
      <c r="X3" s="308"/>
      <c r="Y3" s="308"/>
      <c r="Z3" s="308"/>
      <c r="AA3" s="308"/>
      <c r="AB3" s="308"/>
      <c r="AC3" s="308"/>
    </row>
    <row r="4" spans="16:29" ht="20.25" customHeight="1">
      <c r="P4" s="306"/>
      <c r="Q4" s="306"/>
      <c r="R4" s="306"/>
      <c r="S4" s="306"/>
      <c r="T4" s="306"/>
      <c r="U4" s="306"/>
      <c r="V4" s="306"/>
      <c r="W4" s="306"/>
      <c r="X4" s="306"/>
      <c r="Y4" s="306"/>
      <c r="Z4" s="306"/>
      <c r="AA4" s="306"/>
      <c r="AB4" s="306"/>
      <c r="AC4" s="306"/>
    </row>
    <row r="5" spans="5:29" ht="20.25" customHeight="1">
      <c r="E5" s="309" t="s">
        <v>450</v>
      </c>
      <c r="F5" s="781" t="str">
        <f>VLOOKUP(E5,'組合せ抽選用'!$Q:$U,5,FALSE)</f>
        <v>スマイス・セレソン</v>
      </c>
      <c r="G5" s="781"/>
      <c r="H5" s="781"/>
      <c r="I5" s="781"/>
      <c r="J5" s="781"/>
      <c r="K5" s="781"/>
      <c r="L5" s="781"/>
      <c r="M5" s="781" t="str">
        <f>VLOOKUP(E5,'組合せ抽選用'!$Q:$V,6,FALSE)</f>
        <v>別府</v>
      </c>
      <c r="N5" s="782"/>
      <c r="R5" s="306"/>
      <c r="S5" s="306"/>
      <c r="T5" s="309" t="s">
        <v>451</v>
      </c>
      <c r="U5" s="781" t="str">
        <f>VLOOKUP(T5,'組合せ抽選用'!$Q:$U,5,FALSE)</f>
        <v>市浜レッドソックス</v>
      </c>
      <c r="V5" s="781"/>
      <c r="W5" s="781"/>
      <c r="X5" s="781"/>
      <c r="Y5" s="781"/>
      <c r="Z5" s="781"/>
      <c r="AA5" s="781"/>
      <c r="AB5" s="781" t="str">
        <f>VLOOKUP(T5,'組合せ抽選用'!$Q:$V,6,FALSE)</f>
        <v>臼杵/津久見</v>
      </c>
      <c r="AC5" s="782"/>
    </row>
    <row r="6" spans="5:29" ht="20.25" customHeight="1">
      <c r="E6" s="310" t="s">
        <v>441</v>
      </c>
      <c r="F6" s="775" t="str">
        <f>VLOOKUP(E6,'組合せ抽選用'!$Q:$U,5,FALSE)</f>
        <v>大分トリニータＵ－１２</v>
      </c>
      <c r="G6" s="775"/>
      <c r="H6" s="775"/>
      <c r="I6" s="775"/>
      <c r="J6" s="775"/>
      <c r="K6" s="775"/>
      <c r="L6" s="775"/>
      <c r="M6" s="775" t="str">
        <f>VLOOKUP(E6,'組合せ抽選用'!$Q:$V,6,FALSE)</f>
        <v>大分</v>
      </c>
      <c r="N6" s="776"/>
      <c r="P6" s="306"/>
      <c r="Q6" s="306"/>
      <c r="R6" s="306"/>
      <c r="S6" s="306"/>
      <c r="T6" s="310" t="s">
        <v>433</v>
      </c>
      <c r="U6" s="775" t="str">
        <f>VLOOKUP(T6,'組合せ抽選用'!$Q:$U,5,FALSE)</f>
        <v>アトレチコエラン横瀬</v>
      </c>
      <c r="V6" s="775"/>
      <c r="W6" s="775"/>
      <c r="X6" s="775"/>
      <c r="Y6" s="775"/>
      <c r="Z6" s="775"/>
      <c r="AA6" s="775"/>
      <c r="AB6" s="775" t="str">
        <f>VLOOKUP(T6,'組合せ抽選用'!$Q:$V,6,FALSE)</f>
        <v>大分</v>
      </c>
      <c r="AC6" s="776"/>
    </row>
    <row r="7" spans="5:29" ht="20.25" customHeight="1">
      <c r="E7" s="311" t="s">
        <v>456</v>
      </c>
      <c r="F7" s="777" t="str">
        <f>VLOOKUP(E7,'組合せ抽選用'!$Q:$U,5,FALSE)</f>
        <v>ＦＣアリアーレ</v>
      </c>
      <c r="G7" s="777"/>
      <c r="H7" s="777"/>
      <c r="I7" s="777"/>
      <c r="J7" s="777"/>
      <c r="K7" s="777"/>
      <c r="L7" s="777"/>
      <c r="M7" s="777" t="str">
        <f>VLOOKUP(E7,'組合せ抽選用'!$Q:$V,6,FALSE)</f>
        <v>日田/玖珠</v>
      </c>
      <c r="N7" s="778"/>
      <c r="P7" s="306"/>
      <c r="Q7" s="306"/>
      <c r="R7" s="306"/>
      <c r="S7" s="306"/>
      <c r="T7" s="311" t="s">
        <v>457</v>
      </c>
      <c r="U7" s="777" t="str">
        <f>VLOOKUP(T7,'組合せ抽選用'!$Q:$U,5,FALSE)</f>
        <v>ＦＣ　ＵＮＩＴＥ</v>
      </c>
      <c r="V7" s="777"/>
      <c r="W7" s="777"/>
      <c r="X7" s="777"/>
      <c r="Y7" s="777"/>
      <c r="Z7" s="777"/>
      <c r="AA7" s="777"/>
      <c r="AB7" s="777" t="str">
        <f>VLOOKUP(T7,'組合せ抽選用'!$Q:$V,6,FALSE)</f>
        <v>宇佐高田</v>
      </c>
      <c r="AC7" s="778"/>
    </row>
    <row r="8" spans="16:29" ht="20.25" customHeight="1">
      <c r="P8" s="306"/>
      <c r="Q8" s="306"/>
      <c r="R8" s="306"/>
      <c r="S8" s="306"/>
      <c r="T8" s="306"/>
      <c r="U8" s="306"/>
      <c r="V8" s="306"/>
      <c r="W8" s="306"/>
      <c r="X8" s="306"/>
      <c r="Y8" s="306"/>
      <c r="Z8" s="306"/>
      <c r="AA8" s="306"/>
      <c r="AB8" s="306"/>
      <c r="AC8" s="306"/>
    </row>
    <row r="10" spans="1:29" ht="27.4" customHeight="1">
      <c r="A10" s="312" t="s">
        <v>546</v>
      </c>
      <c r="B10" s="772" t="s">
        <v>583</v>
      </c>
      <c r="C10" s="773"/>
      <c r="D10" s="774"/>
      <c r="E10" s="756">
        <v>0.4375</v>
      </c>
      <c r="F10" s="759" t="str">
        <f>F5</f>
        <v>スマイス・セレソン</v>
      </c>
      <c r="G10" s="762">
        <f>SUM(I10:I11)</f>
        <v>0</v>
      </c>
      <c r="H10" s="765" t="s">
        <v>294</v>
      </c>
      <c r="I10" s="313">
        <v>0</v>
      </c>
      <c r="J10" s="313" t="s">
        <v>548</v>
      </c>
      <c r="K10" s="313">
        <v>2</v>
      </c>
      <c r="L10" s="765" t="s">
        <v>549</v>
      </c>
      <c r="M10" s="762">
        <f>SUM(K10:K11)</f>
        <v>3</v>
      </c>
      <c r="N10" s="768" t="str">
        <f>F6</f>
        <v>大分トリニータＵ－１２</v>
      </c>
      <c r="P10" s="312" t="s">
        <v>546</v>
      </c>
      <c r="Q10" s="772" t="s">
        <v>584</v>
      </c>
      <c r="R10" s="773"/>
      <c r="S10" s="774"/>
      <c r="T10" s="756">
        <v>0.4791666666666667</v>
      </c>
      <c r="U10" s="759" t="str">
        <f>U5</f>
        <v>市浜レッドソックス</v>
      </c>
      <c r="V10" s="762">
        <f>SUM(X10:X11)</f>
        <v>1</v>
      </c>
      <c r="W10" s="765" t="s">
        <v>294</v>
      </c>
      <c r="X10" s="313">
        <v>1</v>
      </c>
      <c r="Y10" s="313" t="s">
        <v>548</v>
      </c>
      <c r="Z10" s="313">
        <v>1</v>
      </c>
      <c r="AA10" s="765" t="s">
        <v>549</v>
      </c>
      <c r="AB10" s="762">
        <f>SUM(Z10:Z11)</f>
        <v>2</v>
      </c>
      <c r="AC10" s="768" t="str">
        <f>U6</f>
        <v>アトレチコエラン横瀬</v>
      </c>
    </row>
    <row r="11" spans="1:29" ht="27.4" customHeight="1">
      <c r="A11" s="314" t="s">
        <v>551</v>
      </c>
      <c r="B11" s="771" t="s">
        <v>16</v>
      </c>
      <c r="C11" s="771"/>
      <c r="D11" s="772"/>
      <c r="E11" s="757"/>
      <c r="F11" s="760"/>
      <c r="G11" s="763"/>
      <c r="H11" s="766"/>
      <c r="I11" s="303">
        <v>0</v>
      </c>
      <c r="J11" s="303" t="s">
        <v>552</v>
      </c>
      <c r="K11" s="303">
        <v>1</v>
      </c>
      <c r="L11" s="766"/>
      <c r="M11" s="763"/>
      <c r="N11" s="769"/>
      <c r="P11" s="314" t="s">
        <v>551</v>
      </c>
      <c r="Q11" s="771" t="s">
        <v>16</v>
      </c>
      <c r="R11" s="771"/>
      <c r="S11" s="772"/>
      <c r="T11" s="757"/>
      <c r="U11" s="760"/>
      <c r="V11" s="763"/>
      <c r="W11" s="766"/>
      <c r="X11" s="303">
        <v>0</v>
      </c>
      <c r="Y11" s="303" t="s">
        <v>552</v>
      </c>
      <c r="Z11" s="303">
        <v>1</v>
      </c>
      <c r="AA11" s="766"/>
      <c r="AB11" s="763"/>
      <c r="AC11" s="769"/>
    </row>
    <row r="12" spans="1:29" ht="27.4" customHeight="1">
      <c r="A12" s="314" t="s">
        <v>553</v>
      </c>
      <c r="B12" s="771" t="s">
        <v>585</v>
      </c>
      <c r="C12" s="771"/>
      <c r="D12" s="772"/>
      <c r="E12" s="758"/>
      <c r="F12" s="761"/>
      <c r="G12" s="764"/>
      <c r="H12" s="767"/>
      <c r="I12" s="315"/>
      <c r="J12" s="315" t="s">
        <v>555</v>
      </c>
      <c r="K12" s="315"/>
      <c r="L12" s="767"/>
      <c r="M12" s="764"/>
      <c r="N12" s="770"/>
      <c r="P12" s="314" t="s">
        <v>553</v>
      </c>
      <c r="Q12" s="771" t="s">
        <v>583</v>
      </c>
      <c r="R12" s="771"/>
      <c r="S12" s="772"/>
      <c r="T12" s="758"/>
      <c r="U12" s="761"/>
      <c r="V12" s="764"/>
      <c r="W12" s="767"/>
      <c r="X12" s="315"/>
      <c r="Y12" s="315" t="s">
        <v>555</v>
      </c>
      <c r="Z12" s="315"/>
      <c r="AA12" s="767"/>
      <c r="AB12" s="764"/>
      <c r="AC12" s="770"/>
    </row>
    <row r="13" spans="1:29" ht="20.25" customHeight="1">
      <c r="A13" s="754" t="s">
        <v>556</v>
      </c>
      <c r="B13" s="754"/>
      <c r="C13" s="754"/>
      <c r="D13" s="754"/>
      <c r="E13" s="316"/>
      <c r="F13" s="317" t="s">
        <v>418</v>
      </c>
      <c r="G13" s="317" t="s">
        <v>557</v>
      </c>
      <c r="H13" s="317" t="s">
        <v>524</v>
      </c>
      <c r="I13" s="317"/>
      <c r="J13" s="318"/>
      <c r="K13" s="317"/>
      <c r="L13" s="317" t="s">
        <v>524</v>
      </c>
      <c r="M13" s="317" t="s">
        <v>557</v>
      </c>
      <c r="N13" s="319" t="s">
        <v>418</v>
      </c>
      <c r="P13" s="754" t="s">
        <v>556</v>
      </c>
      <c r="Q13" s="754"/>
      <c r="R13" s="754"/>
      <c r="S13" s="755"/>
      <c r="T13" s="316"/>
      <c r="U13" s="317" t="s">
        <v>418</v>
      </c>
      <c r="V13" s="317" t="s">
        <v>557</v>
      </c>
      <c r="W13" s="317" t="s">
        <v>524</v>
      </c>
      <c r="X13" s="317"/>
      <c r="Y13" s="318"/>
      <c r="Z13" s="317"/>
      <c r="AA13" s="317" t="s">
        <v>524</v>
      </c>
      <c r="AB13" s="317" t="s">
        <v>557</v>
      </c>
      <c r="AC13" s="319" t="s">
        <v>418</v>
      </c>
    </row>
    <row r="14" spans="5:29" ht="20.25" customHeight="1" hidden="1">
      <c r="E14" s="320" t="s">
        <v>558</v>
      </c>
      <c r="F14" s="321" t="str">
        <f>IF(ISERROR(VLOOKUP(CONCATENATE($F$10,"_",G14),'選手名簿'!$A:$E,5,FALSE))=TRUE,"",VLOOKUP(CONCATENATE($F$10,"_",G14),'選手名簿'!$A:$E,5,FALSE))</f>
        <v/>
      </c>
      <c r="G14" s="322"/>
      <c r="H14" s="322"/>
      <c r="I14" s="322"/>
      <c r="J14" s="323"/>
      <c r="K14" s="322"/>
      <c r="L14" s="322"/>
      <c r="M14" s="322"/>
      <c r="N14" s="324" t="str">
        <f>IF(ISERROR(VLOOKUP(CONCATENATE($N$10,"_",M14),'選手名簿'!$A:$E,5,FALSE))=TRUE,"",VLOOKUP(CONCATENATE($N$10,"_",M14),'選手名簿'!$A:$E,5,FALSE))</f>
        <v/>
      </c>
      <c r="T14" s="320" t="s">
        <v>558</v>
      </c>
      <c r="U14" s="321" t="str">
        <f>IF(ISERROR(VLOOKUP(CONCATENATE($U$10,"_",V14),'選手名簿'!$A:$E,5,FALSE))=TRUE,"",VLOOKUP(CONCATENATE($U$10,"_",V14),'選手名簿'!$A:$E,5,FALSE))</f>
        <v/>
      </c>
      <c r="V14" s="322"/>
      <c r="W14" s="322"/>
      <c r="X14" s="322"/>
      <c r="Y14" s="323"/>
      <c r="Z14" s="322"/>
      <c r="AA14" s="322"/>
      <c r="AB14" s="322"/>
      <c r="AC14" s="324" t="str">
        <f>IF(ISERROR(VLOOKUP(CONCATENATE($AC$10,"_",AB14),'選手名簿'!$A:$E,5,FALSE))=TRUE,"",VLOOKUP(CONCATENATE($AC$10,"_",AB14),'選手名簿'!$A:$E,5,FALSE))</f>
        <v/>
      </c>
    </row>
    <row r="15" spans="5:29" ht="20.25" customHeight="1" hidden="1">
      <c r="E15" s="320" t="s">
        <v>558</v>
      </c>
      <c r="F15" s="321" t="str">
        <f>IF(ISERROR(VLOOKUP(CONCATENATE($F$10,"_",G15),'選手名簿'!$A:$E,5,FALSE))=TRUE,"",VLOOKUP(CONCATENATE($F$10,"_",G15),'選手名簿'!$A:$E,5,FALSE))</f>
        <v/>
      </c>
      <c r="G15" s="322"/>
      <c r="H15" s="322"/>
      <c r="I15" s="322"/>
      <c r="J15" s="323"/>
      <c r="K15" s="322"/>
      <c r="L15" s="322"/>
      <c r="M15" s="322"/>
      <c r="N15" s="324" t="str">
        <f>IF(ISERROR(VLOOKUP(CONCATENATE($N$10,"_",M15),'選手名簿'!$A:$E,5,FALSE))=TRUE,"",VLOOKUP(CONCATENATE($N$10,"_",M15),'選手名簿'!$A:$E,5,FALSE))</f>
        <v/>
      </c>
      <c r="T15" s="320" t="s">
        <v>558</v>
      </c>
      <c r="U15" s="321" t="str">
        <f>IF(ISERROR(VLOOKUP(CONCATENATE($U$10,"_",V15),'選手名簿'!$A:$E,5,FALSE))=TRUE,"",VLOOKUP(CONCATENATE($U$10,"_",V15),'選手名簿'!$A:$E,5,FALSE))</f>
        <v/>
      </c>
      <c r="V15" s="322"/>
      <c r="W15" s="322"/>
      <c r="X15" s="322"/>
      <c r="Y15" s="323"/>
      <c r="Z15" s="322"/>
      <c r="AA15" s="322"/>
      <c r="AB15" s="322"/>
      <c r="AC15" s="324" t="str">
        <f>IF(ISERROR(VLOOKUP(CONCATENATE($AC$10,"_",AB15),'選手名簿'!$A:$E,5,FALSE))=TRUE,"",VLOOKUP(CONCATENATE($AC$10,"_",AB15),'選手名簿'!$A:$E,5,FALSE))</f>
        <v/>
      </c>
    </row>
    <row r="16" spans="5:29" ht="20.25" customHeight="1" hidden="1">
      <c r="E16" s="320" t="s">
        <v>558</v>
      </c>
      <c r="F16" s="321" t="str">
        <f>IF(ISERROR(VLOOKUP(CONCATENATE($F$10,"_",G16),'選手名簿'!$A:$E,5,FALSE))=TRUE,"",VLOOKUP(CONCATENATE($F$10,"_",G16),'選手名簿'!$A:$E,5,FALSE))</f>
        <v/>
      </c>
      <c r="G16" s="322"/>
      <c r="H16" s="322"/>
      <c r="I16" s="322"/>
      <c r="J16" s="323"/>
      <c r="K16" s="322"/>
      <c r="L16" s="322"/>
      <c r="M16" s="322"/>
      <c r="N16" s="324" t="str">
        <f>IF(ISERROR(VLOOKUP(CONCATENATE($N$10,"_",M16),'選手名簿'!$A:$E,5,FALSE))=TRUE,"",VLOOKUP(CONCATENATE($N$10,"_",M16),'選手名簿'!$A:$E,5,FALSE))</f>
        <v/>
      </c>
      <c r="T16" s="320" t="s">
        <v>558</v>
      </c>
      <c r="U16" s="321" t="str">
        <f>IF(ISERROR(VLOOKUP(CONCATENATE($U$10,"_",V16),'選手名簿'!$A:$E,5,FALSE))=TRUE,"",VLOOKUP(CONCATENATE($U$10,"_",V16),'選手名簿'!$A:$E,5,FALSE))</f>
        <v/>
      </c>
      <c r="V16" s="322"/>
      <c r="W16" s="322"/>
      <c r="X16" s="322"/>
      <c r="Y16" s="323"/>
      <c r="Z16" s="322"/>
      <c r="AA16" s="322"/>
      <c r="AB16" s="322"/>
      <c r="AC16" s="324" t="str">
        <f>IF(ISERROR(VLOOKUP(CONCATENATE($AC$10,"_",AB16),'選手名簿'!$A:$E,5,FALSE))=TRUE,"",VLOOKUP(CONCATENATE($AC$10,"_",AB16),'選手名簿'!$A:$E,5,FALSE))</f>
        <v/>
      </c>
    </row>
    <row r="17" spans="5:29" ht="20.25" customHeight="1" hidden="1">
      <c r="E17" s="320" t="s">
        <v>558</v>
      </c>
      <c r="F17" s="321" t="str">
        <f>IF(ISERROR(VLOOKUP(CONCATENATE($F$10,"_",G17),'選手名簿'!$A:$E,5,FALSE))=TRUE,"",VLOOKUP(CONCATENATE($F$10,"_",G17),'選手名簿'!$A:$E,5,FALSE))</f>
        <v/>
      </c>
      <c r="G17" s="322"/>
      <c r="H17" s="322"/>
      <c r="I17" s="322"/>
      <c r="J17" s="323"/>
      <c r="K17" s="322"/>
      <c r="L17" s="322"/>
      <c r="M17" s="322"/>
      <c r="N17" s="324" t="str">
        <f>IF(ISERROR(VLOOKUP(CONCATENATE($N$10,"_",M17),'選手名簿'!$A:$E,5,FALSE))=TRUE,"",VLOOKUP(CONCATENATE($N$10,"_",M17),'選手名簿'!$A:$E,5,FALSE))</f>
        <v/>
      </c>
      <c r="T17" s="320" t="s">
        <v>558</v>
      </c>
      <c r="U17" s="321" t="str">
        <f>IF(ISERROR(VLOOKUP(CONCATENATE($U$10,"_",V17),'選手名簿'!$A:$E,5,FALSE))=TRUE,"",VLOOKUP(CONCATENATE($U$10,"_",V17),'選手名簿'!$A:$E,5,FALSE))</f>
        <v/>
      </c>
      <c r="V17" s="322"/>
      <c r="W17" s="322"/>
      <c r="X17" s="322"/>
      <c r="Y17" s="323"/>
      <c r="Z17" s="322"/>
      <c r="AA17" s="322"/>
      <c r="AB17" s="322"/>
      <c r="AC17" s="324" t="str">
        <f>IF(ISERROR(VLOOKUP(CONCATENATE($AC$10,"_",AB17),'選手名簿'!$A:$E,5,FALSE))=TRUE,"",VLOOKUP(CONCATENATE($AC$10,"_",AB17),'選手名簿'!$A:$E,5,FALSE))</f>
        <v/>
      </c>
    </row>
    <row r="18" spans="5:29" ht="20.25" customHeight="1" hidden="1">
      <c r="E18" s="320" t="s">
        <v>558</v>
      </c>
      <c r="F18" s="321" t="str">
        <f>IF(ISERROR(VLOOKUP(CONCATENATE($F$10,"_",G18),'選手名簿'!$A:$E,5,FALSE))=TRUE,"",VLOOKUP(CONCATENATE($F$10,"_",G18),'選手名簿'!$A:$E,5,FALSE))</f>
        <v/>
      </c>
      <c r="G18" s="322"/>
      <c r="H18" s="322"/>
      <c r="I18" s="322"/>
      <c r="J18" s="323"/>
      <c r="K18" s="322"/>
      <c r="L18" s="322"/>
      <c r="M18" s="322"/>
      <c r="N18" s="324" t="str">
        <f>IF(ISERROR(VLOOKUP(CONCATENATE($N$10,"_",M18),'選手名簿'!$A:$E,5,FALSE))=TRUE,"",VLOOKUP(CONCATENATE($N$10,"_",M18),'選手名簿'!$A:$E,5,FALSE))</f>
        <v/>
      </c>
      <c r="T18" s="320" t="s">
        <v>558</v>
      </c>
      <c r="U18" s="321" t="str">
        <f>IF(ISERROR(VLOOKUP(CONCATENATE($U$10,"_",V18),'選手名簿'!$A:$E,5,FALSE))=TRUE,"",VLOOKUP(CONCATENATE($U$10,"_",V18),'選手名簿'!$A:$E,5,FALSE))</f>
        <v/>
      </c>
      <c r="V18" s="322"/>
      <c r="W18" s="322"/>
      <c r="X18" s="322"/>
      <c r="Y18" s="323"/>
      <c r="Z18" s="322"/>
      <c r="AA18" s="322"/>
      <c r="AB18" s="322"/>
      <c r="AC18" s="324" t="str">
        <f>IF(ISERROR(VLOOKUP(CONCATENATE($AC$10,"_",AB18),'選手名簿'!$A:$E,5,FALSE))=TRUE,"",VLOOKUP(CONCATENATE($AC$10,"_",AB18),'選手名簿'!$A:$E,5,FALSE))</f>
        <v/>
      </c>
    </row>
    <row r="19" spans="5:29" ht="20.25" customHeight="1" hidden="1">
      <c r="E19" s="320" t="s">
        <v>558</v>
      </c>
      <c r="F19" s="321" t="str">
        <f>IF(ISERROR(VLOOKUP(CONCATENATE($F$10,"_",G19),'選手名簿'!$A:$E,5,FALSE))=TRUE,"",VLOOKUP(CONCATENATE($F$10,"_",G19),'選手名簿'!$A:$E,5,FALSE))</f>
        <v/>
      </c>
      <c r="G19" s="322"/>
      <c r="H19" s="322"/>
      <c r="I19" s="322"/>
      <c r="J19" s="323"/>
      <c r="K19" s="322"/>
      <c r="L19" s="322"/>
      <c r="M19" s="322"/>
      <c r="N19" s="324" t="str">
        <f>IF(ISERROR(VLOOKUP(CONCATENATE($N$10,"_",M19),'選手名簿'!$A:$E,5,FALSE))=TRUE,"",VLOOKUP(CONCATENATE($N$10,"_",M19),'選手名簿'!$A:$E,5,FALSE))</f>
        <v/>
      </c>
      <c r="T19" s="320" t="s">
        <v>558</v>
      </c>
      <c r="U19" s="321" t="str">
        <f>IF(ISERROR(VLOOKUP(CONCATENATE($U$10,"_",V19),'選手名簿'!$A:$E,5,FALSE))=TRUE,"",VLOOKUP(CONCATENATE($U$10,"_",V19),'選手名簿'!$A:$E,5,FALSE))</f>
        <v/>
      </c>
      <c r="V19" s="322"/>
      <c r="W19" s="322"/>
      <c r="X19" s="322"/>
      <c r="Y19" s="323"/>
      <c r="Z19" s="322"/>
      <c r="AA19" s="322"/>
      <c r="AB19" s="322"/>
      <c r="AC19" s="324" t="str">
        <f>IF(ISERROR(VLOOKUP(CONCATENATE($AC$10,"_",AB19),'選手名簿'!$A:$E,5,FALSE))=TRUE,"",VLOOKUP(CONCATENATE($AC$10,"_",AB19),'選手名簿'!$A:$E,5,FALSE))</f>
        <v/>
      </c>
    </row>
    <row r="20" spans="5:29" ht="20.25" customHeight="1" hidden="1">
      <c r="E20" s="320" t="s">
        <v>558</v>
      </c>
      <c r="F20" s="321" t="str">
        <f>IF(ISERROR(VLOOKUP(CONCATENATE($F$10,"_",G20),'選手名簿'!$A:$E,5,FALSE))=TRUE,"",VLOOKUP(CONCATENATE($F$10,"_",G20),'選手名簿'!$A:$E,5,FALSE))</f>
        <v/>
      </c>
      <c r="G20" s="322"/>
      <c r="H20" s="322"/>
      <c r="I20" s="322"/>
      <c r="J20" s="323"/>
      <c r="K20" s="322"/>
      <c r="L20" s="322"/>
      <c r="M20" s="322"/>
      <c r="N20" s="324" t="str">
        <f>IF(ISERROR(VLOOKUP(CONCATENATE($N$10,"_",M20),'選手名簿'!$A:$E,5,FALSE))=TRUE,"",VLOOKUP(CONCATENATE($N$10,"_",M20),'選手名簿'!$A:$E,5,FALSE))</f>
        <v/>
      </c>
      <c r="T20" s="320" t="s">
        <v>558</v>
      </c>
      <c r="U20" s="321" t="str">
        <f>IF(ISERROR(VLOOKUP(CONCATENATE($U$10,"_",V20),'選手名簿'!$A:$E,5,FALSE))=TRUE,"",VLOOKUP(CONCATENATE($U$10,"_",V20),'選手名簿'!$A:$E,5,FALSE))</f>
        <v/>
      </c>
      <c r="V20" s="322"/>
      <c r="W20" s="322"/>
      <c r="X20" s="322"/>
      <c r="Y20" s="323"/>
      <c r="Z20" s="322"/>
      <c r="AA20" s="322"/>
      <c r="AB20" s="322"/>
      <c r="AC20" s="324" t="str">
        <f>IF(ISERROR(VLOOKUP(CONCATENATE($AC$10,"_",AB20),'選手名簿'!$A:$E,5,FALSE))=TRUE,"",VLOOKUP(CONCATENATE($AC$10,"_",AB20),'選手名簿'!$A:$E,5,FALSE))</f>
        <v/>
      </c>
    </row>
    <row r="21" spans="5:29" ht="20.25" customHeight="1" hidden="1">
      <c r="E21" s="320" t="s">
        <v>558</v>
      </c>
      <c r="F21" s="321" t="str">
        <f>IF(ISERROR(VLOOKUP(CONCATENATE($F$10,"_",G21),'選手名簿'!$A:$E,5,FALSE))=TRUE,"",VLOOKUP(CONCATENATE($F$10,"_",G21),'選手名簿'!$A:$E,5,FALSE))</f>
        <v/>
      </c>
      <c r="G21" s="322"/>
      <c r="H21" s="322"/>
      <c r="I21" s="322"/>
      <c r="J21" s="323"/>
      <c r="K21" s="322"/>
      <c r="L21" s="322"/>
      <c r="M21" s="322"/>
      <c r="N21" s="324" t="str">
        <f>IF(ISERROR(VLOOKUP(CONCATENATE($N$10,"_",M21),'選手名簿'!$A:$E,5,FALSE))=TRUE,"",VLOOKUP(CONCATENATE($N$10,"_",M21),'選手名簿'!$A:$E,5,FALSE))</f>
        <v/>
      </c>
      <c r="T21" s="320" t="s">
        <v>558</v>
      </c>
      <c r="U21" s="321" t="str">
        <f>IF(ISERROR(VLOOKUP(CONCATENATE($U$10,"_",V21),'選手名簿'!$A:$E,5,FALSE))=TRUE,"",VLOOKUP(CONCATENATE($U$10,"_",V21),'選手名簿'!$A:$E,5,FALSE))</f>
        <v/>
      </c>
      <c r="V21" s="322"/>
      <c r="W21" s="322"/>
      <c r="X21" s="322"/>
      <c r="Y21" s="323"/>
      <c r="Z21" s="322"/>
      <c r="AA21" s="322"/>
      <c r="AB21" s="322"/>
      <c r="AC21" s="324" t="str">
        <f>IF(ISERROR(VLOOKUP(CONCATENATE($AC$10,"_",AB21),'選手名簿'!$A:$E,5,FALSE))=TRUE,"",VLOOKUP(CONCATENATE($AC$10,"_",AB21),'選手名簿'!$A:$E,5,FALSE))</f>
        <v/>
      </c>
    </row>
    <row r="22" spans="5:29" ht="20.25" customHeight="1" hidden="1">
      <c r="E22" s="320" t="s">
        <v>558</v>
      </c>
      <c r="F22" s="321" t="str">
        <f>IF(ISERROR(VLOOKUP(CONCATENATE($F$10,"_",G22),'選手名簿'!$A:$E,5,FALSE))=TRUE,"",VLOOKUP(CONCATENATE($F$10,"_",G22),'選手名簿'!$A:$E,5,FALSE))</f>
        <v/>
      </c>
      <c r="G22" s="322"/>
      <c r="H22" s="322"/>
      <c r="I22" s="322"/>
      <c r="J22" s="323"/>
      <c r="K22" s="322"/>
      <c r="L22" s="322"/>
      <c r="M22" s="322"/>
      <c r="N22" s="324" t="str">
        <f>IF(ISERROR(VLOOKUP(CONCATENATE($N$10,"_",M22),'選手名簿'!$A:$E,5,FALSE))=TRUE,"",VLOOKUP(CONCATENATE($N$10,"_",M22),'選手名簿'!$A:$E,5,FALSE))</f>
        <v/>
      </c>
      <c r="T22" s="320" t="s">
        <v>558</v>
      </c>
      <c r="U22" s="321" t="str">
        <f>IF(ISERROR(VLOOKUP(CONCATENATE($U$10,"_",V22),'選手名簿'!$A:$E,5,FALSE))=TRUE,"",VLOOKUP(CONCATENATE($U$10,"_",V22),'選手名簿'!$A:$E,5,FALSE))</f>
        <v/>
      </c>
      <c r="V22" s="322"/>
      <c r="W22" s="322"/>
      <c r="X22" s="322"/>
      <c r="Y22" s="323"/>
      <c r="Z22" s="322"/>
      <c r="AA22" s="322"/>
      <c r="AB22" s="322"/>
      <c r="AC22" s="324" t="str">
        <f>IF(ISERROR(VLOOKUP(CONCATENATE($AC$10,"_",AB22),'選手名簿'!$A:$E,5,FALSE))=TRUE,"",VLOOKUP(CONCATENATE($AC$10,"_",AB22),'選手名簿'!$A:$E,5,FALSE))</f>
        <v/>
      </c>
    </row>
    <row r="23" spans="5:29" ht="20.25" customHeight="1" hidden="1">
      <c r="E23" s="325" t="s">
        <v>558</v>
      </c>
      <c r="F23" s="326" t="str">
        <f>IF(ISERROR(VLOOKUP(CONCATENATE($F$10,"_",G23),'選手名簿'!$A:$E,5,FALSE))=TRUE,"",VLOOKUP(CONCATENATE($F$10,"_",G23),'選手名簿'!$A:$E,5,FALSE))</f>
        <v/>
      </c>
      <c r="G23" s="327"/>
      <c r="H23" s="327"/>
      <c r="I23" s="327"/>
      <c r="J23" s="328"/>
      <c r="K23" s="327"/>
      <c r="L23" s="327"/>
      <c r="M23" s="327"/>
      <c r="N23" s="329" t="str">
        <f>IF(ISERROR(VLOOKUP(CONCATENATE($N$10,"_",M23),'選手名簿'!$A:$E,5,FALSE))=TRUE,"",VLOOKUP(CONCATENATE($N$10,"_",M23),'選手名簿'!$A:$E,5,FALSE))</f>
        <v/>
      </c>
      <c r="T23" s="325" t="s">
        <v>558</v>
      </c>
      <c r="U23" s="326" t="str">
        <f>IF(ISERROR(VLOOKUP(CONCATENATE($U$10,"_",V23),'選手名簿'!$A:$E,5,FALSE))=TRUE,"",VLOOKUP(CONCATENATE($U$10,"_",V23),'選手名簿'!$A:$E,5,FALSE))</f>
        <v/>
      </c>
      <c r="V23" s="327"/>
      <c r="W23" s="327"/>
      <c r="X23" s="327"/>
      <c r="Y23" s="328"/>
      <c r="Z23" s="327"/>
      <c r="AA23" s="327"/>
      <c r="AB23" s="327"/>
      <c r="AC23" s="329" t="str">
        <f>IF(ISERROR(VLOOKUP(CONCATENATE($AC$10,"_",AB23),'選手名簿'!$A:$E,5,FALSE))=TRUE,"",VLOOKUP(CONCATENATE($AC$10,"_",AB23),'選手名簿'!$A:$E,5,FALSE))</f>
        <v/>
      </c>
    </row>
    <row r="24" spans="1:29" ht="20.25" customHeight="1">
      <c r="A24" s="330" t="s">
        <v>557</v>
      </c>
      <c r="B24" s="750" t="s">
        <v>586</v>
      </c>
      <c r="C24" s="750"/>
      <c r="D24" s="750"/>
      <c r="E24" s="320" t="s">
        <v>419</v>
      </c>
      <c r="F24" s="321" t="str">
        <f>IF(ISERROR(VLOOKUP(CONCATENATE($F$10,"_",G24),'選手名簿'!$A:$E,5,FALSE))=TRUE,"",VLOOKUP(CONCATENATE($F$10,"_",G24),'選手名簿'!$A:$E,5,FALSE))</f>
        <v/>
      </c>
      <c r="G24" s="322"/>
      <c r="H24" s="322"/>
      <c r="I24" s="322"/>
      <c r="J24" s="323"/>
      <c r="K24" s="322"/>
      <c r="L24" s="322"/>
      <c r="M24" s="322"/>
      <c r="N24" s="324" t="str">
        <f>IF(ISERROR(VLOOKUP(CONCATENATE($N$10,"_",M24),'選手名簿'!$A:$E,5,FALSE))=TRUE,"",VLOOKUP(CONCATENATE($N$10,"_",M24),'選手名簿'!$A:$E,5,FALSE))</f>
        <v/>
      </c>
      <c r="P24" s="330" t="s">
        <v>557</v>
      </c>
      <c r="Q24" s="750" t="s">
        <v>587</v>
      </c>
      <c r="R24" s="750"/>
      <c r="S24" s="751"/>
      <c r="T24" s="320" t="s">
        <v>419</v>
      </c>
      <c r="U24" s="321" t="str">
        <f>IF(ISERROR(VLOOKUP(CONCATENATE($U$10,"_",V24),'選手名簿'!$A:$E,5,FALSE))=TRUE,"",VLOOKUP(CONCATENATE($U$10,"_",V24),'選手名簿'!$A:$E,5,FALSE))</f>
        <v/>
      </c>
      <c r="V24" s="322"/>
      <c r="W24" s="322"/>
      <c r="X24" s="322"/>
      <c r="Y24" s="323"/>
      <c r="Z24" s="322"/>
      <c r="AA24" s="322"/>
      <c r="AB24" s="322"/>
      <c r="AC24" s="324" t="str">
        <f>IF(ISERROR(VLOOKUP(CONCATENATE($AC$10,"_",AB24),'選手名簿'!$A:$E,5,FALSE))=TRUE,"",VLOOKUP(CONCATENATE($AC$10,"_",AB24),'選手名簿'!$A:$E,5,FALSE))</f>
        <v/>
      </c>
    </row>
    <row r="25" spans="1:29" ht="20.25" customHeight="1">
      <c r="A25" s="331" t="s">
        <v>177</v>
      </c>
      <c r="B25" s="752" t="str">
        <f>IF(ISERROR(VLOOKUP(B24,'審判員'!$A:$C,2,FALSE))=TRUE,"",VLOOKUP(B24,'審判員'!$A:$C,2,FALSE))</f>
        <v>朝比奈　義行</v>
      </c>
      <c r="C25" s="753"/>
      <c r="D25" s="332" t="str">
        <f>IF(ISERROR(VLOOKUP(B24,'審判員'!$A:$C,3,FALSE))=TRUE,"",VLOOKUP(B24,'審判員'!$A:$C,3,FALSE))</f>
        <v>３級</v>
      </c>
      <c r="E25" s="333" t="s">
        <v>419</v>
      </c>
      <c r="F25" s="334" t="str">
        <f>IF(ISERROR(VLOOKUP(CONCATENATE($F$10,"_",G25),'選手名簿'!$A:$E,5,FALSE))=TRUE,"",VLOOKUP(CONCATENATE($F$10,"_",G25),'選手名簿'!$A:$E,5,FALSE))</f>
        <v/>
      </c>
      <c r="G25" s="335"/>
      <c r="H25" s="335"/>
      <c r="I25" s="335"/>
      <c r="J25" s="323"/>
      <c r="K25" s="335"/>
      <c r="L25" s="335"/>
      <c r="M25" s="335"/>
      <c r="N25" s="336" t="str">
        <f>IF(ISERROR(VLOOKUP(CONCATENATE($N$10,"_",M25),'選手名簿'!$A:$E,5,FALSE))=TRUE,"",VLOOKUP(CONCATENATE($N$10,"_",M25),'選手名簿'!$A:$E,5,FALSE))</f>
        <v/>
      </c>
      <c r="P25" s="331" t="s">
        <v>177</v>
      </c>
      <c r="Q25" s="752" t="str">
        <f>IF(ISERROR(VLOOKUP(Q24,'審判員'!$A:$C,2,FALSE))=TRUE,"",VLOOKUP(Q24,'審判員'!$A:$C,2,FALSE))</f>
        <v>山田　将来</v>
      </c>
      <c r="R25" s="753"/>
      <c r="S25" s="331" t="str">
        <f>IF(ISERROR(VLOOKUP(Q24,'審判員'!$A:$C,3,FALSE))=TRUE,"",VLOOKUP(Q24,'審判員'!$A:$C,3,FALSE))</f>
        <v>３級</v>
      </c>
      <c r="T25" s="333" t="s">
        <v>419</v>
      </c>
      <c r="U25" s="334" t="str">
        <f>IF(ISERROR(VLOOKUP(CONCATENATE($U$10,"_",V25),'選手名簿'!$A:$E,5,FALSE))=TRUE,"",VLOOKUP(CONCATENATE($U$10,"_",V25),'選手名簿'!$A:$E,5,FALSE))</f>
        <v/>
      </c>
      <c r="V25" s="335"/>
      <c r="W25" s="335"/>
      <c r="X25" s="335"/>
      <c r="Y25" s="323"/>
      <c r="Z25" s="335"/>
      <c r="AA25" s="335"/>
      <c r="AB25" s="335"/>
      <c r="AC25" s="336" t="str">
        <f>IF(ISERROR(VLOOKUP(CONCATENATE($AC$10,"_",AB25),'選手名簿'!$A:$E,5,FALSE))=TRUE,"",VLOOKUP(CONCATENATE($AC$10,"_",AB25),'選手名簿'!$A:$E,5,FALSE))</f>
        <v/>
      </c>
    </row>
    <row r="26" spans="1:29" ht="20.25" customHeight="1">
      <c r="A26" s="330" t="s">
        <v>557</v>
      </c>
      <c r="B26" s="750" t="s">
        <v>588</v>
      </c>
      <c r="C26" s="750"/>
      <c r="D26" s="750"/>
      <c r="E26" s="333" t="s">
        <v>419</v>
      </c>
      <c r="F26" s="334" t="str">
        <f>IF(ISERROR(VLOOKUP(CONCATENATE($F$10,"_",G26),'選手名簿'!$A:$E,5,FALSE))=TRUE,"",VLOOKUP(CONCATENATE($F$10,"_",G26),'選手名簿'!$A:$E,5,FALSE))</f>
        <v/>
      </c>
      <c r="G26" s="335"/>
      <c r="H26" s="335"/>
      <c r="I26" s="335"/>
      <c r="J26" s="323"/>
      <c r="K26" s="335"/>
      <c r="L26" s="335"/>
      <c r="M26" s="335"/>
      <c r="N26" s="336" t="str">
        <f>IF(ISERROR(VLOOKUP(CONCATENATE($N$10,"_",M26),'選手名簿'!$A:$E,5,FALSE))=TRUE,"",VLOOKUP(CONCATENATE($N$10,"_",M26),'選手名簿'!$A:$E,5,FALSE))</f>
        <v/>
      </c>
      <c r="P26" s="330" t="s">
        <v>557</v>
      </c>
      <c r="Q26" s="750" t="s">
        <v>589</v>
      </c>
      <c r="R26" s="750"/>
      <c r="S26" s="751"/>
      <c r="T26" s="333" t="s">
        <v>419</v>
      </c>
      <c r="U26" s="334" t="str">
        <f>IF(ISERROR(VLOOKUP(CONCATENATE($U$10,"_",V26),'選手名簿'!$A:$E,5,FALSE))=TRUE,"",VLOOKUP(CONCATENATE($U$10,"_",V26),'選手名簿'!$A:$E,5,FALSE))</f>
        <v/>
      </c>
      <c r="V26" s="335"/>
      <c r="W26" s="335"/>
      <c r="X26" s="335"/>
      <c r="Y26" s="323"/>
      <c r="Z26" s="335"/>
      <c r="AA26" s="335"/>
      <c r="AB26" s="335"/>
      <c r="AC26" s="336" t="str">
        <f>IF(ISERROR(VLOOKUP(CONCATENATE($AC$10,"_",AB26),'選手名簿'!$A:$E,5,FALSE))=TRUE,"",VLOOKUP(CONCATENATE($AC$10,"_",AB26),'選手名簿'!$A:$E,5,FALSE))</f>
        <v/>
      </c>
    </row>
    <row r="27" spans="1:29" ht="20.25" customHeight="1">
      <c r="A27" s="331" t="s">
        <v>563</v>
      </c>
      <c r="B27" s="752" t="str">
        <f>IF(ISERROR(VLOOKUP(B26,'審判員'!$A:$C,2,FALSE))=TRUE,"",VLOOKUP(B26,'審判員'!$A:$C,2,FALSE))</f>
        <v>相良　章成</v>
      </c>
      <c r="C27" s="753"/>
      <c r="D27" s="332" t="str">
        <f>IF(ISERROR(VLOOKUP(B26,'審判員'!$A:$C,3,FALSE))=TRUE,"",VLOOKUP(B26,'審判員'!$A:$C,3,FALSE))</f>
        <v>３級</v>
      </c>
      <c r="E27" s="333" t="s">
        <v>419</v>
      </c>
      <c r="F27" s="334" t="str">
        <f>IF(ISERROR(VLOOKUP(CONCATENATE($F$10,"_",G27),'選手名簿'!$A:$E,5,FALSE))=TRUE,"",VLOOKUP(CONCATENATE($F$10,"_",G27),'選手名簿'!$A:$E,5,FALSE))</f>
        <v/>
      </c>
      <c r="G27" s="335"/>
      <c r="H27" s="335"/>
      <c r="I27" s="335"/>
      <c r="J27" s="323"/>
      <c r="K27" s="335"/>
      <c r="L27" s="335"/>
      <c r="M27" s="335"/>
      <c r="N27" s="336" t="str">
        <f>IF(ISERROR(VLOOKUP(CONCATENATE($N$10,"_",M27),'選手名簿'!$A:$E,5,FALSE))=TRUE,"",VLOOKUP(CONCATENATE($N$10,"_",M27),'選手名簿'!$A:$E,5,FALSE))</f>
        <v/>
      </c>
      <c r="P27" s="331" t="s">
        <v>563</v>
      </c>
      <c r="Q27" s="752" t="str">
        <f>IF(ISERROR(VLOOKUP(Q26,'審判員'!$A:$C,2,FALSE))=TRUE,"",VLOOKUP(Q26,'審判員'!$A:$C,2,FALSE))</f>
        <v>柳元　哲哉</v>
      </c>
      <c r="R27" s="753"/>
      <c r="S27" s="331" t="str">
        <f>IF(ISERROR(VLOOKUP(Q26,'審判員'!$A:$C,3,FALSE))=TRUE,"",VLOOKUP(Q26,'審判員'!$A:$C,3,FALSE))</f>
        <v>３級</v>
      </c>
      <c r="T27" s="333" t="s">
        <v>419</v>
      </c>
      <c r="U27" s="334" t="str">
        <f>IF(ISERROR(VLOOKUP(CONCATENATE($U$10,"_",V27),'選手名簿'!$A:$E,5,FALSE))=TRUE,"",VLOOKUP(CONCATENATE($U$10,"_",V27),'選手名簿'!$A:$E,5,FALSE))</f>
        <v/>
      </c>
      <c r="V27" s="335"/>
      <c r="W27" s="335"/>
      <c r="X27" s="335"/>
      <c r="Y27" s="323"/>
      <c r="Z27" s="335"/>
      <c r="AA27" s="335"/>
      <c r="AB27" s="335"/>
      <c r="AC27" s="336" t="str">
        <f>IF(ISERROR(VLOOKUP(CONCATENATE($AC$10,"_",AB27),'選手名簿'!$A:$E,5,FALSE))=TRUE,"",VLOOKUP(CONCATENATE($AC$10,"_",AB27),'選手名簿'!$A:$E,5,FALSE))</f>
        <v/>
      </c>
    </row>
    <row r="28" spans="1:29" ht="20.25" customHeight="1">
      <c r="A28" s="330" t="s">
        <v>557</v>
      </c>
      <c r="B28" s="750" t="s">
        <v>590</v>
      </c>
      <c r="C28" s="750"/>
      <c r="D28" s="750"/>
      <c r="E28" s="333" t="s">
        <v>419</v>
      </c>
      <c r="F28" s="334" t="str">
        <f>IF(ISERROR(VLOOKUP(CONCATENATE($F$10,"_",G28),'選手名簿'!$A:$E,5,FALSE))=TRUE,"",VLOOKUP(CONCATENATE($F$10,"_",G28),'選手名簿'!$A:$E,5,FALSE))</f>
        <v/>
      </c>
      <c r="G28" s="335"/>
      <c r="H28" s="335"/>
      <c r="I28" s="335"/>
      <c r="J28" s="323"/>
      <c r="K28" s="335"/>
      <c r="L28" s="335"/>
      <c r="M28" s="335"/>
      <c r="N28" s="336" t="str">
        <f>IF(ISERROR(VLOOKUP(CONCATENATE($N$10,"_",M28),'選手名簿'!$A:$E,5,FALSE))=TRUE,"",VLOOKUP(CONCATENATE($N$10,"_",M28),'選手名簿'!$A:$E,5,FALSE))</f>
        <v/>
      </c>
      <c r="P28" s="330" t="s">
        <v>557</v>
      </c>
      <c r="Q28" s="750" t="s">
        <v>591</v>
      </c>
      <c r="R28" s="750"/>
      <c r="S28" s="751"/>
      <c r="T28" s="333" t="s">
        <v>419</v>
      </c>
      <c r="U28" s="334" t="str">
        <f>IF(ISERROR(VLOOKUP(CONCATENATE($U$10,"_",V28),'選手名簿'!$A:$E,5,FALSE))=TRUE,"",VLOOKUP(CONCATENATE($U$10,"_",V28),'選手名簿'!$A:$E,5,FALSE))</f>
        <v/>
      </c>
      <c r="V28" s="335"/>
      <c r="W28" s="335"/>
      <c r="X28" s="335"/>
      <c r="Y28" s="323"/>
      <c r="Z28" s="335"/>
      <c r="AA28" s="335"/>
      <c r="AB28" s="335"/>
      <c r="AC28" s="336" t="str">
        <f>IF(ISERROR(VLOOKUP(CONCATENATE($AC$10,"_",AB28),'選手名簿'!$A:$E,5,FALSE))=TRUE,"",VLOOKUP(CONCATENATE($AC$10,"_",AB28),'選手名簿'!$A:$E,5,FALSE))</f>
        <v/>
      </c>
    </row>
    <row r="29" spans="1:29" ht="20.25" customHeight="1">
      <c r="A29" s="331" t="s">
        <v>566</v>
      </c>
      <c r="B29" s="752" t="str">
        <f>IF(ISERROR(VLOOKUP(B28,'審判員'!$A:$C,2,FALSE))=TRUE,"",VLOOKUP(B28,'審判員'!$A:$C,2,FALSE))</f>
        <v>板井　龍法</v>
      </c>
      <c r="C29" s="753"/>
      <c r="D29" s="332" t="str">
        <f>IF(ISERROR(VLOOKUP(B28,'審判員'!$A:$C,3,FALSE))=TRUE,"",VLOOKUP(B28,'審判員'!$A:$C,3,FALSE))</f>
        <v>３級</v>
      </c>
      <c r="E29" s="333" t="s">
        <v>419</v>
      </c>
      <c r="F29" s="334" t="str">
        <f>IF(ISERROR(VLOOKUP(CONCATENATE($F$10,"_",G29),'選手名簿'!$A:$E,5,FALSE))=TRUE,"",VLOOKUP(CONCATENATE($F$10,"_",G29),'選手名簿'!$A:$E,5,FALSE))</f>
        <v/>
      </c>
      <c r="G29" s="335"/>
      <c r="H29" s="335"/>
      <c r="I29" s="335"/>
      <c r="J29" s="323"/>
      <c r="K29" s="335"/>
      <c r="L29" s="335"/>
      <c r="M29" s="335"/>
      <c r="N29" s="336" t="str">
        <f>IF(ISERROR(VLOOKUP(CONCATENATE($N$10,"_",M29),'選手名簿'!$A:$E,5,FALSE))=TRUE,"",VLOOKUP(CONCATENATE($N$10,"_",M29),'選手名簿'!$A:$E,5,FALSE))</f>
        <v/>
      </c>
      <c r="P29" s="331" t="s">
        <v>566</v>
      </c>
      <c r="Q29" s="752" t="str">
        <f>IF(ISERROR(VLOOKUP(Q28,'審判員'!$A:$C,2,FALSE))=TRUE,"",VLOOKUP(Q28,'審判員'!$A:$C,2,FALSE))</f>
        <v>小川　翔太</v>
      </c>
      <c r="R29" s="753"/>
      <c r="S29" s="331" t="str">
        <f>IF(ISERROR(VLOOKUP(Q28,'審判員'!$A:$C,3,FALSE))=TRUE,"",VLOOKUP(Q28,'審判員'!$A:$C,3,FALSE))</f>
        <v>３級</v>
      </c>
      <c r="T29" s="333" t="s">
        <v>419</v>
      </c>
      <c r="U29" s="334" t="str">
        <f>IF(ISERROR(VLOOKUP(CONCATENATE($U$10,"_",V29),'選手名簿'!$A:$E,5,FALSE))=TRUE,"",VLOOKUP(CONCATENATE($U$10,"_",V29),'選手名簿'!$A:$E,5,FALSE))</f>
        <v/>
      </c>
      <c r="V29" s="335"/>
      <c r="W29" s="335"/>
      <c r="X29" s="335"/>
      <c r="Y29" s="323"/>
      <c r="Z29" s="335"/>
      <c r="AA29" s="335"/>
      <c r="AB29" s="335"/>
      <c r="AC29" s="336" t="str">
        <f>IF(ISERROR(VLOOKUP(CONCATENATE($AC$10,"_",AB29),'選手名簿'!$A:$E,5,FALSE))=TRUE,"",VLOOKUP(CONCATENATE($AC$10,"_",AB29),'選手名簿'!$A:$E,5,FALSE))</f>
        <v/>
      </c>
    </row>
    <row r="30" spans="1:29" ht="20.25" customHeight="1">
      <c r="A30" s="330" t="s">
        <v>557</v>
      </c>
      <c r="B30" s="750" t="s">
        <v>587</v>
      </c>
      <c r="C30" s="750"/>
      <c r="D30" s="750"/>
      <c r="E30" s="333" t="s">
        <v>419</v>
      </c>
      <c r="F30" s="334" t="str">
        <f>IF(ISERROR(VLOOKUP(CONCATENATE($F$10,"_",G30),'選手名簿'!$A:$E,5,FALSE))=TRUE,"",VLOOKUP(CONCATENATE($F$10,"_",G30),'選手名簿'!$A:$E,5,FALSE))</f>
        <v/>
      </c>
      <c r="G30" s="335"/>
      <c r="H30" s="335"/>
      <c r="I30" s="335"/>
      <c r="J30" s="323"/>
      <c r="K30" s="335"/>
      <c r="L30" s="335"/>
      <c r="M30" s="335"/>
      <c r="N30" s="336" t="str">
        <f>IF(ISERROR(VLOOKUP(CONCATENATE($N$10,"_",M30),'選手名簿'!$A:$E,5,FALSE))=TRUE,"",VLOOKUP(CONCATENATE($N$10,"_",M30),'選手名簿'!$A:$E,5,FALSE))</f>
        <v/>
      </c>
      <c r="P30" s="330" t="s">
        <v>557</v>
      </c>
      <c r="Q30" s="750" t="s">
        <v>592</v>
      </c>
      <c r="R30" s="750"/>
      <c r="S30" s="751"/>
      <c r="T30" s="333" t="s">
        <v>419</v>
      </c>
      <c r="U30" s="334" t="str">
        <f>IF(ISERROR(VLOOKUP(CONCATENATE($U$10,"_",V30),'選手名簿'!$A:$E,5,FALSE))=TRUE,"",VLOOKUP(CONCATENATE($U$10,"_",V30),'選手名簿'!$A:$E,5,FALSE))</f>
        <v/>
      </c>
      <c r="V30" s="335"/>
      <c r="W30" s="335"/>
      <c r="X30" s="335"/>
      <c r="Y30" s="323"/>
      <c r="Z30" s="335"/>
      <c r="AA30" s="335"/>
      <c r="AB30" s="335"/>
      <c r="AC30" s="336" t="str">
        <f>IF(ISERROR(VLOOKUP(CONCATENATE($AC$10,"_",AB30),'選手名簿'!$A:$E,5,FALSE))=TRUE,"",VLOOKUP(CONCATENATE($AC$10,"_",AB30),'選手名簿'!$A:$E,5,FALSE))</f>
        <v/>
      </c>
    </row>
    <row r="31" spans="1:29" ht="20.25" customHeight="1">
      <c r="A31" s="331" t="s">
        <v>568</v>
      </c>
      <c r="B31" s="752" t="str">
        <f>IF(ISERROR(VLOOKUP(B30,'審判員'!$A:$C,2,FALSE))=TRUE,"",VLOOKUP(B30,'審判員'!$A:$C,2,FALSE))</f>
        <v>山田　将来</v>
      </c>
      <c r="C31" s="753"/>
      <c r="D31" s="332" t="str">
        <f>IF(ISERROR(VLOOKUP(B30,'審判員'!$A:$C,3,FALSE))=TRUE,"",VLOOKUP(B30,'審判員'!$A:$C,3,FALSE))</f>
        <v>３級</v>
      </c>
      <c r="E31" s="337" t="s">
        <v>419</v>
      </c>
      <c r="F31" s="338" t="str">
        <f>IF(ISERROR(VLOOKUP(CONCATENATE($F$10,"_",G31),'選手名簿'!$A:$E,5,FALSE))=TRUE,"",VLOOKUP(CONCATENATE($F$10,"_",G31),'選手名簿'!$A:$E,5,FALSE))</f>
        <v/>
      </c>
      <c r="G31" s="339"/>
      <c r="H31" s="339"/>
      <c r="I31" s="339"/>
      <c r="J31" s="328"/>
      <c r="K31" s="339"/>
      <c r="L31" s="339"/>
      <c r="M31" s="339"/>
      <c r="N31" s="340" t="str">
        <f>IF(ISERROR(VLOOKUP(CONCATENATE($N$10,"_",M31),'選手名簿'!$A:$E,5,FALSE))=TRUE,"",VLOOKUP(CONCATENATE($N$10,"_",M31),'選手名簿'!$A:$E,5,FALSE))</f>
        <v/>
      </c>
      <c r="P31" s="331" t="s">
        <v>568</v>
      </c>
      <c r="Q31" s="752" t="str">
        <f>IF(ISERROR(VLOOKUP(Q30,'審判員'!$A:$C,2,FALSE))=TRUE,"",VLOOKUP(Q30,'審判員'!$A:$C,2,FALSE))</f>
        <v>田尻　貴志</v>
      </c>
      <c r="R31" s="753"/>
      <c r="S31" s="331" t="str">
        <f>IF(ISERROR(VLOOKUP(Q30,'審判員'!$A:$C,3,FALSE))=TRUE,"",VLOOKUP(Q30,'審判員'!$A:$C,3,FALSE))</f>
        <v>３級</v>
      </c>
      <c r="T31" s="337" t="s">
        <v>419</v>
      </c>
      <c r="U31" s="338" t="str">
        <f>IF(ISERROR(VLOOKUP(CONCATENATE($U$10,"_",V31),'選手名簿'!$A:$E,5,FALSE))=TRUE,"",VLOOKUP(CONCATENATE($U$10,"_",V31),'選手名簿'!$A:$E,5,FALSE))</f>
        <v/>
      </c>
      <c r="V31" s="339"/>
      <c r="W31" s="339"/>
      <c r="X31" s="339"/>
      <c r="Y31" s="328"/>
      <c r="Z31" s="339"/>
      <c r="AA31" s="339"/>
      <c r="AB31" s="339"/>
      <c r="AC31" s="340" t="str">
        <f>IF(ISERROR(VLOOKUP(CONCATENATE($AC$10,"_",AB31),'選手名簿'!$A:$E,5,FALSE))=TRUE,"",VLOOKUP(CONCATENATE($AC$10,"_",AB31),'選手名簿'!$A:$E,5,FALSE))</f>
        <v/>
      </c>
    </row>
    <row r="32" spans="5:20" ht="9.95" customHeight="1">
      <c r="E32" s="341"/>
      <c r="T32" s="341"/>
    </row>
    <row r="33" spans="5:20" ht="9.95" customHeight="1">
      <c r="E33" s="341"/>
      <c r="T33" s="341"/>
    </row>
    <row r="34" ht="9.95" customHeight="1"/>
    <row r="35" ht="9.95" customHeight="1"/>
    <row r="36" ht="9.95" customHeight="1"/>
    <row r="37" ht="9.95" customHeight="1"/>
    <row r="38" spans="5:20" ht="9.95" customHeight="1">
      <c r="E38" s="341"/>
      <c r="T38" s="341"/>
    </row>
    <row r="39" spans="1:29" ht="27.4" customHeight="1">
      <c r="A39" s="312" t="s">
        <v>546</v>
      </c>
      <c r="B39" s="772" t="s">
        <v>585</v>
      </c>
      <c r="C39" s="773"/>
      <c r="D39" s="774"/>
      <c r="E39" s="756">
        <v>0.5208333333333334</v>
      </c>
      <c r="F39" s="759" t="str">
        <f>F6</f>
        <v>大分トリニータＵ－１２</v>
      </c>
      <c r="G39" s="762">
        <f>SUM(I39:I40)</f>
        <v>3</v>
      </c>
      <c r="H39" s="765" t="s">
        <v>294</v>
      </c>
      <c r="I39" s="313">
        <v>1</v>
      </c>
      <c r="J39" s="313" t="s">
        <v>548</v>
      </c>
      <c r="K39" s="313">
        <v>0</v>
      </c>
      <c r="L39" s="765" t="s">
        <v>549</v>
      </c>
      <c r="M39" s="762">
        <f>SUM(K39:K40)</f>
        <v>0</v>
      </c>
      <c r="N39" s="768" t="str">
        <f>F7</f>
        <v>ＦＣアリアーレ</v>
      </c>
      <c r="P39" s="312" t="s">
        <v>546</v>
      </c>
      <c r="Q39" s="772" t="s">
        <v>583</v>
      </c>
      <c r="R39" s="773"/>
      <c r="S39" s="774"/>
      <c r="T39" s="756">
        <v>0.5625</v>
      </c>
      <c r="U39" s="759" t="str">
        <f>U6</f>
        <v>アトレチコエラン横瀬</v>
      </c>
      <c r="V39" s="762">
        <f>SUM(X39:X40)</f>
        <v>5</v>
      </c>
      <c r="W39" s="765" t="s">
        <v>294</v>
      </c>
      <c r="X39" s="313">
        <v>0</v>
      </c>
      <c r="Y39" s="313" t="s">
        <v>548</v>
      </c>
      <c r="Z39" s="313">
        <v>0</v>
      </c>
      <c r="AA39" s="765" t="s">
        <v>549</v>
      </c>
      <c r="AB39" s="762">
        <f>SUM(Z39:Z40)</f>
        <v>1</v>
      </c>
      <c r="AC39" s="768" t="str">
        <f>U7</f>
        <v>ＦＣ　ＵＮＩＴＥ</v>
      </c>
    </row>
    <row r="40" spans="1:29" ht="27.4" customHeight="1">
      <c r="A40" s="314" t="s">
        <v>551</v>
      </c>
      <c r="B40" s="771" t="s">
        <v>16</v>
      </c>
      <c r="C40" s="771"/>
      <c r="D40" s="772"/>
      <c r="E40" s="757"/>
      <c r="F40" s="760"/>
      <c r="G40" s="763"/>
      <c r="H40" s="766"/>
      <c r="I40" s="303">
        <v>2</v>
      </c>
      <c r="J40" s="303" t="s">
        <v>552</v>
      </c>
      <c r="K40" s="303">
        <v>0</v>
      </c>
      <c r="L40" s="766"/>
      <c r="M40" s="763"/>
      <c r="N40" s="769"/>
      <c r="P40" s="314" t="s">
        <v>551</v>
      </c>
      <c r="Q40" s="771" t="s">
        <v>16</v>
      </c>
      <c r="R40" s="771"/>
      <c r="S40" s="772"/>
      <c r="T40" s="757"/>
      <c r="U40" s="760"/>
      <c r="V40" s="763"/>
      <c r="W40" s="766"/>
      <c r="X40" s="303">
        <v>5</v>
      </c>
      <c r="Y40" s="303" t="s">
        <v>552</v>
      </c>
      <c r="Z40" s="303">
        <v>1</v>
      </c>
      <c r="AA40" s="766"/>
      <c r="AB40" s="763"/>
      <c r="AC40" s="769"/>
    </row>
    <row r="41" spans="1:29" ht="27.4" customHeight="1">
      <c r="A41" s="314" t="s">
        <v>553</v>
      </c>
      <c r="B41" s="771" t="s">
        <v>584</v>
      </c>
      <c r="C41" s="771"/>
      <c r="D41" s="772"/>
      <c r="E41" s="758"/>
      <c r="F41" s="761"/>
      <c r="G41" s="764"/>
      <c r="H41" s="767"/>
      <c r="I41" s="315"/>
      <c r="J41" s="315" t="s">
        <v>555</v>
      </c>
      <c r="K41" s="315"/>
      <c r="L41" s="767"/>
      <c r="M41" s="764"/>
      <c r="N41" s="770"/>
      <c r="P41" s="314" t="s">
        <v>553</v>
      </c>
      <c r="Q41" s="771" t="s">
        <v>585</v>
      </c>
      <c r="R41" s="771"/>
      <c r="S41" s="772"/>
      <c r="T41" s="758"/>
      <c r="U41" s="761"/>
      <c r="V41" s="764"/>
      <c r="W41" s="767"/>
      <c r="X41" s="315"/>
      <c r="Y41" s="315" t="s">
        <v>555</v>
      </c>
      <c r="Z41" s="315"/>
      <c r="AA41" s="767"/>
      <c r="AB41" s="764"/>
      <c r="AC41" s="770"/>
    </row>
    <row r="42" spans="1:29" ht="20.25" customHeight="1">
      <c r="A42" s="754" t="s">
        <v>556</v>
      </c>
      <c r="B42" s="754"/>
      <c r="C42" s="754"/>
      <c r="D42" s="755"/>
      <c r="E42" s="316"/>
      <c r="F42" s="317" t="s">
        <v>418</v>
      </c>
      <c r="G42" s="317" t="s">
        <v>557</v>
      </c>
      <c r="H42" s="317" t="s">
        <v>524</v>
      </c>
      <c r="I42" s="317"/>
      <c r="J42" s="318"/>
      <c r="K42" s="317"/>
      <c r="L42" s="317" t="s">
        <v>524</v>
      </c>
      <c r="M42" s="317" t="s">
        <v>557</v>
      </c>
      <c r="N42" s="319" t="s">
        <v>418</v>
      </c>
      <c r="P42" s="754" t="s">
        <v>556</v>
      </c>
      <c r="Q42" s="754"/>
      <c r="R42" s="754"/>
      <c r="S42" s="755"/>
      <c r="T42" s="316"/>
      <c r="U42" s="317" t="s">
        <v>418</v>
      </c>
      <c r="V42" s="317" t="s">
        <v>557</v>
      </c>
      <c r="W42" s="317" t="s">
        <v>524</v>
      </c>
      <c r="X42" s="317"/>
      <c r="Y42" s="318"/>
      <c r="Z42" s="317"/>
      <c r="AA42" s="317" t="s">
        <v>524</v>
      </c>
      <c r="AB42" s="317" t="s">
        <v>557</v>
      </c>
      <c r="AC42" s="319" t="s">
        <v>418</v>
      </c>
    </row>
    <row r="43" spans="5:29" ht="20.25" customHeight="1" hidden="1">
      <c r="E43" s="320" t="s">
        <v>558</v>
      </c>
      <c r="F43" s="321" t="str">
        <f>IF(ISERROR(VLOOKUP(CONCATENATE($F$39,"_",G43),'選手名簿'!$A:$E,5,FALSE))=TRUE,"",VLOOKUP(CONCATENATE($F$39,"_",G43),'選手名簿'!$A:$E,5,FALSE))</f>
        <v/>
      </c>
      <c r="G43" s="322"/>
      <c r="H43" s="322"/>
      <c r="I43" s="322"/>
      <c r="J43" s="323"/>
      <c r="K43" s="322"/>
      <c r="L43" s="322"/>
      <c r="M43" s="322"/>
      <c r="N43" s="324" t="str">
        <f>IF(ISERROR(VLOOKUP(CONCATENATE($N$39,"_",M43),'選手名簿'!$A:$E,5,FALSE))=TRUE,"",VLOOKUP(CONCATENATE($N$39,"_",M43),'選手名簿'!$A:$E,5,FALSE))</f>
        <v/>
      </c>
      <c r="T43" s="320" t="s">
        <v>558</v>
      </c>
      <c r="U43" s="321" t="str">
        <f>IF(ISERROR(VLOOKUP(CONCATENATE($U$39,"_",V43),'選手名簿'!$A:$E,5,FALSE))=TRUE,"",VLOOKUP(CONCATENATE($U$39,"_",V43),'選手名簿'!$A:$E,5,FALSE))</f>
        <v/>
      </c>
      <c r="V43" s="322"/>
      <c r="W43" s="322"/>
      <c r="X43" s="322"/>
      <c r="Y43" s="323"/>
      <c r="Z43" s="322"/>
      <c r="AA43" s="322"/>
      <c r="AB43" s="322"/>
      <c r="AC43" s="324" t="str">
        <f>IF(ISERROR(VLOOKUP(CONCATENATE($AC$39,"_",AB43),'選手名簿'!$A:$E,5,FALSE))=TRUE,"",VLOOKUP(CONCATENATE($AC$39,"_",AB43),'選手名簿'!$A:$E,5,FALSE))</f>
        <v/>
      </c>
    </row>
    <row r="44" spans="5:29" ht="20.25" customHeight="1" hidden="1">
      <c r="E44" s="320" t="s">
        <v>558</v>
      </c>
      <c r="F44" s="321" t="str">
        <f>IF(ISERROR(VLOOKUP(CONCATENATE($F$39,"_",G44),'選手名簿'!$A:$E,5,FALSE))=TRUE,"",VLOOKUP(CONCATENATE($F$39,"_",G44),'選手名簿'!$A:$E,5,FALSE))</f>
        <v/>
      </c>
      <c r="G44" s="322"/>
      <c r="H44" s="322"/>
      <c r="I44" s="322"/>
      <c r="J44" s="323"/>
      <c r="K44" s="322"/>
      <c r="L44" s="322"/>
      <c r="M44" s="322"/>
      <c r="N44" s="324" t="str">
        <f>IF(ISERROR(VLOOKUP(CONCATENATE($N$39,"_",M44),'選手名簿'!$A:$E,5,FALSE))=TRUE,"",VLOOKUP(CONCATENATE($N$39,"_",M44),'選手名簿'!$A:$E,5,FALSE))</f>
        <v/>
      </c>
      <c r="T44" s="320" t="s">
        <v>558</v>
      </c>
      <c r="U44" s="321" t="str">
        <f>IF(ISERROR(VLOOKUP(CONCATENATE($U$39,"_",V44),'選手名簿'!$A:$E,5,FALSE))=TRUE,"",VLOOKUP(CONCATENATE($U$39,"_",V44),'選手名簿'!$A:$E,5,FALSE))</f>
        <v/>
      </c>
      <c r="V44" s="322"/>
      <c r="W44" s="322"/>
      <c r="X44" s="322"/>
      <c r="Y44" s="323"/>
      <c r="Z44" s="322"/>
      <c r="AA44" s="322"/>
      <c r="AB44" s="322"/>
      <c r="AC44" s="324" t="str">
        <f>IF(ISERROR(VLOOKUP(CONCATENATE($AC$39,"_",AB44),'選手名簿'!$A:$E,5,FALSE))=TRUE,"",VLOOKUP(CONCATENATE($AC$39,"_",AB44),'選手名簿'!$A:$E,5,FALSE))</f>
        <v/>
      </c>
    </row>
    <row r="45" spans="5:29" ht="20.25" customHeight="1" hidden="1">
      <c r="E45" s="320" t="s">
        <v>558</v>
      </c>
      <c r="F45" s="321" t="str">
        <f>IF(ISERROR(VLOOKUP(CONCATENATE($F$39,"_",G45),'選手名簿'!$A:$E,5,FALSE))=TRUE,"",VLOOKUP(CONCATENATE($F$39,"_",G45),'選手名簿'!$A:$E,5,FALSE))</f>
        <v/>
      </c>
      <c r="G45" s="322"/>
      <c r="H45" s="322"/>
      <c r="I45" s="322"/>
      <c r="J45" s="323"/>
      <c r="K45" s="322"/>
      <c r="L45" s="322"/>
      <c r="M45" s="322"/>
      <c r="N45" s="324" t="str">
        <f>IF(ISERROR(VLOOKUP(CONCATENATE($N$39,"_",M45),'選手名簿'!$A:$E,5,FALSE))=TRUE,"",VLOOKUP(CONCATENATE($N$39,"_",M45),'選手名簿'!$A:$E,5,FALSE))</f>
        <v/>
      </c>
      <c r="T45" s="320" t="s">
        <v>558</v>
      </c>
      <c r="U45" s="321" t="str">
        <f>IF(ISERROR(VLOOKUP(CONCATENATE($U$39,"_",V45),'選手名簿'!$A:$E,5,FALSE))=TRUE,"",VLOOKUP(CONCATENATE($U$39,"_",V45),'選手名簿'!$A:$E,5,FALSE))</f>
        <v/>
      </c>
      <c r="V45" s="322"/>
      <c r="W45" s="322"/>
      <c r="X45" s="322"/>
      <c r="Y45" s="323"/>
      <c r="Z45" s="322"/>
      <c r="AA45" s="322"/>
      <c r="AB45" s="322"/>
      <c r="AC45" s="324" t="str">
        <f>IF(ISERROR(VLOOKUP(CONCATENATE($AC$39,"_",AB45),'選手名簿'!$A:$E,5,FALSE))=TRUE,"",VLOOKUP(CONCATENATE($AC$39,"_",AB45),'選手名簿'!$A:$E,5,FALSE))</f>
        <v/>
      </c>
    </row>
    <row r="46" spans="5:29" ht="20.25" customHeight="1" hidden="1">
      <c r="E46" s="320" t="s">
        <v>558</v>
      </c>
      <c r="F46" s="321" t="str">
        <f>IF(ISERROR(VLOOKUP(CONCATENATE($F$39,"_",G46),'選手名簿'!$A:$E,5,FALSE))=TRUE,"",VLOOKUP(CONCATENATE($F$39,"_",G46),'選手名簿'!$A:$E,5,FALSE))</f>
        <v/>
      </c>
      <c r="G46" s="322"/>
      <c r="H46" s="322"/>
      <c r="I46" s="322"/>
      <c r="J46" s="323"/>
      <c r="K46" s="322"/>
      <c r="L46" s="322"/>
      <c r="M46" s="322"/>
      <c r="N46" s="324" t="str">
        <f>IF(ISERROR(VLOOKUP(CONCATENATE($N$39,"_",M46),'選手名簿'!$A:$E,5,FALSE))=TRUE,"",VLOOKUP(CONCATENATE($N$39,"_",M46),'選手名簿'!$A:$E,5,FALSE))</f>
        <v/>
      </c>
      <c r="T46" s="320" t="s">
        <v>558</v>
      </c>
      <c r="U46" s="321" t="str">
        <f>IF(ISERROR(VLOOKUP(CONCATENATE($U$39,"_",V46),'選手名簿'!$A:$E,5,FALSE))=TRUE,"",VLOOKUP(CONCATENATE($U$39,"_",V46),'選手名簿'!$A:$E,5,FALSE))</f>
        <v/>
      </c>
      <c r="V46" s="322"/>
      <c r="W46" s="322"/>
      <c r="X46" s="322"/>
      <c r="Y46" s="323"/>
      <c r="Z46" s="322"/>
      <c r="AA46" s="322"/>
      <c r="AB46" s="322"/>
      <c r="AC46" s="324" t="str">
        <f>IF(ISERROR(VLOOKUP(CONCATENATE($AC$39,"_",AB46),'選手名簿'!$A:$E,5,FALSE))=TRUE,"",VLOOKUP(CONCATENATE($AC$39,"_",AB46),'選手名簿'!$A:$E,5,FALSE))</f>
        <v/>
      </c>
    </row>
    <row r="47" spans="5:29" ht="20.25" customHeight="1" hidden="1">
      <c r="E47" s="320" t="s">
        <v>558</v>
      </c>
      <c r="F47" s="321" t="str">
        <f>IF(ISERROR(VLOOKUP(CONCATENATE($F$39,"_",G47),'選手名簿'!$A:$E,5,FALSE))=TRUE,"",VLOOKUP(CONCATENATE($F$39,"_",G47),'選手名簿'!$A:$E,5,FALSE))</f>
        <v/>
      </c>
      <c r="G47" s="322"/>
      <c r="H47" s="322"/>
      <c r="I47" s="322"/>
      <c r="J47" s="323"/>
      <c r="K47" s="322"/>
      <c r="L47" s="322"/>
      <c r="M47" s="322"/>
      <c r="N47" s="324" t="str">
        <f>IF(ISERROR(VLOOKUP(CONCATENATE($N$39,"_",M47),'選手名簿'!$A:$E,5,FALSE))=TRUE,"",VLOOKUP(CONCATENATE($N$39,"_",M47),'選手名簿'!$A:$E,5,FALSE))</f>
        <v/>
      </c>
      <c r="T47" s="320" t="s">
        <v>558</v>
      </c>
      <c r="U47" s="321" t="str">
        <f>IF(ISERROR(VLOOKUP(CONCATENATE($U$39,"_",V47),'選手名簿'!$A:$E,5,FALSE))=TRUE,"",VLOOKUP(CONCATENATE($U$39,"_",V47),'選手名簿'!$A:$E,5,FALSE))</f>
        <v/>
      </c>
      <c r="V47" s="322"/>
      <c r="W47" s="322"/>
      <c r="X47" s="322"/>
      <c r="Y47" s="323"/>
      <c r="Z47" s="322"/>
      <c r="AA47" s="322"/>
      <c r="AB47" s="322"/>
      <c r="AC47" s="324" t="str">
        <f>IF(ISERROR(VLOOKUP(CONCATENATE($AC$39,"_",AB47),'選手名簿'!$A:$E,5,FALSE))=TRUE,"",VLOOKUP(CONCATENATE($AC$39,"_",AB47),'選手名簿'!$A:$E,5,FALSE))</f>
        <v/>
      </c>
    </row>
    <row r="48" spans="5:29" ht="20.25" customHeight="1" hidden="1">
      <c r="E48" s="320" t="s">
        <v>558</v>
      </c>
      <c r="F48" s="321" t="str">
        <f>IF(ISERROR(VLOOKUP(CONCATENATE($F$39,"_",G48),'選手名簿'!$A:$E,5,FALSE))=TRUE,"",VLOOKUP(CONCATENATE($F$39,"_",G48),'選手名簿'!$A:$E,5,FALSE))</f>
        <v/>
      </c>
      <c r="G48" s="322"/>
      <c r="H48" s="322"/>
      <c r="I48" s="322"/>
      <c r="J48" s="323"/>
      <c r="K48" s="322"/>
      <c r="L48" s="322"/>
      <c r="M48" s="322"/>
      <c r="N48" s="324" t="str">
        <f>IF(ISERROR(VLOOKUP(CONCATENATE($N$39,"_",M48),'選手名簿'!$A:$E,5,FALSE))=TRUE,"",VLOOKUP(CONCATENATE($N$39,"_",M48),'選手名簿'!$A:$E,5,FALSE))</f>
        <v/>
      </c>
      <c r="T48" s="320" t="s">
        <v>558</v>
      </c>
      <c r="U48" s="321" t="str">
        <f>IF(ISERROR(VLOOKUP(CONCATENATE($U$39,"_",V48),'選手名簿'!$A:$E,5,FALSE))=TRUE,"",VLOOKUP(CONCATENATE($U$39,"_",V48),'選手名簿'!$A:$E,5,FALSE))</f>
        <v/>
      </c>
      <c r="V48" s="322"/>
      <c r="W48" s="322"/>
      <c r="X48" s="322"/>
      <c r="Y48" s="323"/>
      <c r="Z48" s="322"/>
      <c r="AA48" s="322"/>
      <c r="AB48" s="322"/>
      <c r="AC48" s="324" t="str">
        <f>IF(ISERROR(VLOOKUP(CONCATENATE($AC$39,"_",AB48),'選手名簿'!$A:$E,5,FALSE))=TRUE,"",VLOOKUP(CONCATENATE($AC$39,"_",AB48),'選手名簿'!$A:$E,5,FALSE))</f>
        <v/>
      </c>
    </row>
    <row r="49" spans="5:29" ht="20.25" customHeight="1" hidden="1">
      <c r="E49" s="320" t="s">
        <v>558</v>
      </c>
      <c r="F49" s="321" t="str">
        <f>IF(ISERROR(VLOOKUP(CONCATENATE($F$39,"_",G49),'選手名簿'!$A:$E,5,FALSE))=TRUE,"",VLOOKUP(CONCATENATE($F$39,"_",G49),'選手名簿'!$A:$E,5,FALSE))</f>
        <v/>
      </c>
      <c r="G49" s="322"/>
      <c r="H49" s="322"/>
      <c r="I49" s="322"/>
      <c r="J49" s="323"/>
      <c r="K49" s="322"/>
      <c r="L49" s="322"/>
      <c r="M49" s="322"/>
      <c r="N49" s="324" t="str">
        <f>IF(ISERROR(VLOOKUP(CONCATENATE($N$39,"_",M49),'選手名簿'!$A:$E,5,FALSE))=TRUE,"",VLOOKUP(CONCATENATE($N$39,"_",M49),'選手名簿'!$A:$E,5,FALSE))</f>
        <v/>
      </c>
      <c r="T49" s="320" t="s">
        <v>558</v>
      </c>
      <c r="U49" s="321" t="str">
        <f>IF(ISERROR(VLOOKUP(CONCATENATE($U$39,"_",V49),'選手名簿'!$A:$E,5,FALSE))=TRUE,"",VLOOKUP(CONCATENATE($U$39,"_",V49),'選手名簿'!$A:$E,5,FALSE))</f>
        <v/>
      </c>
      <c r="V49" s="322"/>
      <c r="W49" s="322"/>
      <c r="X49" s="322"/>
      <c r="Y49" s="323"/>
      <c r="Z49" s="322"/>
      <c r="AA49" s="322"/>
      <c r="AB49" s="322"/>
      <c r="AC49" s="324" t="str">
        <f>IF(ISERROR(VLOOKUP(CONCATENATE($AC$39,"_",AB49),'選手名簿'!$A:$E,5,FALSE))=TRUE,"",VLOOKUP(CONCATENATE($AC$39,"_",AB49),'選手名簿'!$A:$E,5,FALSE))</f>
        <v/>
      </c>
    </row>
    <row r="50" spans="5:29" ht="20.25" customHeight="1" hidden="1">
      <c r="E50" s="320" t="s">
        <v>558</v>
      </c>
      <c r="F50" s="321" t="str">
        <f>IF(ISERROR(VLOOKUP(CONCATENATE($F$39,"_",G50),'選手名簿'!$A:$E,5,FALSE))=TRUE,"",VLOOKUP(CONCATENATE($F$39,"_",G50),'選手名簿'!$A:$E,5,FALSE))</f>
        <v/>
      </c>
      <c r="G50" s="322"/>
      <c r="H50" s="322"/>
      <c r="I50" s="322"/>
      <c r="J50" s="323"/>
      <c r="K50" s="322"/>
      <c r="L50" s="322"/>
      <c r="M50" s="322"/>
      <c r="N50" s="324" t="str">
        <f>IF(ISERROR(VLOOKUP(CONCATENATE($N$39,"_",M50),'選手名簿'!$A:$E,5,FALSE))=TRUE,"",VLOOKUP(CONCATENATE($N$39,"_",M50),'選手名簿'!$A:$E,5,FALSE))</f>
        <v/>
      </c>
      <c r="T50" s="320" t="s">
        <v>558</v>
      </c>
      <c r="U50" s="321" t="str">
        <f>IF(ISERROR(VLOOKUP(CONCATENATE($U$39,"_",V50),'選手名簿'!$A:$E,5,FALSE))=TRUE,"",VLOOKUP(CONCATENATE($U$39,"_",V50),'選手名簿'!$A:$E,5,FALSE))</f>
        <v/>
      </c>
      <c r="V50" s="322"/>
      <c r="W50" s="322"/>
      <c r="X50" s="322"/>
      <c r="Y50" s="323"/>
      <c r="Z50" s="322"/>
      <c r="AA50" s="322"/>
      <c r="AB50" s="322"/>
      <c r="AC50" s="324" t="str">
        <f>IF(ISERROR(VLOOKUP(CONCATENATE($AC$39,"_",AB50),'選手名簿'!$A:$E,5,FALSE))=TRUE,"",VLOOKUP(CONCATENATE($AC$39,"_",AB50),'選手名簿'!$A:$E,5,FALSE))</f>
        <v/>
      </c>
    </row>
    <row r="51" spans="5:29" ht="20.25" customHeight="1" hidden="1">
      <c r="E51" s="320" t="s">
        <v>558</v>
      </c>
      <c r="F51" s="321" t="str">
        <f>IF(ISERROR(VLOOKUP(CONCATENATE($F$39,"_",G51),'選手名簿'!$A:$E,5,FALSE))=TRUE,"",VLOOKUP(CONCATENATE($F$39,"_",G51),'選手名簿'!$A:$E,5,FALSE))</f>
        <v/>
      </c>
      <c r="G51" s="322"/>
      <c r="H51" s="322"/>
      <c r="I51" s="322"/>
      <c r="J51" s="323"/>
      <c r="K51" s="322"/>
      <c r="L51" s="322"/>
      <c r="M51" s="322"/>
      <c r="N51" s="324" t="str">
        <f>IF(ISERROR(VLOOKUP(CONCATENATE($N$39,"_",M51),'選手名簿'!$A:$E,5,FALSE))=TRUE,"",VLOOKUP(CONCATENATE($N$39,"_",M51),'選手名簿'!$A:$E,5,FALSE))</f>
        <v/>
      </c>
      <c r="T51" s="320" t="s">
        <v>558</v>
      </c>
      <c r="U51" s="321" t="str">
        <f>IF(ISERROR(VLOOKUP(CONCATENATE($U$39,"_",V51),'選手名簿'!$A:$E,5,FALSE))=TRUE,"",VLOOKUP(CONCATENATE($U$39,"_",V51),'選手名簿'!$A:$E,5,FALSE))</f>
        <v/>
      </c>
      <c r="V51" s="322"/>
      <c r="W51" s="322"/>
      <c r="X51" s="322"/>
      <c r="Y51" s="323"/>
      <c r="Z51" s="322"/>
      <c r="AA51" s="322"/>
      <c r="AB51" s="322"/>
      <c r="AC51" s="324" t="str">
        <f>IF(ISERROR(VLOOKUP(CONCATENATE($AC$39,"_",AB51),'選手名簿'!$A:$E,5,FALSE))=TRUE,"",VLOOKUP(CONCATENATE($AC$39,"_",AB51),'選手名簿'!$A:$E,5,FALSE))</f>
        <v/>
      </c>
    </row>
    <row r="52" spans="5:29" ht="20.25" customHeight="1" hidden="1">
      <c r="E52" s="325" t="s">
        <v>558</v>
      </c>
      <c r="F52" s="326" t="str">
        <f>IF(ISERROR(VLOOKUP(CONCATENATE($F$39,"_",G52),'選手名簿'!$A:$E,5,FALSE))=TRUE,"",VLOOKUP(CONCATENATE($F$39,"_",G52),'選手名簿'!$A:$E,5,FALSE))</f>
        <v/>
      </c>
      <c r="G52" s="327"/>
      <c r="H52" s="327"/>
      <c r="I52" s="327"/>
      <c r="J52" s="328"/>
      <c r="K52" s="327"/>
      <c r="L52" s="327"/>
      <c r="M52" s="327"/>
      <c r="N52" s="329" t="str">
        <f>IF(ISERROR(VLOOKUP(CONCATENATE($N$39,"_",M52),'選手名簿'!$A:$E,5,FALSE))=TRUE,"",VLOOKUP(CONCATENATE($N$39,"_",M52),'選手名簿'!$A:$E,5,FALSE))</f>
        <v/>
      </c>
      <c r="T52" s="325" t="s">
        <v>558</v>
      </c>
      <c r="U52" s="326" t="str">
        <f>IF(ISERROR(VLOOKUP(CONCATENATE($U$39,"_",V52),'選手名簿'!$A:$E,5,FALSE))=TRUE,"",VLOOKUP(CONCATENATE($U$39,"_",V52),'選手名簿'!$A:$E,5,FALSE))</f>
        <v/>
      </c>
      <c r="V52" s="327"/>
      <c r="W52" s="327"/>
      <c r="X52" s="327"/>
      <c r="Y52" s="328"/>
      <c r="Z52" s="327"/>
      <c r="AA52" s="327"/>
      <c r="AB52" s="327"/>
      <c r="AC52" s="329" t="str">
        <f>IF(ISERROR(VLOOKUP(CONCATENATE($AC$39,"_",AB52),'選手名簿'!$A:$E,5,FALSE))=TRUE,"",VLOOKUP(CONCATENATE($AC$39,"_",AB52),'選手名簿'!$A:$E,5,FALSE))</f>
        <v/>
      </c>
    </row>
    <row r="53" spans="1:29" ht="20.25" customHeight="1">
      <c r="A53" s="330" t="s">
        <v>557</v>
      </c>
      <c r="B53" s="750" t="s">
        <v>592</v>
      </c>
      <c r="C53" s="750"/>
      <c r="D53" s="751"/>
      <c r="E53" s="320" t="s">
        <v>419</v>
      </c>
      <c r="F53" s="321" t="str">
        <f>IF(ISERROR(VLOOKUP(CONCATENATE($F$39,"_",G53),'選手名簿'!$A:$E,5,FALSE))=TRUE,"",VLOOKUP(CONCATENATE($F$39,"_",G53),'選手名簿'!$A:$E,5,FALSE))</f>
        <v/>
      </c>
      <c r="G53" s="322"/>
      <c r="H53" s="322"/>
      <c r="I53" s="322"/>
      <c r="J53" s="323"/>
      <c r="K53" s="322"/>
      <c r="L53" s="322"/>
      <c r="M53" s="322"/>
      <c r="N53" s="324" t="str">
        <f>IF(ISERROR(VLOOKUP(CONCATENATE($N$39,"_",M53),'選手名簿'!$A:$E,5,FALSE))=TRUE,"",VLOOKUP(CONCATENATE($N$39,"_",M53),'選手名簿'!$A:$E,5,FALSE))</f>
        <v/>
      </c>
      <c r="P53" s="330" t="s">
        <v>557</v>
      </c>
      <c r="Q53" s="750" t="s">
        <v>586</v>
      </c>
      <c r="R53" s="750"/>
      <c r="S53" s="751"/>
      <c r="T53" s="320" t="s">
        <v>419</v>
      </c>
      <c r="U53" s="321" t="str">
        <f>IF(ISERROR(VLOOKUP(CONCATENATE($U$39,"_",V53),'選手名簿'!$A:$E,5,FALSE))=TRUE,"",VLOOKUP(CONCATENATE($U$39,"_",V53),'選手名簿'!$A:$E,5,FALSE))</f>
        <v/>
      </c>
      <c r="V53" s="322"/>
      <c r="W53" s="322"/>
      <c r="X53" s="322"/>
      <c r="Y53" s="323"/>
      <c r="Z53" s="322"/>
      <c r="AA53" s="322"/>
      <c r="AB53" s="322"/>
      <c r="AC53" s="324" t="str">
        <f>IF(ISERROR(VLOOKUP(CONCATENATE($AC$39,"_",AB53),'選手名簿'!$A:$E,5,FALSE))=TRUE,"",VLOOKUP(CONCATENATE($AC$39,"_",AB53),'選手名簿'!$A:$E,5,FALSE))</f>
        <v/>
      </c>
    </row>
    <row r="54" spans="1:29" ht="20.25" customHeight="1">
      <c r="A54" s="331" t="s">
        <v>177</v>
      </c>
      <c r="B54" s="752" t="str">
        <f>IF(ISERROR(VLOOKUP(B53,'審判員'!$A:$C,2,FALSE))=TRUE,"",VLOOKUP(B53,'審判員'!$A:$C,2,FALSE))</f>
        <v>田尻　貴志</v>
      </c>
      <c r="C54" s="753"/>
      <c r="D54" s="331" t="str">
        <f>IF(ISERROR(VLOOKUP(B53,'審判員'!$A:$C,3,FALSE))=TRUE,"",VLOOKUP(B53,'審判員'!$A:$C,3,FALSE))</f>
        <v>３級</v>
      </c>
      <c r="E54" s="333" t="s">
        <v>419</v>
      </c>
      <c r="F54" s="334" t="str">
        <f>IF(ISERROR(VLOOKUP(CONCATENATE($F$39,"_",G54),'選手名簿'!$A:$E,5,FALSE))=TRUE,"",VLOOKUP(CONCATENATE($F$39,"_",G54),'選手名簿'!$A:$E,5,FALSE))</f>
        <v/>
      </c>
      <c r="G54" s="335"/>
      <c r="H54" s="335"/>
      <c r="I54" s="335"/>
      <c r="J54" s="323"/>
      <c r="K54" s="335"/>
      <c r="L54" s="335"/>
      <c r="M54" s="335"/>
      <c r="N54" s="336" t="str">
        <f>IF(ISERROR(VLOOKUP(CONCATENATE($N$39,"_",M54),'選手名簿'!$A:$E,5,FALSE))=TRUE,"",VLOOKUP(CONCATENATE($N$39,"_",M54),'選手名簿'!$A:$E,5,FALSE))</f>
        <v/>
      </c>
      <c r="P54" s="331" t="s">
        <v>177</v>
      </c>
      <c r="Q54" s="752" t="str">
        <f>IF(ISERROR(VLOOKUP(Q53,'審判員'!$A:$C,2,FALSE))=TRUE,"",VLOOKUP(Q53,'審判員'!$A:$C,2,FALSE))</f>
        <v>朝比奈　義行</v>
      </c>
      <c r="R54" s="753"/>
      <c r="S54" s="331" t="str">
        <f>IF(ISERROR(VLOOKUP(Q53,'審判員'!$A:$C,3,FALSE))=TRUE,"",VLOOKUP(Q53,'審判員'!$A:$C,3,FALSE))</f>
        <v>３級</v>
      </c>
      <c r="T54" s="333" t="s">
        <v>419</v>
      </c>
      <c r="U54" s="334" t="str">
        <f>IF(ISERROR(VLOOKUP(CONCATENATE($U$39,"_",V54),'選手名簿'!$A:$E,5,FALSE))=TRUE,"",VLOOKUP(CONCATENATE($U$39,"_",V54),'選手名簿'!$A:$E,5,FALSE))</f>
        <v/>
      </c>
      <c r="V54" s="335"/>
      <c r="W54" s="335"/>
      <c r="X54" s="335"/>
      <c r="Y54" s="323"/>
      <c r="Z54" s="335"/>
      <c r="AA54" s="335"/>
      <c r="AB54" s="335"/>
      <c r="AC54" s="336" t="str">
        <f>IF(ISERROR(VLOOKUP(CONCATENATE($AC$39,"_",AB54),'選手名簿'!$A:$E,5,FALSE))=TRUE,"",VLOOKUP(CONCATENATE($AC$39,"_",AB54),'選手名簿'!$A:$E,5,FALSE))</f>
        <v/>
      </c>
    </row>
    <row r="55" spans="1:29" ht="20.25" customHeight="1">
      <c r="A55" s="330" t="s">
        <v>557</v>
      </c>
      <c r="B55" s="750" t="s">
        <v>590</v>
      </c>
      <c r="C55" s="750"/>
      <c r="D55" s="751"/>
      <c r="E55" s="333" t="s">
        <v>419</v>
      </c>
      <c r="F55" s="334" t="str">
        <f>IF(ISERROR(VLOOKUP(CONCATENATE($F$39,"_",G55),'選手名簿'!$A:$E,5,FALSE))=TRUE,"",VLOOKUP(CONCATENATE($F$39,"_",G55),'選手名簿'!$A:$E,5,FALSE))</f>
        <v/>
      </c>
      <c r="G55" s="335"/>
      <c r="H55" s="335"/>
      <c r="I55" s="335"/>
      <c r="J55" s="323"/>
      <c r="K55" s="335"/>
      <c r="L55" s="335"/>
      <c r="M55" s="335"/>
      <c r="N55" s="336" t="str">
        <f>IF(ISERROR(VLOOKUP(CONCATENATE($N$39,"_",M55),'選手名簿'!$A:$E,5,FALSE))=TRUE,"",VLOOKUP(CONCATENATE($N$39,"_",M55),'選手名簿'!$A:$E,5,FALSE))</f>
        <v/>
      </c>
      <c r="P55" s="330" t="s">
        <v>557</v>
      </c>
      <c r="Q55" s="750" t="s">
        <v>593</v>
      </c>
      <c r="R55" s="750"/>
      <c r="S55" s="751"/>
      <c r="T55" s="333" t="s">
        <v>419</v>
      </c>
      <c r="U55" s="334" t="str">
        <f>IF(ISERROR(VLOOKUP(CONCATENATE($U$39,"_",V55),'選手名簿'!$A:$E,5,FALSE))=TRUE,"",VLOOKUP(CONCATENATE($U$39,"_",V55),'選手名簿'!$A:$E,5,FALSE))</f>
        <v/>
      </c>
      <c r="V55" s="335"/>
      <c r="W55" s="335"/>
      <c r="X55" s="335"/>
      <c r="Y55" s="323"/>
      <c r="Z55" s="335"/>
      <c r="AA55" s="335"/>
      <c r="AB55" s="335"/>
      <c r="AC55" s="336" t="str">
        <f>IF(ISERROR(VLOOKUP(CONCATENATE($AC$39,"_",AB55),'選手名簿'!$A:$E,5,FALSE))=TRUE,"",VLOOKUP(CONCATENATE($AC$39,"_",AB55),'選手名簿'!$A:$E,5,FALSE))</f>
        <v/>
      </c>
    </row>
    <row r="56" spans="1:29" ht="20.25" customHeight="1">
      <c r="A56" s="331" t="s">
        <v>563</v>
      </c>
      <c r="B56" s="752" t="str">
        <f>IF(ISERROR(VLOOKUP(B55,'審判員'!$A:$C,2,FALSE))=TRUE,"",VLOOKUP(B55,'審判員'!$A:$C,2,FALSE))</f>
        <v>板井　龍法</v>
      </c>
      <c r="C56" s="753"/>
      <c r="D56" s="331" t="str">
        <f>IF(ISERROR(VLOOKUP(B55,'審判員'!$A:$C,3,FALSE))=TRUE,"",VLOOKUP(B55,'審判員'!$A:$C,3,FALSE))</f>
        <v>３級</v>
      </c>
      <c r="E56" s="333" t="s">
        <v>419</v>
      </c>
      <c r="F56" s="334" t="str">
        <f>IF(ISERROR(VLOOKUP(CONCATENATE($F$39,"_",G56),'選手名簿'!$A:$E,5,FALSE))=TRUE,"",VLOOKUP(CONCATENATE($F$39,"_",G56),'選手名簿'!$A:$E,5,FALSE))</f>
        <v/>
      </c>
      <c r="G56" s="335"/>
      <c r="H56" s="335"/>
      <c r="I56" s="335"/>
      <c r="J56" s="323"/>
      <c r="K56" s="335"/>
      <c r="L56" s="335"/>
      <c r="M56" s="335"/>
      <c r="N56" s="336" t="str">
        <f>IF(ISERROR(VLOOKUP(CONCATENATE($N$39,"_",M56),'選手名簿'!$A:$E,5,FALSE))=TRUE,"",VLOOKUP(CONCATENATE($N$39,"_",M56),'選手名簿'!$A:$E,5,FALSE))</f>
        <v/>
      </c>
      <c r="P56" s="331" t="s">
        <v>563</v>
      </c>
      <c r="Q56" s="752" t="str">
        <f>IF(ISERROR(VLOOKUP(Q55,'審判員'!$A:$C,2,FALSE))=TRUE,"",VLOOKUP(Q55,'審判員'!$A:$C,2,FALSE))</f>
        <v>首藤　圭介</v>
      </c>
      <c r="R56" s="753"/>
      <c r="S56" s="331" t="str">
        <f>IF(ISERROR(VLOOKUP(Q55,'審判員'!$A:$C,3,FALSE))=TRUE,"",VLOOKUP(Q55,'審判員'!$A:$C,3,FALSE))</f>
        <v>３級</v>
      </c>
      <c r="T56" s="333" t="s">
        <v>419</v>
      </c>
      <c r="U56" s="334" t="str">
        <f>IF(ISERROR(VLOOKUP(CONCATENATE($U$39,"_",V56),'選手名簿'!$A:$E,5,FALSE))=TRUE,"",VLOOKUP(CONCATENATE($U$39,"_",V56),'選手名簿'!$A:$E,5,FALSE))</f>
        <v/>
      </c>
      <c r="V56" s="335"/>
      <c r="W56" s="335"/>
      <c r="X56" s="335"/>
      <c r="Y56" s="323"/>
      <c r="Z56" s="335"/>
      <c r="AA56" s="335"/>
      <c r="AB56" s="335"/>
      <c r="AC56" s="336" t="str">
        <f>IF(ISERROR(VLOOKUP(CONCATENATE($AC$39,"_",AB56),'選手名簿'!$A:$E,5,FALSE))=TRUE,"",VLOOKUP(CONCATENATE($AC$39,"_",AB56),'選手名簿'!$A:$E,5,FALSE))</f>
        <v/>
      </c>
    </row>
    <row r="57" spans="1:29" ht="20.25" customHeight="1">
      <c r="A57" s="330" t="s">
        <v>557</v>
      </c>
      <c r="B57" s="750" t="s">
        <v>594</v>
      </c>
      <c r="C57" s="750"/>
      <c r="D57" s="751"/>
      <c r="E57" s="333" t="s">
        <v>419</v>
      </c>
      <c r="F57" s="334" t="str">
        <f>IF(ISERROR(VLOOKUP(CONCATENATE($F$39,"_",G57),'選手名簿'!$A:$E,5,FALSE))=TRUE,"",VLOOKUP(CONCATENATE($F$39,"_",G57),'選手名簿'!$A:$E,5,FALSE))</f>
        <v/>
      </c>
      <c r="G57" s="335"/>
      <c r="H57" s="335"/>
      <c r="I57" s="335"/>
      <c r="J57" s="323"/>
      <c r="K57" s="335"/>
      <c r="L57" s="335"/>
      <c r="M57" s="335"/>
      <c r="N57" s="336" t="str">
        <f>IF(ISERROR(VLOOKUP(CONCATENATE($N$39,"_",M57),'選手名簿'!$A:$E,5,FALSE))=TRUE,"",VLOOKUP(CONCATENATE($N$39,"_",M57),'選手名簿'!$A:$E,5,FALSE))</f>
        <v/>
      </c>
      <c r="P57" s="330" t="s">
        <v>557</v>
      </c>
      <c r="Q57" s="750" t="s">
        <v>595</v>
      </c>
      <c r="R57" s="750"/>
      <c r="S57" s="751"/>
      <c r="T57" s="333" t="s">
        <v>419</v>
      </c>
      <c r="U57" s="334" t="str">
        <f>IF(ISERROR(VLOOKUP(CONCATENATE($U$39,"_",V57),'選手名簿'!$A:$E,5,FALSE))=TRUE,"",VLOOKUP(CONCATENATE($U$39,"_",V57),'選手名簿'!$A:$E,5,FALSE))</f>
        <v/>
      </c>
      <c r="V57" s="335"/>
      <c r="W57" s="335"/>
      <c r="X57" s="335"/>
      <c r="Y57" s="323"/>
      <c r="Z57" s="335"/>
      <c r="AA57" s="335"/>
      <c r="AB57" s="335"/>
      <c r="AC57" s="336" t="str">
        <f>IF(ISERROR(VLOOKUP(CONCATENATE($AC$39,"_",AB57),'選手名簿'!$A:$E,5,FALSE))=TRUE,"",VLOOKUP(CONCATENATE($AC$39,"_",AB57),'選手名簿'!$A:$E,5,FALSE))</f>
        <v/>
      </c>
    </row>
    <row r="58" spans="1:29" ht="20.25" customHeight="1">
      <c r="A58" s="331" t="s">
        <v>566</v>
      </c>
      <c r="B58" s="752" t="str">
        <f>IF(ISERROR(VLOOKUP(B57,'審判員'!$A:$C,2,FALSE))=TRUE,"",VLOOKUP(B57,'審判員'!$A:$C,2,FALSE))</f>
        <v>和田　行祐</v>
      </c>
      <c r="C58" s="753"/>
      <c r="D58" s="331" t="str">
        <f>IF(ISERROR(VLOOKUP(B57,'審判員'!$A:$C,3,FALSE))=TRUE,"",VLOOKUP(B57,'審判員'!$A:$C,3,FALSE))</f>
        <v>２級</v>
      </c>
      <c r="E58" s="333" t="s">
        <v>419</v>
      </c>
      <c r="F58" s="334" t="str">
        <f>IF(ISERROR(VLOOKUP(CONCATENATE($F$39,"_",G58),'選手名簿'!$A:$E,5,FALSE))=TRUE,"",VLOOKUP(CONCATENATE($F$39,"_",G58),'選手名簿'!$A:$E,5,FALSE))</f>
        <v/>
      </c>
      <c r="G58" s="335"/>
      <c r="H58" s="335"/>
      <c r="I58" s="335"/>
      <c r="J58" s="323"/>
      <c r="K58" s="335"/>
      <c r="L58" s="335"/>
      <c r="M58" s="335"/>
      <c r="N58" s="336" t="str">
        <f>IF(ISERROR(VLOOKUP(CONCATENATE($N$39,"_",M58),'選手名簿'!$A:$E,5,FALSE))=TRUE,"",VLOOKUP(CONCATENATE($N$39,"_",M58),'選手名簿'!$A:$E,5,FALSE))</f>
        <v/>
      </c>
      <c r="P58" s="331" t="s">
        <v>566</v>
      </c>
      <c r="Q58" s="752" t="str">
        <f>IF(ISERROR(VLOOKUP(Q57,'審判員'!$A:$C,2,FALSE))=TRUE,"",VLOOKUP(Q57,'審判員'!$A:$C,2,FALSE))</f>
        <v>川井　勇介</v>
      </c>
      <c r="R58" s="753"/>
      <c r="S58" s="331" t="str">
        <f>IF(ISERROR(VLOOKUP(Q57,'審判員'!$A:$C,3,FALSE))=TRUE,"",VLOOKUP(Q57,'審判員'!$A:$C,3,FALSE))</f>
        <v>３級</v>
      </c>
      <c r="T58" s="333" t="s">
        <v>419</v>
      </c>
      <c r="U58" s="334" t="str">
        <f>IF(ISERROR(VLOOKUP(CONCATENATE($U$39,"_",V58),'選手名簿'!$A:$E,5,FALSE))=TRUE,"",VLOOKUP(CONCATENATE($U$39,"_",V58),'選手名簿'!$A:$E,5,FALSE))</f>
        <v/>
      </c>
      <c r="V58" s="335"/>
      <c r="W58" s="335"/>
      <c r="X58" s="335"/>
      <c r="Y58" s="323"/>
      <c r="Z58" s="335"/>
      <c r="AA58" s="335"/>
      <c r="AB58" s="335"/>
      <c r="AC58" s="336" t="str">
        <f>IF(ISERROR(VLOOKUP(CONCATENATE($AC$39,"_",AB58),'選手名簿'!$A:$E,5,FALSE))=TRUE,"",VLOOKUP(CONCATENATE($AC$39,"_",AB58),'選手名簿'!$A:$E,5,FALSE))</f>
        <v/>
      </c>
    </row>
    <row r="59" spans="1:29" ht="20.25" customHeight="1">
      <c r="A59" s="330" t="s">
        <v>557</v>
      </c>
      <c r="B59" s="750" t="s">
        <v>586</v>
      </c>
      <c r="C59" s="750"/>
      <c r="D59" s="751"/>
      <c r="E59" s="333" t="s">
        <v>419</v>
      </c>
      <c r="F59" s="334" t="str">
        <f>IF(ISERROR(VLOOKUP(CONCATENATE($F$39,"_",G59),'選手名簿'!$A:$E,5,FALSE))=TRUE,"",VLOOKUP(CONCATENATE($F$39,"_",G59),'選手名簿'!$A:$E,5,FALSE))</f>
        <v/>
      </c>
      <c r="G59" s="335"/>
      <c r="H59" s="335"/>
      <c r="I59" s="335"/>
      <c r="J59" s="323"/>
      <c r="K59" s="335"/>
      <c r="L59" s="335"/>
      <c r="M59" s="335"/>
      <c r="N59" s="336" t="str">
        <f>IF(ISERROR(VLOOKUP(CONCATENATE($N$39,"_",M59),'選手名簿'!$A:$E,5,FALSE))=TRUE,"",VLOOKUP(CONCATENATE($N$39,"_",M59),'選手名簿'!$A:$E,5,FALSE))</f>
        <v/>
      </c>
      <c r="P59" s="330" t="s">
        <v>557</v>
      </c>
      <c r="Q59" s="750" t="s">
        <v>587</v>
      </c>
      <c r="R59" s="750"/>
      <c r="S59" s="751"/>
      <c r="T59" s="333" t="s">
        <v>419</v>
      </c>
      <c r="U59" s="334" t="str">
        <f>IF(ISERROR(VLOOKUP(CONCATENATE($U$39,"_",V59),'選手名簿'!$A:$E,5,FALSE))=TRUE,"",VLOOKUP(CONCATENATE($U$39,"_",V59),'選手名簿'!$A:$E,5,FALSE))</f>
        <v/>
      </c>
      <c r="V59" s="335"/>
      <c r="W59" s="335"/>
      <c r="X59" s="335"/>
      <c r="Y59" s="323"/>
      <c r="Z59" s="335"/>
      <c r="AA59" s="335"/>
      <c r="AB59" s="335"/>
      <c r="AC59" s="336" t="str">
        <f>IF(ISERROR(VLOOKUP(CONCATENATE($AC$39,"_",AB59),'選手名簿'!$A:$E,5,FALSE))=TRUE,"",VLOOKUP(CONCATENATE($AC$39,"_",AB59),'選手名簿'!$A:$E,5,FALSE))</f>
        <v/>
      </c>
    </row>
    <row r="60" spans="1:29" ht="20.25" customHeight="1">
      <c r="A60" s="331" t="s">
        <v>568</v>
      </c>
      <c r="B60" s="752" t="str">
        <f>IF(ISERROR(VLOOKUP(B59,'審判員'!$A:$C,2,FALSE))=TRUE,"",VLOOKUP(B59,'審判員'!$A:$C,2,FALSE))</f>
        <v>朝比奈　義行</v>
      </c>
      <c r="C60" s="753"/>
      <c r="D60" s="331" t="str">
        <f>IF(ISERROR(VLOOKUP(B59,'審判員'!$A:$C,3,FALSE))=TRUE,"",VLOOKUP(B59,'審判員'!$A:$C,3,FALSE))</f>
        <v>３級</v>
      </c>
      <c r="E60" s="337" t="s">
        <v>419</v>
      </c>
      <c r="F60" s="338" t="str">
        <f>IF(ISERROR(VLOOKUP(CONCATENATE($F$39,"_",G60),'選手名簿'!$A:$E,5,FALSE))=TRUE,"",VLOOKUP(CONCATENATE($F$39,"_",G60),'選手名簿'!$A:$E,5,FALSE))</f>
        <v/>
      </c>
      <c r="G60" s="339"/>
      <c r="H60" s="339"/>
      <c r="I60" s="339"/>
      <c r="J60" s="328"/>
      <c r="K60" s="339"/>
      <c r="L60" s="339"/>
      <c r="M60" s="339"/>
      <c r="N60" s="340" t="str">
        <f>IF(ISERROR(VLOOKUP(CONCATENATE($N$39,"_",M60),'選手名簿'!$A:$E,5,FALSE))=TRUE,"",VLOOKUP(CONCATENATE($N$39,"_",M60),'選手名簿'!$A:$E,5,FALSE))</f>
        <v/>
      </c>
      <c r="P60" s="331" t="s">
        <v>568</v>
      </c>
      <c r="Q60" s="752" t="str">
        <f>IF(ISERROR(VLOOKUP(Q59,'審判員'!$A:$C,2,FALSE))=TRUE,"",VLOOKUP(Q59,'審判員'!$A:$C,2,FALSE))</f>
        <v>山田　将来</v>
      </c>
      <c r="R60" s="753"/>
      <c r="S60" s="331" t="str">
        <f>IF(ISERROR(VLOOKUP(Q59,'審判員'!$A:$C,3,FALSE))=TRUE,"",VLOOKUP(Q59,'審判員'!$A:$C,3,FALSE))</f>
        <v>３級</v>
      </c>
      <c r="T60" s="337" t="s">
        <v>419</v>
      </c>
      <c r="U60" s="338" t="str">
        <f>IF(ISERROR(VLOOKUP(CONCATENATE($U$39,"_",V60),'選手名簿'!$A:$E,5,FALSE))=TRUE,"",VLOOKUP(CONCATENATE($U$39,"_",V60),'選手名簿'!$A:$E,5,FALSE))</f>
        <v/>
      </c>
      <c r="V60" s="339"/>
      <c r="W60" s="339"/>
      <c r="X60" s="339"/>
      <c r="Y60" s="328"/>
      <c r="Z60" s="339"/>
      <c r="AA60" s="339"/>
      <c r="AB60" s="339"/>
      <c r="AC60" s="340" t="str">
        <f>IF(ISERROR(VLOOKUP(CONCATENATE($AC$39,"_",AB60),'選手名簿'!$A:$E,5,FALSE))=TRUE,"",VLOOKUP(CONCATENATE($AC$39,"_",AB60),'選手名簿'!$A:$E,5,FALSE))</f>
        <v/>
      </c>
    </row>
    <row r="61" spans="5:20" ht="9.95" customHeight="1">
      <c r="E61" s="341"/>
      <c r="T61" s="341"/>
    </row>
    <row r="62" spans="5:20" ht="9.95" customHeight="1">
      <c r="E62" s="341"/>
      <c r="T62" s="341"/>
    </row>
    <row r="63" ht="9.95" customHeight="1"/>
    <row r="64" ht="9.95" customHeight="1"/>
    <row r="65" ht="9.95" customHeight="1"/>
    <row r="66" ht="9.95" customHeight="1"/>
    <row r="67" spans="5:20" ht="9.95" customHeight="1">
      <c r="E67" s="341"/>
      <c r="T67" s="341"/>
    </row>
    <row r="68" spans="1:29" ht="27.4" customHeight="1">
      <c r="A68" s="312" t="s">
        <v>546</v>
      </c>
      <c r="B68" s="772" t="s">
        <v>584</v>
      </c>
      <c r="C68" s="773"/>
      <c r="D68" s="774"/>
      <c r="E68" s="756">
        <v>0.6041666666666666</v>
      </c>
      <c r="F68" s="759" t="str">
        <f>F7</f>
        <v>ＦＣアリアーレ</v>
      </c>
      <c r="G68" s="762">
        <f>SUM(I68:I69)</f>
        <v>1</v>
      </c>
      <c r="H68" s="765" t="s">
        <v>294</v>
      </c>
      <c r="I68" s="313">
        <v>0</v>
      </c>
      <c r="J68" s="313" t="s">
        <v>548</v>
      </c>
      <c r="K68" s="313">
        <v>4</v>
      </c>
      <c r="L68" s="765" t="s">
        <v>549</v>
      </c>
      <c r="M68" s="762">
        <f>SUM(K68:K69)</f>
        <v>5</v>
      </c>
      <c r="N68" s="768" t="str">
        <f>F5</f>
        <v>スマイス・セレソン</v>
      </c>
      <c r="P68" s="312" t="s">
        <v>546</v>
      </c>
      <c r="Q68" s="772" t="s">
        <v>585</v>
      </c>
      <c r="R68" s="773"/>
      <c r="S68" s="774"/>
      <c r="T68" s="756">
        <v>0.6458333333333334</v>
      </c>
      <c r="U68" s="759" t="str">
        <f>U7</f>
        <v>ＦＣ　ＵＮＩＴＥ</v>
      </c>
      <c r="V68" s="762">
        <f>SUM(X68:X69)</f>
        <v>1</v>
      </c>
      <c r="W68" s="765" t="s">
        <v>294</v>
      </c>
      <c r="X68" s="313">
        <v>1</v>
      </c>
      <c r="Y68" s="313" t="s">
        <v>548</v>
      </c>
      <c r="Z68" s="313">
        <v>1</v>
      </c>
      <c r="AA68" s="765" t="s">
        <v>549</v>
      </c>
      <c r="AB68" s="762">
        <f>SUM(Z68:Z69)</f>
        <v>1</v>
      </c>
      <c r="AC68" s="768" t="str">
        <f>U5</f>
        <v>市浜レッドソックス</v>
      </c>
    </row>
    <row r="69" spans="1:29" ht="27.4" customHeight="1">
      <c r="A69" s="314" t="s">
        <v>551</v>
      </c>
      <c r="B69" s="771" t="s">
        <v>16</v>
      </c>
      <c r="C69" s="771"/>
      <c r="D69" s="772"/>
      <c r="E69" s="757"/>
      <c r="F69" s="760"/>
      <c r="G69" s="763"/>
      <c r="H69" s="766"/>
      <c r="I69" s="303">
        <v>1</v>
      </c>
      <c r="J69" s="303" t="s">
        <v>552</v>
      </c>
      <c r="K69" s="303">
        <v>1</v>
      </c>
      <c r="L69" s="766"/>
      <c r="M69" s="763"/>
      <c r="N69" s="769"/>
      <c r="P69" s="314" t="s">
        <v>551</v>
      </c>
      <c r="Q69" s="771" t="s">
        <v>16</v>
      </c>
      <c r="R69" s="771"/>
      <c r="S69" s="772"/>
      <c r="T69" s="757"/>
      <c r="U69" s="760"/>
      <c r="V69" s="763"/>
      <c r="W69" s="766"/>
      <c r="X69" s="303">
        <v>0</v>
      </c>
      <c r="Y69" s="303" t="s">
        <v>552</v>
      </c>
      <c r="Z69" s="303">
        <v>0</v>
      </c>
      <c r="AA69" s="766"/>
      <c r="AB69" s="763"/>
      <c r="AC69" s="769"/>
    </row>
    <row r="70" spans="1:29" ht="27.4" customHeight="1">
      <c r="A70" s="314" t="s">
        <v>553</v>
      </c>
      <c r="B70" s="771" t="s">
        <v>583</v>
      </c>
      <c r="C70" s="771"/>
      <c r="D70" s="772"/>
      <c r="E70" s="758"/>
      <c r="F70" s="761"/>
      <c r="G70" s="764"/>
      <c r="H70" s="767"/>
      <c r="I70" s="315"/>
      <c r="J70" s="315" t="s">
        <v>555</v>
      </c>
      <c r="K70" s="315"/>
      <c r="L70" s="767"/>
      <c r="M70" s="764"/>
      <c r="N70" s="770"/>
      <c r="P70" s="314" t="s">
        <v>553</v>
      </c>
      <c r="Q70" s="771" t="s">
        <v>584</v>
      </c>
      <c r="R70" s="771"/>
      <c r="S70" s="772"/>
      <c r="T70" s="758"/>
      <c r="U70" s="761"/>
      <c r="V70" s="764"/>
      <c r="W70" s="767"/>
      <c r="X70" s="315"/>
      <c r="Y70" s="315" t="s">
        <v>555</v>
      </c>
      <c r="Z70" s="315"/>
      <c r="AA70" s="767"/>
      <c r="AB70" s="764"/>
      <c r="AC70" s="770"/>
    </row>
    <row r="71" spans="1:29" ht="20.25" customHeight="1">
      <c r="A71" s="754" t="s">
        <v>556</v>
      </c>
      <c r="B71" s="754"/>
      <c r="C71" s="754"/>
      <c r="D71" s="755"/>
      <c r="E71" s="316"/>
      <c r="F71" s="317" t="s">
        <v>418</v>
      </c>
      <c r="G71" s="317" t="s">
        <v>557</v>
      </c>
      <c r="H71" s="317" t="s">
        <v>524</v>
      </c>
      <c r="I71" s="317"/>
      <c r="J71" s="318"/>
      <c r="K71" s="317"/>
      <c r="L71" s="317" t="s">
        <v>524</v>
      </c>
      <c r="M71" s="317" t="s">
        <v>557</v>
      </c>
      <c r="N71" s="319" t="s">
        <v>418</v>
      </c>
      <c r="P71" s="754" t="s">
        <v>556</v>
      </c>
      <c r="Q71" s="754"/>
      <c r="R71" s="754"/>
      <c r="S71" s="755"/>
      <c r="T71" s="316"/>
      <c r="U71" s="317" t="s">
        <v>418</v>
      </c>
      <c r="V71" s="317" t="s">
        <v>557</v>
      </c>
      <c r="W71" s="317" t="s">
        <v>524</v>
      </c>
      <c r="X71" s="317"/>
      <c r="Y71" s="318"/>
      <c r="Z71" s="317"/>
      <c r="AA71" s="317" t="s">
        <v>524</v>
      </c>
      <c r="AB71" s="317" t="s">
        <v>557</v>
      </c>
      <c r="AC71" s="319" t="s">
        <v>418</v>
      </c>
    </row>
    <row r="72" spans="5:29" ht="20.25" customHeight="1" hidden="1">
      <c r="E72" s="320" t="s">
        <v>558</v>
      </c>
      <c r="F72" s="321" t="str">
        <f>IF(ISERROR(VLOOKUP(CONCATENATE($F$68,"_",G72),'選手名簿'!$A:$E,5,FALSE))=TRUE,"",VLOOKUP(CONCATENATE($F$68,"_",G72),'選手名簿'!$A:$E,5,FALSE))</f>
        <v/>
      </c>
      <c r="G72" s="322"/>
      <c r="H72" s="322"/>
      <c r="I72" s="322"/>
      <c r="J72" s="323"/>
      <c r="K72" s="322"/>
      <c r="L72" s="322"/>
      <c r="M72" s="322"/>
      <c r="N72" s="324" t="str">
        <f>IF(ISERROR(VLOOKUP(CONCATENATE($N$68,"_",M72),'選手名簿'!$A:$E,5,FALSE))=TRUE,"",VLOOKUP(CONCATENATE($N$68,"_",M72),'選手名簿'!$A:$E,5,FALSE))</f>
        <v/>
      </c>
      <c r="T72" s="320" t="s">
        <v>558</v>
      </c>
      <c r="U72" s="321" t="str">
        <f>IF(ISERROR(VLOOKUP(CONCATENATE($U$68,"_",V72),'選手名簿'!$A:$E,5,FALSE))=TRUE,"",VLOOKUP(CONCATENATE($U$68,"_",V72),'選手名簿'!$A:$E,5,FALSE))</f>
        <v/>
      </c>
      <c r="V72" s="322"/>
      <c r="W72" s="322"/>
      <c r="X72" s="322"/>
      <c r="Y72" s="323"/>
      <c r="Z72" s="322"/>
      <c r="AA72" s="322"/>
      <c r="AB72" s="322"/>
      <c r="AC72" s="324" t="str">
        <f>IF(ISERROR(VLOOKUP(CONCATENATE($AC$68,"_",AB72),'選手名簿'!$A:$E,5,FALSE))=TRUE,"",VLOOKUP(CONCATENATE($AC$68,"_",AB72),'選手名簿'!$A:$E,5,FALSE))</f>
        <v/>
      </c>
    </row>
    <row r="73" spans="5:29" ht="20.25" customHeight="1" hidden="1">
      <c r="E73" s="320" t="s">
        <v>558</v>
      </c>
      <c r="F73" s="321" t="str">
        <f>IF(ISERROR(VLOOKUP(CONCATENATE($F$68,"_",G73),'選手名簿'!$A:$E,5,FALSE))=TRUE,"",VLOOKUP(CONCATENATE($F$68,"_",G73),'選手名簿'!$A:$E,5,FALSE))</f>
        <v/>
      </c>
      <c r="G73" s="322"/>
      <c r="H73" s="322"/>
      <c r="I73" s="322"/>
      <c r="J73" s="323"/>
      <c r="K73" s="322"/>
      <c r="L73" s="322"/>
      <c r="M73" s="322"/>
      <c r="N73" s="324" t="str">
        <f>IF(ISERROR(VLOOKUP(CONCATENATE($N$68,"_",M73),'選手名簿'!$A:$E,5,FALSE))=TRUE,"",VLOOKUP(CONCATENATE($N$68,"_",M73),'選手名簿'!$A:$E,5,FALSE))</f>
        <v/>
      </c>
      <c r="T73" s="320" t="s">
        <v>558</v>
      </c>
      <c r="U73" s="321" t="str">
        <f>IF(ISERROR(VLOOKUP(CONCATENATE($U$68,"_",V73),'選手名簿'!$A:$E,5,FALSE))=TRUE,"",VLOOKUP(CONCATENATE($U$68,"_",V73),'選手名簿'!$A:$E,5,FALSE))</f>
        <v/>
      </c>
      <c r="V73" s="322"/>
      <c r="W73" s="322"/>
      <c r="X73" s="322"/>
      <c r="Y73" s="323"/>
      <c r="Z73" s="322"/>
      <c r="AA73" s="322"/>
      <c r="AB73" s="322"/>
      <c r="AC73" s="324" t="str">
        <f>IF(ISERROR(VLOOKUP(CONCATENATE($AC$68,"_",AB73),'選手名簿'!$A:$E,5,FALSE))=TRUE,"",VLOOKUP(CONCATENATE($AC$68,"_",AB73),'選手名簿'!$A:$E,5,FALSE))</f>
        <v/>
      </c>
    </row>
    <row r="74" spans="5:29" ht="20.25" customHeight="1" hidden="1">
      <c r="E74" s="320" t="s">
        <v>558</v>
      </c>
      <c r="F74" s="321" t="str">
        <f>IF(ISERROR(VLOOKUP(CONCATENATE($F$68,"_",G74),'選手名簿'!$A:$E,5,FALSE))=TRUE,"",VLOOKUP(CONCATENATE($F$68,"_",G74),'選手名簿'!$A:$E,5,FALSE))</f>
        <v/>
      </c>
      <c r="G74" s="322"/>
      <c r="H74" s="322"/>
      <c r="I74" s="322"/>
      <c r="J74" s="323"/>
      <c r="K74" s="322"/>
      <c r="L74" s="322"/>
      <c r="M74" s="322"/>
      <c r="N74" s="324" t="str">
        <f>IF(ISERROR(VLOOKUP(CONCATENATE($N$68,"_",M74),'選手名簿'!$A:$E,5,FALSE))=TRUE,"",VLOOKUP(CONCATENATE($N$68,"_",M74),'選手名簿'!$A:$E,5,FALSE))</f>
        <v/>
      </c>
      <c r="T74" s="320" t="s">
        <v>558</v>
      </c>
      <c r="U74" s="321" t="str">
        <f>IF(ISERROR(VLOOKUP(CONCATENATE($U$68,"_",V74),'選手名簿'!$A:$E,5,FALSE))=TRUE,"",VLOOKUP(CONCATENATE($U$68,"_",V74),'選手名簿'!$A:$E,5,FALSE))</f>
        <v/>
      </c>
      <c r="V74" s="322"/>
      <c r="W74" s="322"/>
      <c r="X74" s="322"/>
      <c r="Y74" s="323"/>
      <c r="Z74" s="322"/>
      <c r="AA74" s="322"/>
      <c r="AB74" s="322"/>
      <c r="AC74" s="324" t="str">
        <f>IF(ISERROR(VLOOKUP(CONCATENATE($AC$68,"_",AB74),'選手名簿'!$A:$E,5,FALSE))=TRUE,"",VLOOKUP(CONCATENATE($AC$68,"_",AB74),'選手名簿'!$A:$E,5,FALSE))</f>
        <v/>
      </c>
    </row>
    <row r="75" spans="5:29" ht="20.25" customHeight="1" hidden="1">
      <c r="E75" s="320" t="s">
        <v>558</v>
      </c>
      <c r="F75" s="321" t="str">
        <f>IF(ISERROR(VLOOKUP(CONCATENATE($F$68,"_",G75),'選手名簿'!$A:$E,5,FALSE))=TRUE,"",VLOOKUP(CONCATENATE($F$68,"_",G75),'選手名簿'!$A:$E,5,FALSE))</f>
        <v/>
      </c>
      <c r="G75" s="322"/>
      <c r="H75" s="322"/>
      <c r="I75" s="322"/>
      <c r="J75" s="323"/>
      <c r="K75" s="322"/>
      <c r="L75" s="322"/>
      <c r="M75" s="322"/>
      <c r="N75" s="324" t="str">
        <f>IF(ISERROR(VLOOKUP(CONCATENATE($N$68,"_",M75),'選手名簿'!$A:$E,5,FALSE))=TRUE,"",VLOOKUP(CONCATENATE($N$68,"_",M75),'選手名簿'!$A:$E,5,FALSE))</f>
        <v/>
      </c>
      <c r="T75" s="320" t="s">
        <v>558</v>
      </c>
      <c r="U75" s="321" t="str">
        <f>IF(ISERROR(VLOOKUP(CONCATENATE($U$68,"_",V75),'選手名簿'!$A:$E,5,FALSE))=TRUE,"",VLOOKUP(CONCATENATE($U$68,"_",V75),'選手名簿'!$A:$E,5,FALSE))</f>
        <v/>
      </c>
      <c r="V75" s="322"/>
      <c r="W75" s="322"/>
      <c r="X75" s="322"/>
      <c r="Y75" s="323"/>
      <c r="Z75" s="322"/>
      <c r="AA75" s="322"/>
      <c r="AB75" s="322"/>
      <c r="AC75" s="324" t="str">
        <f>IF(ISERROR(VLOOKUP(CONCATENATE($AC$68,"_",AB75),'選手名簿'!$A:$E,5,FALSE))=TRUE,"",VLOOKUP(CONCATENATE($AC$68,"_",AB75),'選手名簿'!$A:$E,5,FALSE))</f>
        <v/>
      </c>
    </row>
    <row r="76" spans="5:29" ht="20.25" customHeight="1" hidden="1">
      <c r="E76" s="320" t="s">
        <v>558</v>
      </c>
      <c r="F76" s="321" t="str">
        <f>IF(ISERROR(VLOOKUP(CONCATENATE($F$68,"_",G76),'選手名簿'!$A:$E,5,FALSE))=TRUE,"",VLOOKUP(CONCATENATE($F$68,"_",G76),'選手名簿'!$A:$E,5,FALSE))</f>
        <v/>
      </c>
      <c r="G76" s="322"/>
      <c r="H76" s="322"/>
      <c r="I76" s="322"/>
      <c r="J76" s="323"/>
      <c r="K76" s="322"/>
      <c r="L76" s="322"/>
      <c r="M76" s="322"/>
      <c r="N76" s="324" t="str">
        <f>IF(ISERROR(VLOOKUP(CONCATENATE($N$68,"_",M76),'選手名簿'!$A:$E,5,FALSE))=TRUE,"",VLOOKUP(CONCATENATE($N$68,"_",M76),'選手名簿'!$A:$E,5,FALSE))</f>
        <v/>
      </c>
      <c r="T76" s="320" t="s">
        <v>558</v>
      </c>
      <c r="U76" s="321" t="str">
        <f>IF(ISERROR(VLOOKUP(CONCATENATE($U$68,"_",V76),'選手名簿'!$A:$E,5,FALSE))=TRUE,"",VLOOKUP(CONCATENATE($U$68,"_",V76),'選手名簿'!$A:$E,5,FALSE))</f>
        <v/>
      </c>
      <c r="V76" s="322"/>
      <c r="W76" s="322"/>
      <c r="X76" s="322"/>
      <c r="Y76" s="323"/>
      <c r="Z76" s="322"/>
      <c r="AA76" s="322"/>
      <c r="AB76" s="322"/>
      <c r="AC76" s="324" t="str">
        <f>IF(ISERROR(VLOOKUP(CONCATENATE($AC$68,"_",AB76),'選手名簿'!$A:$E,5,FALSE))=TRUE,"",VLOOKUP(CONCATENATE($AC$68,"_",AB76),'選手名簿'!$A:$E,5,FALSE))</f>
        <v/>
      </c>
    </row>
    <row r="77" spans="5:29" ht="20.25" customHeight="1" hidden="1">
      <c r="E77" s="320" t="s">
        <v>558</v>
      </c>
      <c r="F77" s="321" t="str">
        <f>IF(ISERROR(VLOOKUP(CONCATENATE($F$68,"_",G77),'選手名簿'!$A:$E,5,FALSE))=TRUE,"",VLOOKUP(CONCATENATE($F$68,"_",G77),'選手名簿'!$A:$E,5,FALSE))</f>
        <v/>
      </c>
      <c r="G77" s="322"/>
      <c r="H77" s="322"/>
      <c r="I77" s="322"/>
      <c r="J77" s="323"/>
      <c r="K77" s="322"/>
      <c r="L77" s="322"/>
      <c r="M77" s="322"/>
      <c r="N77" s="324" t="str">
        <f>IF(ISERROR(VLOOKUP(CONCATENATE($N$68,"_",M77),'選手名簿'!$A:$E,5,FALSE))=TRUE,"",VLOOKUP(CONCATENATE($N$68,"_",M77),'選手名簿'!$A:$E,5,FALSE))</f>
        <v/>
      </c>
      <c r="T77" s="320" t="s">
        <v>558</v>
      </c>
      <c r="U77" s="321" t="str">
        <f>IF(ISERROR(VLOOKUP(CONCATENATE($U$68,"_",V77),'選手名簿'!$A:$E,5,FALSE))=TRUE,"",VLOOKUP(CONCATENATE($U$68,"_",V77),'選手名簿'!$A:$E,5,FALSE))</f>
        <v/>
      </c>
      <c r="V77" s="322"/>
      <c r="W77" s="322"/>
      <c r="X77" s="322"/>
      <c r="Y77" s="323"/>
      <c r="Z77" s="322"/>
      <c r="AA77" s="322"/>
      <c r="AB77" s="322"/>
      <c r="AC77" s="324" t="str">
        <f>IF(ISERROR(VLOOKUP(CONCATENATE($AC$68,"_",AB77),'選手名簿'!$A:$E,5,FALSE))=TRUE,"",VLOOKUP(CONCATENATE($AC$68,"_",AB77),'選手名簿'!$A:$E,5,FALSE))</f>
        <v/>
      </c>
    </row>
    <row r="78" spans="5:29" ht="20.25" customHeight="1" hidden="1">
      <c r="E78" s="320" t="s">
        <v>558</v>
      </c>
      <c r="F78" s="321" t="str">
        <f>IF(ISERROR(VLOOKUP(CONCATENATE($F$68,"_",G78),'選手名簿'!$A:$E,5,FALSE))=TRUE,"",VLOOKUP(CONCATENATE($F$68,"_",G78),'選手名簿'!$A:$E,5,FALSE))</f>
        <v/>
      </c>
      <c r="G78" s="322"/>
      <c r="H78" s="322"/>
      <c r="I78" s="322"/>
      <c r="J78" s="323"/>
      <c r="K78" s="322"/>
      <c r="L78" s="322"/>
      <c r="M78" s="322"/>
      <c r="N78" s="324" t="str">
        <f>IF(ISERROR(VLOOKUP(CONCATENATE($N$68,"_",M78),'選手名簿'!$A:$E,5,FALSE))=TRUE,"",VLOOKUP(CONCATENATE($N$68,"_",M78),'選手名簿'!$A:$E,5,FALSE))</f>
        <v/>
      </c>
      <c r="T78" s="320" t="s">
        <v>558</v>
      </c>
      <c r="U78" s="321" t="str">
        <f>IF(ISERROR(VLOOKUP(CONCATENATE($U$68,"_",V78),'選手名簿'!$A:$E,5,FALSE))=TRUE,"",VLOOKUP(CONCATENATE($U$68,"_",V78),'選手名簿'!$A:$E,5,FALSE))</f>
        <v/>
      </c>
      <c r="V78" s="322"/>
      <c r="W78" s="322"/>
      <c r="X78" s="322"/>
      <c r="Y78" s="323"/>
      <c r="Z78" s="322"/>
      <c r="AA78" s="322"/>
      <c r="AB78" s="322"/>
      <c r="AC78" s="324" t="str">
        <f>IF(ISERROR(VLOOKUP(CONCATENATE($AC$68,"_",AB78),'選手名簿'!$A:$E,5,FALSE))=TRUE,"",VLOOKUP(CONCATENATE($AC$68,"_",AB78),'選手名簿'!$A:$E,5,FALSE))</f>
        <v/>
      </c>
    </row>
    <row r="79" spans="5:29" ht="20.25" customHeight="1" hidden="1">
      <c r="E79" s="320" t="s">
        <v>558</v>
      </c>
      <c r="F79" s="321" t="str">
        <f>IF(ISERROR(VLOOKUP(CONCATENATE($F$68,"_",G79),'選手名簿'!$A:$E,5,FALSE))=TRUE,"",VLOOKUP(CONCATENATE($F$68,"_",G79),'選手名簿'!$A:$E,5,FALSE))</f>
        <v/>
      </c>
      <c r="G79" s="322"/>
      <c r="H79" s="322"/>
      <c r="I79" s="322"/>
      <c r="J79" s="323"/>
      <c r="K79" s="322"/>
      <c r="L79" s="322"/>
      <c r="M79" s="322"/>
      <c r="N79" s="324" t="str">
        <f>IF(ISERROR(VLOOKUP(CONCATENATE($N$68,"_",M79),'選手名簿'!$A:$E,5,FALSE))=TRUE,"",VLOOKUP(CONCATENATE($N$68,"_",M79),'選手名簿'!$A:$E,5,FALSE))</f>
        <v/>
      </c>
      <c r="T79" s="320" t="s">
        <v>558</v>
      </c>
      <c r="U79" s="321" t="str">
        <f>IF(ISERROR(VLOOKUP(CONCATENATE($U$68,"_",V79),'選手名簿'!$A:$E,5,FALSE))=TRUE,"",VLOOKUP(CONCATENATE($U$68,"_",V79),'選手名簿'!$A:$E,5,FALSE))</f>
        <v/>
      </c>
      <c r="V79" s="322"/>
      <c r="W79" s="322"/>
      <c r="X79" s="322"/>
      <c r="Y79" s="323"/>
      <c r="Z79" s="322"/>
      <c r="AA79" s="322"/>
      <c r="AB79" s="322"/>
      <c r="AC79" s="324" t="str">
        <f>IF(ISERROR(VLOOKUP(CONCATENATE($AC$68,"_",AB79),'選手名簿'!$A:$E,5,FALSE))=TRUE,"",VLOOKUP(CONCATENATE($AC$68,"_",AB79),'選手名簿'!$A:$E,5,FALSE))</f>
        <v/>
      </c>
    </row>
    <row r="80" spans="5:29" ht="20.25" customHeight="1" hidden="1">
      <c r="E80" s="320" t="s">
        <v>558</v>
      </c>
      <c r="F80" s="321" t="str">
        <f>IF(ISERROR(VLOOKUP(CONCATENATE($F$68,"_",G80),'選手名簿'!$A:$E,5,FALSE))=TRUE,"",VLOOKUP(CONCATENATE($F$68,"_",G80),'選手名簿'!$A:$E,5,FALSE))</f>
        <v/>
      </c>
      <c r="G80" s="322"/>
      <c r="H80" s="322"/>
      <c r="I80" s="322"/>
      <c r="J80" s="323"/>
      <c r="K80" s="322"/>
      <c r="L80" s="322"/>
      <c r="M80" s="322"/>
      <c r="N80" s="324" t="str">
        <f>IF(ISERROR(VLOOKUP(CONCATENATE($N$68,"_",M80),'選手名簿'!$A:$E,5,FALSE))=TRUE,"",VLOOKUP(CONCATENATE($N$68,"_",M80),'選手名簿'!$A:$E,5,FALSE))</f>
        <v/>
      </c>
      <c r="T80" s="320" t="s">
        <v>558</v>
      </c>
      <c r="U80" s="321" t="str">
        <f>IF(ISERROR(VLOOKUP(CONCATENATE($U$68,"_",V80),'選手名簿'!$A:$E,5,FALSE))=TRUE,"",VLOOKUP(CONCATENATE($U$68,"_",V80),'選手名簿'!$A:$E,5,FALSE))</f>
        <v/>
      </c>
      <c r="V80" s="322"/>
      <c r="W80" s="322"/>
      <c r="X80" s="322"/>
      <c r="Y80" s="323"/>
      <c r="Z80" s="322"/>
      <c r="AA80" s="322"/>
      <c r="AB80" s="322"/>
      <c r="AC80" s="324" t="str">
        <f>IF(ISERROR(VLOOKUP(CONCATENATE($AC$68,"_",AB80),'選手名簿'!$A:$E,5,FALSE))=TRUE,"",VLOOKUP(CONCATENATE($AC$68,"_",AB80),'選手名簿'!$A:$E,5,FALSE))</f>
        <v/>
      </c>
    </row>
    <row r="81" spans="5:29" ht="20.25" customHeight="1" hidden="1">
      <c r="E81" s="325" t="s">
        <v>558</v>
      </c>
      <c r="F81" s="326" t="str">
        <f>IF(ISERROR(VLOOKUP(CONCATENATE($F$68,"_",G81),'選手名簿'!$A:$E,5,FALSE))=TRUE,"",VLOOKUP(CONCATENATE($F$68,"_",G81),'選手名簿'!$A:$E,5,FALSE))</f>
        <v/>
      </c>
      <c r="G81" s="327"/>
      <c r="H81" s="327"/>
      <c r="I81" s="327"/>
      <c r="J81" s="328"/>
      <c r="K81" s="327"/>
      <c r="L81" s="327"/>
      <c r="M81" s="327"/>
      <c r="N81" s="329" t="str">
        <f>IF(ISERROR(VLOOKUP(CONCATENATE($N$68,"_",M81),'選手名簿'!$A:$E,5,FALSE))=TRUE,"",VLOOKUP(CONCATENATE($N$68,"_",M81),'選手名簿'!$A:$E,5,FALSE))</f>
        <v/>
      </c>
      <c r="T81" s="325" t="s">
        <v>558</v>
      </c>
      <c r="U81" s="326" t="str">
        <f>IF(ISERROR(VLOOKUP(CONCATENATE($U$68,"_",V81),'選手名簿'!$A:$E,5,FALSE))=TRUE,"",VLOOKUP(CONCATENATE($U$68,"_",V81),'選手名簿'!$A:$E,5,FALSE))</f>
        <v/>
      </c>
      <c r="V81" s="327"/>
      <c r="W81" s="327"/>
      <c r="X81" s="327"/>
      <c r="Y81" s="328"/>
      <c r="Z81" s="327"/>
      <c r="AA81" s="327"/>
      <c r="AB81" s="327"/>
      <c r="AC81" s="329" t="str">
        <f>IF(ISERROR(VLOOKUP(CONCATENATE($AC$68,"_",AB81),'選手名簿'!$A:$E,5,FALSE))=TRUE,"",VLOOKUP(CONCATENATE($AC$68,"_",AB81),'選手名簿'!$A:$E,5,FALSE))</f>
        <v/>
      </c>
    </row>
    <row r="82" spans="1:29" ht="20.25" customHeight="1">
      <c r="A82" s="330" t="s">
        <v>557</v>
      </c>
      <c r="B82" s="750" t="s">
        <v>587</v>
      </c>
      <c r="C82" s="750"/>
      <c r="D82" s="751"/>
      <c r="E82" s="320" t="s">
        <v>419</v>
      </c>
      <c r="F82" s="321" t="str">
        <f>IF(ISERROR(VLOOKUP(CONCATENATE($F$68,"_",G82),'選手名簿'!$A:$E,5,FALSE))=TRUE,"",VLOOKUP(CONCATENATE($F$68,"_",G82),'選手名簿'!$A:$E,5,FALSE))</f>
        <v/>
      </c>
      <c r="G82" s="322"/>
      <c r="H82" s="322"/>
      <c r="I82" s="322"/>
      <c r="J82" s="323"/>
      <c r="K82" s="322"/>
      <c r="L82" s="322"/>
      <c r="M82" s="322"/>
      <c r="N82" s="324" t="str">
        <f>IF(ISERROR(VLOOKUP(CONCATENATE($N$68,"_",M82),'選手名簿'!$A:$E,5,FALSE))=TRUE,"",VLOOKUP(CONCATENATE($N$68,"_",M82),'選手名簿'!$A:$E,5,FALSE))</f>
        <v/>
      </c>
      <c r="P82" s="330" t="s">
        <v>557</v>
      </c>
      <c r="Q82" s="750" t="s">
        <v>592</v>
      </c>
      <c r="R82" s="750"/>
      <c r="S82" s="751"/>
      <c r="T82" s="320" t="s">
        <v>419</v>
      </c>
      <c r="U82" s="321" t="str">
        <f>IF(ISERROR(VLOOKUP(CONCATENATE($U$68,"_",V82),'選手名簿'!$A:$E,5,FALSE))=TRUE,"",VLOOKUP(CONCATENATE($U$68,"_",V82),'選手名簿'!$A:$E,5,FALSE))</f>
        <v/>
      </c>
      <c r="V82" s="322"/>
      <c r="W82" s="322"/>
      <c r="X82" s="322"/>
      <c r="Y82" s="323"/>
      <c r="Z82" s="322"/>
      <c r="AA82" s="322"/>
      <c r="AB82" s="322"/>
      <c r="AC82" s="324" t="str">
        <f>IF(ISERROR(VLOOKUP(CONCATENATE($AC$68,"_",AB82),'選手名簿'!$A:$E,5,FALSE))=TRUE,"",VLOOKUP(CONCATENATE($AC$68,"_",AB82),'選手名簿'!$A:$E,5,FALSE))</f>
        <v/>
      </c>
    </row>
    <row r="83" spans="1:29" ht="20.25" customHeight="1">
      <c r="A83" s="331" t="s">
        <v>177</v>
      </c>
      <c r="B83" s="752" t="str">
        <f>IF(ISERROR(VLOOKUP(B82,'審判員'!$A:$C,2,FALSE))=TRUE,"",VLOOKUP(B82,'審判員'!$A:$C,2,FALSE))</f>
        <v>山田　将来</v>
      </c>
      <c r="C83" s="753"/>
      <c r="D83" s="331" t="str">
        <f>IF(ISERROR(VLOOKUP(B82,'審判員'!$A:$C,3,FALSE))=TRUE,"",VLOOKUP(B82,'審判員'!$A:$C,3,FALSE))</f>
        <v>３級</v>
      </c>
      <c r="E83" s="333" t="s">
        <v>419</v>
      </c>
      <c r="F83" s="334" t="str">
        <f>IF(ISERROR(VLOOKUP(CONCATENATE($F$68,"_",G83),'選手名簿'!$A:$E,5,FALSE))=TRUE,"",VLOOKUP(CONCATENATE($F$68,"_",G83),'選手名簿'!$A:$E,5,FALSE))</f>
        <v/>
      </c>
      <c r="G83" s="335"/>
      <c r="H83" s="335"/>
      <c r="I83" s="335"/>
      <c r="J83" s="323"/>
      <c r="K83" s="335"/>
      <c r="L83" s="335"/>
      <c r="M83" s="335"/>
      <c r="N83" s="336" t="str">
        <f>IF(ISERROR(VLOOKUP(CONCATENATE($N$68,"_",M83),'選手名簿'!$A:$E,5,FALSE))=TRUE,"",VLOOKUP(CONCATENATE($N$68,"_",M83),'選手名簿'!$A:$E,5,FALSE))</f>
        <v/>
      </c>
      <c r="P83" s="331" t="s">
        <v>177</v>
      </c>
      <c r="Q83" s="752" t="str">
        <f>IF(ISERROR(VLOOKUP(Q82,'審判員'!$A:$C,2,FALSE))=TRUE,"",VLOOKUP(Q82,'審判員'!$A:$C,2,FALSE))</f>
        <v>田尻　貴志</v>
      </c>
      <c r="R83" s="753"/>
      <c r="S83" s="331" t="str">
        <f>IF(ISERROR(VLOOKUP(Q82,'審判員'!$A:$C,3,FALSE))=TRUE,"",VLOOKUP(Q82,'審判員'!$A:$C,3,FALSE))</f>
        <v>３級</v>
      </c>
      <c r="T83" s="333" t="s">
        <v>419</v>
      </c>
      <c r="U83" s="334" t="str">
        <f>IF(ISERROR(VLOOKUP(CONCATENATE($U$68,"_",V83),'選手名簿'!$A:$E,5,FALSE))=TRUE,"",VLOOKUP(CONCATENATE($U$68,"_",V83),'選手名簿'!$A:$E,5,FALSE))</f>
        <v/>
      </c>
      <c r="V83" s="335"/>
      <c r="W83" s="335"/>
      <c r="X83" s="335"/>
      <c r="Y83" s="323"/>
      <c r="Z83" s="335"/>
      <c r="AA83" s="335"/>
      <c r="AB83" s="335"/>
      <c r="AC83" s="336" t="str">
        <f>IF(ISERROR(VLOOKUP(CONCATENATE($AC$68,"_",AB83),'選手名簿'!$A:$E,5,FALSE))=TRUE,"",VLOOKUP(CONCATENATE($AC$68,"_",AB83),'選手名簿'!$A:$E,5,FALSE))</f>
        <v/>
      </c>
    </row>
    <row r="84" spans="1:29" ht="20.25" customHeight="1">
      <c r="A84" s="330" t="s">
        <v>557</v>
      </c>
      <c r="B84" s="750" t="s">
        <v>594</v>
      </c>
      <c r="C84" s="750"/>
      <c r="D84" s="751"/>
      <c r="E84" s="333" t="s">
        <v>419</v>
      </c>
      <c r="F84" s="334" t="str">
        <f>IF(ISERROR(VLOOKUP(CONCATENATE($F$68,"_",G84),'選手名簿'!$A:$E,5,FALSE))=TRUE,"",VLOOKUP(CONCATENATE($F$68,"_",G84),'選手名簿'!$A:$E,5,FALSE))</f>
        <v/>
      </c>
      <c r="G84" s="335"/>
      <c r="H84" s="335"/>
      <c r="I84" s="335"/>
      <c r="J84" s="323"/>
      <c r="K84" s="335"/>
      <c r="L84" s="335"/>
      <c r="M84" s="335"/>
      <c r="N84" s="336" t="str">
        <f>IF(ISERROR(VLOOKUP(CONCATENATE($N$68,"_",M84),'選手名簿'!$A:$E,5,FALSE))=TRUE,"",VLOOKUP(CONCATENATE($N$68,"_",M84),'選手名簿'!$A:$E,5,FALSE))</f>
        <v/>
      </c>
      <c r="P84" s="330" t="s">
        <v>557</v>
      </c>
      <c r="Q84" s="750" t="s">
        <v>595</v>
      </c>
      <c r="R84" s="750"/>
      <c r="S84" s="751"/>
      <c r="T84" s="333" t="s">
        <v>419</v>
      </c>
      <c r="U84" s="334" t="str">
        <f>IF(ISERROR(VLOOKUP(CONCATENATE($U$68,"_",V84),'選手名簿'!$A:$E,5,FALSE))=TRUE,"",VLOOKUP(CONCATENATE($U$68,"_",V84),'選手名簿'!$A:$E,5,FALSE))</f>
        <v/>
      </c>
      <c r="V84" s="335"/>
      <c r="W84" s="335"/>
      <c r="X84" s="335"/>
      <c r="Y84" s="323"/>
      <c r="Z84" s="335"/>
      <c r="AA84" s="335"/>
      <c r="AB84" s="335"/>
      <c r="AC84" s="336" t="str">
        <f>IF(ISERROR(VLOOKUP(CONCATENATE($AC$68,"_",AB84),'選手名簿'!$A:$E,5,FALSE))=TRUE,"",VLOOKUP(CONCATENATE($AC$68,"_",AB84),'選手名簿'!$A:$E,5,FALSE))</f>
        <v/>
      </c>
    </row>
    <row r="85" spans="1:29" ht="20.25" customHeight="1">
      <c r="A85" s="331" t="s">
        <v>563</v>
      </c>
      <c r="B85" s="752" t="str">
        <f>IF(ISERROR(VLOOKUP(B84,'審判員'!$A:$C,2,FALSE))=TRUE,"",VLOOKUP(B84,'審判員'!$A:$C,2,FALSE))</f>
        <v>和田　行祐</v>
      </c>
      <c r="C85" s="753"/>
      <c r="D85" s="331" t="str">
        <f>IF(ISERROR(VLOOKUP(B84,'審判員'!$A:$C,3,FALSE))=TRUE,"",VLOOKUP(B84,'審判員'!$A:$C,3,FALSE))</f>
        <v>２級</v>
      </c>
      <c r="E85" s="333" t="s">
        <v>419</v>
      </c>
      <c r="F85" s="334" t="str">
        <f>IF(ISERROR(VLOOKUP(CONCATENATE($F$68,"_",G85),'選手名簿'!$A:$E,5,FALSE))=TRUE,"",VLOOKUP(CONCATENATE($F$68,"_",G85),'選手名簿'!$A:$E,5,FALSE))</f>
        <v/>
      </c>
      <c r="G85" s="335"/>
      <c r="H85" s="335"/>
      <c r="I85" s="335"/>
      <c r="J85" s="323"/>
      <c r="K85" s="335"/>
      <c r="L85" s="335"/>
      <c r="M85" s="335"/>
      <c r="N85" s="336" t="str">
        <f>IF(ISERROR(VLOOKUP(CONCATENATE($N$68,"_",M85),'選手名簿'!$A:$E,5,FALSE))=TRUE,"",VLOOKUP(CONCATENATE($N$68,"_",M85),'選手名簿'!$A:$E,5,FALSE))</f>
        <v/>
      </c>
      <c r="P85" s="331" t="s">
        <v>563</v>
      </c>
      <c r="Q85" s="752" t="str">
        <f>IF(ISERROR(VLOOKUP(Q84,'審判員'!$A:$C,2,FALSE))=TRUE,"",VLOOKUP(Q84,'審判員'!$A:$C,2,FALSE))</f>
        <v>川井　勇介</v>
      </c>
      <c r="R85" s="753"/>
      <c r="S85" s="331" t="str">
        <f>IF(ISERROR(VLOOKUP(Q84,'審判員'!$A:$C,3,FALSE))=TRUE,"",VLOOKUP(Q84,'審判員'!$A:$C,3,FALSE))</f>
        <v>３級</v>
      </c>
      <c r="T85" s="333" t="s">
        <v>419</v>
      </c>
      <c r="U85" s="334" t="str">
        <f>IF(ISERROR(VLOOKUP(CONCATENATE($U$68,"_",V85),'選手名簿'!$A:$E,5,FALSE))=TRUE,"",VLOOKUP(CONCATENATE($U$68,"_",V85),'選手名簿'!$A:$E,5,FALSE))</f>
        <v/>
      </c>
      <c r="V85" s="335"/>
      <c r="W85" s="335"/>
      <c r="X85" s="335"/>
      <c r="Y85" s="323"/>
      <c r="Z85" s="335"/>
      <c r="AA85" s="335"/>
      <c r="AB85" s="335"/>
      <c r="AC85" s="336" t="str">
        <f>IF(ISERROR(VLOOKUP(CONCATENATE($AC$68,"_",AB85),'選手名簿'!$A:$E,5,FALSE))=TRUE,"",VLOOKUP(CONCATENATE($AC$68,"_",AB85),'選手名簿'!$A:$E,5,FALSE))</f>
        <v/>
      </c>
    </row>
    <row r="86" spans="1:29" ht="20.25" customHeight="1">
      <c r="A86" s="330" t="s">
        <v>557</v>
      </c>
      <c r="B86" s="750" t="s">
        <v>588</v>
      </c>
      <c r="C86" s="750"/>
      <c r="D86" s="751"/>
      <c r="E86" s="333" t="s">
        <v>419</v>
      </c>
      <c r="F86" s="334" t="str">
        <f>IF(ISERROR(VLOOKUP(CONCATENATE($F$68,"_",G86),'選手名簿'!$A:$E,5,FALSE))=TRUE,"",VLOOKUP(CONCATENATE($F$68,"_",G86),'選手名簿'!$A:$E,5,FALSE))</f>
        <v/>
      </c>
      <c r="G86" s="335"/>
      <c r="H86" s="335"/>
      <c r="I86" s="335"/>
      <c r="J86" s="323"/>
      <c r="K86" s="335"/>
      <c r="L86" s="335"/>
      <c r="M86" s="335"/>
      <c r="N86" s="336" t="str">
        <f>IF(ISERROR(VLOOKUP(CONCATENATE($N$68,"_",M86),'選手名簿'!$A:$E,5,FALSE))=TRUE,"",VLOOKUP(CONCATENATE($N$68,"_",M86),'選手名簿'!$A:$E,5,FALSE))</f>
        <v/>
      </c>
      <c r="P86" s="330" t="s">
        <v>557</v>
      </c>
      <c r="Q86" s="750" t="s">
        <v>589</v>
      </c>
      <c r="R86" s="750"/>
      <c r="S86" s="751"/>
      <c r="T86" s="333" t="s">
        <v>419</v>
      </c>
      <c r="U86" s="334" t="str">
        <f>IF(ISERROR(VLOOKUP(CONCATENATE($U$68,"_",V86),'選手名簿'!$A:$E,5,FALSE))=TRUE,"",VLOOKUP(CONCATENATE($U$68,"_",V86),'選手名簿'!$A:$E,5,FALSE))</f>
        <v/>
      </c>
      <c r="V86" s="335"/>
      <c r="W86" s="335"/>
      <c r="X86" s="335"/>
      <c r="Y86" s="323"/>
      <c r="Z86" s="335"/>
      <c r="AA86" s="335"/>
      <c r="AB86" s="335"/>
      <c r="AC86" s="336" t="str">
        <f>IF(ISERROR(VLOOKUP(CONCATENATE($AC$68,"_",AB86),'選手名簿'!$A:$E,5,FALSE))=TRUE,"",VLOOKUP(CONCATENATE($AC$68,"_",AB86),'選手名簿'!$A:$E,5,FALSE))</f>
        <v/>
      </c>
    </row>
    <row r="87" spans="1:29" ht="20.25" customHeight="1">
      <c r="A87" s="331" t="s">
        <v>566</v>
      </c>
      <c r="B87" s="752" t="str">
        <f>IF(ISERROR(VLOOKUP(B86,'審判員'!$A:$C,2,FALSE))=TRUE,"",VLOOKUP(B86,'審判員'!$A:$C,2,FALSE))</f>
        <v>相良　章成</v>
      </c>
      <c r="C87" s="753"/>
      <c r="D87" s="331" t="str">
        <f>IF(ISERROR(VLOOKUP(B86,'審判員'!$A:$C,3,FALSE))=TRUE,"",VLOOKUP(B86,'審判員'!$A:$C,3,FALSE))</f>
        <v>３級</v>
      </c>
      <c r="E87" s="333" t="s">
        <v>419</v>
      </c>
      <c r="F87" s="334" t="str">
        <f>IF(ISERROR(VLOOKUP(CONCATENATE($F$68,"_",G87),'選手名簿'!$A:$E,5,FALSE))=TRUE,"",VLOOKUP(CONCATENATE($F$68,"_",G87),'選手名簿'!$A:$E,5,FALSE))</f>
        <v/>
      </c>
      <c r="G87" s="335"/>
      <c r="H87" s="335"/>
      <c r="I87" s="335"/>
      <c r="J87" s="323"/>
      <c r="K87" s="335"/>
      <c r="L87" s="335"/>
      <c r="M87" s="335"/>
      <c r="N87" s="336" t="str">
        <f>IF(ISERROR(VLOOKUP(CONCATENATE($N$68,"_",M87),'選手名簿'!$A:$E,5,FALSE))=TRUE,"",VLOOKUP(CONCATENATE($N$68,"_",M87),'選手名簿'!$A:$E,5,FALSE))</f>
        <v/>
      </c>
      <c r="P87" s="331" t="s">
        <v>566</v>
      </c>
      <c r="Q87" s="752" t="str">
        <f>IF(ISERROR(VLOOKUP(Q86,'審判員'!$A:$C,2,FALSE))=TRUE,"",VLOOKUP(Q86,'審判員'!$A:$C,2,FALSE))</f>
        <v>柳元　哲哉</v>
      </c>
      <c r="R87" s="753"/>
      <c r="S87" s="331" t="str">
        <f>IF(ISERROR(VLOOKUP(Q86,'審判員'!$A:$C,3,FALSE))=TRUE,"",VLOOKUP(Q86,'審判員'!$A:$C,3,FALSE))</f>
        <v>３級</v>
      </c>
      <c r="T87" s="333" t="s">
        <v>419</v>
      </c>
      <c r="U87" s="334" t="str">
        <f>IF(ISERROR(VLOOKUP(CONCATENATE($U$68,"_",V87),'選手名簿'!$A:$E,5,FALSE))=TRUE,"",VLOOKUP(CONCATENATE($U$68,"_",V87),'選手名簿'!$A:$E,5,FALSE))</f>
        <v/>
      </c>
      <c r="V87" s="335"/>
      <c r="W87" s="335"/>
      <c r="X87" s="335"/>
      <c r="Y87" s="323"/>
      <c r="Z87" s="335"/>
      <c r="AA87" s="335"/>
      <c r="AB87" s="335"/>
      <c r="AC87" s="336" t="str">
        <f>IF(ISERROR(VLOOKUP(CONCATENATE($AC$68,"_",AB87),'選手名簿'!$A:$E,5,FALSE))=TRUE,"",VLOOKUP(CONCATENATE($AC$68,"_",AB87),'選手名簿'!$A:$E,5,FALSE))</f>
        <v/>
      </c>
    </row>
    <row r="88" spans="1:29" ht="20.25" customHeight="1">
      <c r="A88" s="330" t="s">
        <v>557</v>
      </c>
      <c r="B88" s="750" t="s">
        <v>592</v>
      </c>
      <c r="C88" s="750"/>
      <c r="D88" s="751"/>
      <c r="E88" s="333" t="s">
        <v>419</v>
      </c>
      <c r="F88" s="334" t="str">
        <f>IF(ISERROR(VLOOKUP(CONCATENATE($F$68,"_",G88),'選手名簿'!$A:$E,5,FALSE))=TRUE,"",VLOOKUP(CONCATENATE($F$68,"_",G88),'選手名簿'!$A:$E,5,FALSE))</f>
        <v/>
      </c>
      <c r="G88" s="335"/>
      <c r="H88" s="335"/>
      <c r="I88" s="335"/>
      <c r="J88" s="323"/>
      <c r="K88" s="335"/>
      <c r="L88" s="335"/>
      <c r="M88" s="335"/>
      <c r="N88" s="336" t="str">
        <f>IF(ISERROR(VLOOKUP(CONCATENATE($N$68,"_",M88),'選手名簿'!$A:$E,5,FALSE))=TRUE,"",VLOOKUP(CONCATENATE($N$68,"_",M88),'選手名簿'!$A:$E,5,FALSE))</f>
        <v/>
      </c>
      <c r="P88" s="330" t="s">
        <v>557</v>
      </c>
      <c r="Q88" s="750" t="s">
        <v>586</v>
      </c>
      <c r="R88" s="750"/>
      <c r="S88" s="751"/>
      <c r="T88" s="333" t="s">
        <v>419</v>
      </c>
      <c r="U88" s="334" t="str">
        <f>IF(ISERROR(VLOOKUP(CONCATENATE($U$68,"_",V88),'選手名簿'!$A:$E,5,FALSE))=TRUE,"",VLOOKUP(CONCATENATE($U$68,"_",V88),'選手名簿'!$A:$E,5,FALSE))</f>
        <v/>
      </c>
      <c r="V88" s="335"/>
      <c r="W88" s="335"/>
      <c r="X88" s="335"/>
      <c r="Y88" s="323"/>
      <c r="Z88" s="335"/>
      <c r="AA88" s="335"/>
      <c r="AB88" s="335"/>
      <c r="AC88" s="336" t="str">
        <f>IF(ISERROR(VLOOKUP(CONCATENATE($AC$68,"_",AB88),'選手名簿'!$A:$E,5,FALSE))=TRUE,"",VLOOKUP(CONCATENATE($AC$68,"_",AB88),'選手名簿'!$A:$E,5,FALSE))</f>
        <v/>
      </c>
    </row>
    <row r="89" spans="1:29" ht="20.25" customHeight="1">
      <c r="A89" s="331" t="s">
        <v>568</v>
      </c>
      <c r="B89" s="752" t="str">
        <f>IF(ISERROR(VLOOKUP(B88,'審判員'!$A:$C,2,FALSE))=TRUE,"",VLOOKUP(B88,'審判員'!$A:$C,2,FALSE))</f>
        <v>田尻　貴志</v>
      </c>
      <c r="C89" s="753"/>
      <c r="D89" s="331" t="str">
        <f>IF(ISERROR(VLOOKUP(B88,'審判員'!$A:$C,3,FALSE))=TRUE,"",VLOOKUP(B88,'審判員'!$A:$C,3,FALSE))</f>
        <v>３級</v>
      </c>
      <c r="E89" s="337" t="s">
        <v>419</v>
      </c>
      <c r="F89" s="338" t="str">
        <f>IF(ISERROR(VLOOKUP(CONCATENATE($F$68,"_",G89),'選手名簿'!$A:$E,5,FALSE))=TRUE,"",VLOOKUP(CONCATENATE($F$68,"_",G89),'選手名簿'!$A:$E,5,FALSE))</f>
        <v/>
      </c>
      <c r="G89" s="339"/>
      <c r="H89" s="339"/>
      <c r="I89" s="339"/>
      <c r="J89" s="328"/>
      <c r="K89" s="339"/>
      <c r="L89" s="339"/>
      <c r="M89" s="339"/>
      <c r="N89" s="340" t="str">
        <f>IF(ISERROR(VLOOKUP(CONCATENATE($N$68,"_",M89),'選手名簿'!$A:$E,5,FALSE))=TRUE,"",VLOOKUP(CONCATENATE($N$68,"_",M89),'選手名簿'!$A:$E,5,FALSE))</f>
        <v/>
      </c>
      <c r="P89" s="331" t="s">
        <v>568</v>
      </c>
      <c r="Q89" s="752" t="str">
        <f>IF(ISERROR(VLOOKUP(Q88,'審判員'!$A:$C,2,FALSE))=TRUE,"",VLOOKUP(Q88,'審判員'!$A:$C,2,FALSE))</f>
        <v>朝比奈　義行</v>
      </c>
      <c r="R89" s="753"/>
      <c r="S89" s="331" t="str">
        <f>IF(ISERROR(VLOOKUP(Q88,'審判員'!$A:$C,3,FALSE))=TRUE,"",VLOOKUP(Q88,'審判員'!$A:$C,3,FALSE))</f>
        <v>３級</v>
      </c>
      <c r="T89" s="337" t="s">
        <v>419</v>
      </c>
      <c r="U89" s="338" t="str">
        <f>IF(ISERROR(VLOOKUP(CONCATENATE($U$68,"_",V89),'選手名簿'!$A:$E,5,FALSE))=TRUE,"",VLOOKUP(CONCATENATE($U$68,"_",V89),'選手名簿'!$A:$E,5,FALSE))</f>
        <v/>
      </c>
      <c r="V89" s="339"/>
      <c r="W89" s="339"/>
      <c r="X89" s="339"/>
      <c r="Y89" s="328"/>
      <c r="Z89" s="339"/>
      <c r="AA89" s="339"/>
      <c r="AB89" s="339"/>
      <c r="AC89" s="340" t="str">
        <f>IF(ISERROR(VLOOKUP(CONCATENATE($AC$68,"_",AB89),'選手名簿'!$A:$E,5,FALSE))=TRUE,"",VLOOKUP(CONCATENATE($AC$68,"_",AB89),'選手名簿'!$A:$E,5,FALSE))</f>
        <v/>
      </c>
    </row>
  </sheetData>
  <mergeCells count="132">
    <mergeCell ref="A1:J1"/>
    <mergeCell ref="K1:N1"/>
    <mergeCell ref="P1:Y1"/>
    <mergeCell ref="Z1:AC1"/>
    <mergeCell ref="B3:E3"/>
    <mergeCell ref="Q3:T3"/>
    <mergeCell ref="F5:L5"/>
    <mergeCell ref="M5:N5"/>
    <mergeCell ref="U5:AA5"/>
    <mergeCell ref="AB5:AC5"/>
    <mergeCell ref="F6:L6"/>
    <mergeCell ref="M6:N6"/>
    <mergeCell ref="U6:AA6"/>
    <mergeCell ref="AB6:AC6"/>
    <mergeCell ref="F7:L7"/>
    <mergeCell ref="M7:N7"/>
    <mergeCell ref="U7:AA7"/>
    <mergeCell ref="AB7:AC7"/>
    <mergeCell ref="B10:D10"/>
    <mergeCell ref="E10:E12"/>
    <mergeCell ref="F10:F12"/>
    <mergeCell ref="G10:G12"/>
    <mergeCell ref="H10:H12"/>
    <mergeCell ref="L10:L12"/>
    <mergeCell ref="M10:M12"/>
    <mergeCell ref="N10:N12"/>
    <mergeCell ref="Q10:S10"/>
    <mergeCell ref="T10:T12"/>
    <mergeCell ref="U10:U12"/>
    <mergeCell ref="V10:V12"/>
    <mergeCell ref="W10:W12"/>
    <mergeCell ref="AA10:AA12"/>
    <mergeCell ref="AB10:AB12"/>
    <mergeCell ref="AC10:AC12"/>
    <mergeCell ref="B11:D11"/>
    <mergeCell ref="Q11:S11"/>
    <mergeCell ref="B12:D12"/>
    <mergeCell ref="Q12:S12"/>
    <mergeCell ref="A13:D13"/>
    <mergeCell ref="P13:S13"/>
    <mergeCell ref="B24:D24"/>
    <mergeCell ref="Q24:S24"/>
    <mergeCell ref="B25:C25"/>
    <mergeCell ref="Q25:R25"/>
    <mergeCell ref="B26:D26"/>
    <mergeCell ref="Q26:S26"/>
    <mergeCell ref="B27:C27"/>
    <mergeCell ref="Q27:R27"/>
    <mergeCell ref="B28:D28"/>
    <mergeCell ref="Q28:S28"/>
    <mergeCell ref="B29:C29"/>
    <mergeCell ref="Q29:R29"/>
    <mergeCell ref="B30:D30"/>
    <mergeCell ref="Q30:S30"/>
    <mergeCell ref="B31:C31"/>
    <mergeCell ref="Q31:R31"/>
    <mergeCell ref="B39:D39"/>
    <mergeCell ref="E39:E41"/>
    <mergeCell ref="F39:F41"/>
    <mergeCell ref="G39:G41"/>
    <mergeCell ref="H39:H41"/>
    <mergeCell ref="L39:L41"/>
    <mergeCell ref="M39:M41"/>
    <mergeCell ref="N39:N41"/>
    <mergeCell ref="Q39:S39"/>
    <mergeCell ref="T39:T41"/>
    <mergeCell ref="U39:U41"/>
    <mergeCell ref="V39:V41"/>
    <mergeCell ref="W39:W41"/>
    <mergeCell ref="AA39:AA41"/>
    <mergeCell ref="AB39:AB41"/>
    <mergeCell ref="AC39:AC41"/>
    <mergeCell ref="B40:D40"/>
    <mergeCell ref="Q40:S40"/>
    <mergeCell ref="B41:D41"/>
    <mergeCell ref="Q41:S41"/>
    <mergeCell ref="A42:D42"/>
    <mergeCell ref="P42:S42"/>
    <mergeCell ref="B53:D53"/>
    <mergeCell ref="Q53:S53"/>
    <mergeCell ref="B54:C54"/>
    <mergeCell ref="Q54:R54"/>
    <mergeCell ref="B55:D55"/>
    <mergeCell ref="Q55:S55"/>
    <mergeCell ref="B56:C56"/>
    <mergeCell ref="Q56:R56"/>
    <mergeCell ref="B57:D57"/>
    <mergeCell ref="Q57:S57"/>
    <mergeCell ref="B58:C58"/>
    <mergeCell ref="Q58:R58"/>
    <mergeCell ref="B59:D59"/>
    <mergeCell ref="Q59:S59"/>
    <mergeCell ref="B60:C60"/>
    <mergeCell ref="Q60:R60"/>
    <mergeCell ref="B68:D68"/>
    <mergeCell ref="E68:E70"/>
    <mergeCell ref="F68:F70"/>
    <mergeCell ref="G68:G70"/>
    <mergeCell ref="H68:H70"/>
    <mergeCell ref="L68:L70"/>
    <mergeCell ref="M68:M70"/>
    <mergeCell ref="N68:N70"/>
    <mergeCell ref="Q68:S68"/>
    <mergeCell ref="T68:T70"/>
    <mergeCell ref="U68:U70"/>
    <mergeCell ref="V68:V70"/>
    <mergeCell ref="W68:W70"/>
    <mergeCell ref="AA68:AA70"/>
    <mergeCell ref="AB68:AB70"/>
    <mergeCell ref="AC68:AC70"/>
    <mergeCell ref="B69:D69"/>
    <mergeCell ref="Q69:S69"/>
    <mergeCell ref="B70:D70"/>
    <mergeCell ref="Q70:S70"/>
    <mergeCell ref="B86:D86"/>
    <mergeCell ref="Q86:S86"/>
    <mergeCell ref="B87:C87"/>
    <mergeCell ref="Q87:R87"/>
    <mergeCell ref="B88:D88"/>
    <mergeCell ref="Q88:S88"/>
    <mergeCell ref="B89:C89"/>
    <mergeCell ref="Q89:R89"/>
    <mergeCell ref="A71:D71"/>
    <mergeCell ref="P71:S71"/>
    <mergeCell ref="B82:D82"/>
    <mergeCell ref="Q82:S82"/>
    <mergeCell ref="B83:C83"/>
    <mergeCell ref="Q83:R83"/>
    <mergeCell ref="B84:D84"/>
    <mergeCell ref="Q84:S84"/>
    <mergeCell ref="B85:C85"/>
    <mergeCell ref="Q85:R85"/>
  </mergeCells>
  <dataValidations count="1">
    <dataValidation type="list" allowBlank="1" showInputMessage="1" showErrorMessage="1" sqref="B10:D12 Q10:S12 Q39:S41 B39:D41 B68:D70 Q68:S70">
      <formula1>項目!$G$1:$G$33</formula1>
    </dataValidation>
  </dataValidations>
  <printOptions/>
  <pageMargins left="0" right="0" top="0" bottom="0" header="0.5118110236220472" footer="0.5118110236220472"/>
  <pageSetup fitToHeight="1" fitToWidth="1" horizontalDpi="600" verticalDpi="600" orientation="landscape" paperSize="9" scale="5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AC89"/>
  <sheetViews>
    <sheetView zoomScale="70" zoomScaleNormal="70" workbookViewId="0" topLeftCell="A1">
      <selection activeCell="A2" sqref="A2"/>
    </sheetView>
  </sheetViews>
  <sheetFormatPr defaultColWidth="9.00390625" defaultRowHeight="20.25" customHeight="1"/>
  <cols>
    <col min="1" max="1" width="12.125" style="303" customWidth="1"/>
    <col min="2" max="2" width="11.875" style="303" bestFit="1" customWidth="1"/>
    <col min="3" max="3" width="3.125" style="303" customWidth="1"/>
    <col min="4" max="4" width="6.75390625" style="303" bestFit="1" customWidth="1"/>
    <col min="5" max="5" width="10.125" style="303" bestFit="1" customWidth="1"/>
    <col min="6" max="6" width="20.625" style="303" customWidth="1"/>
    <col min="7" max="7" width="7.625" style="303" customWidth="1"/>
    <col min="8" max="9" width="4.875" style="303" customWidth="1"/>
    <col min="10" max="10" width="5.25390625" style="303" customWidth="1"/>
    <col min="11" max="12" width="4.875" style="303" customWidth="1"/>
    <col min="13" max="13" width="7.625" style="303" customWidth="1"/>
    <col min="14" max="14" width="20.625" style="303" customWidth="1"/>
    <col min="15" max="15" width="5.00390625" style="303" bestFit="1" customWidth="1"/>
    <col min="16" max="16" width="12.125" style="303" customWidth="1"/>
    <col min="17" max="17" width="11.875" style="303" bestFit="1" customWidth="1"/>
    <col min="18" max="18" width="3.125" style="303" customWidth="1"/>
    <col min="19" max="19" width="6.75390625" style="303" bestFit="1" customWidth="1"/>
    <col min="20" max="20" width="10.125" style="303" bestFit="1" customWidth="1"/>
    <col min="21" max="21" width="20.625" style="303" customWidth="1"/>
    <col min="22" max="22" width="7.625" style="303" customWidth="1"/>
    <col min="23" max="24" width="4.875" style="303" customWidth="1"/>
    <col min="25" max="25" width="5.25390625" style="303" customWidth="1"/>
    <col min="26" max="27" width="4.875" style="303" customWidth="1"/>
    <col min="28" max="28" width="7.625" style="303" customWidth="1"/>
    <col min="29" max="29" width="20.625" style="303" customWidth="1"/>
    <col min="30" max="16384" width="9.00390625" style="303" customWidth="1"/>
  </cols>
  <sheetData>
    <row r="1" spans="1:29" s="304" customFormat="1" ht="20.25" customHeight="1">
      <c r="A1" s="779" t="str">
        <f>'大会要項'!$B$3</f>
        <v>第11回 全日本不動産協会杯争奪U-12サッカー大会【ラビットカップ】大分県大会</v>
      </c>
      <c r="B1" s="779"/>
      <c r="C1" s="779"/>
      <c r="D1" s="779"/>
      <c r="E1" s="779"/>
      <c r="F1" s="779"/>
      <c r="G1" s="779"/>
      <c r="H1" s="779"/>
      <c r="I1" s="779"/>
      <c r="J1" s="779"/>
      <c r="K1" s="779" t="s">
        <v>545</v>
      </c>
      <c r="L1" s="779"/>
      <c r="M1" s="779"/>
      <c r="N1" s="779"/>
      <c r="O1" s="305"/>
      <c r="P1" s="779" t="str">
        <f>'大会要項'!$B$3</f>
        <v>第11回 全日本不動産協会杯争奪U-12サッカー大会【ラビットカップ】大分県大会</v>
      </c>
      <c r="Q1" s="779"/>
      <c r="R1" s="779"/>
      <c r="S1" s="779"/>
      <c r="T1" s="779"/>
      <c r="U1" s="779"/>
      <c r="V1" s="779"/>
      <c r="W1" s="779"/>
      <c r="X1" s="779"/>
      <c r="Y1" s="779"/>
      <c r="Z1" s="779" t="s">
        <v>545</v>
      </c>
      <c r="AA1" s="779"/>
      <c r="AB1" s="779"/>
      <c r="AC1" s="779"/>
    </row>
    <row r="2" spans="16:29" ht="20.25" customHeight="1">
      <c r="P2" s="306"/>
      <c r="Q2" s="306"/>
      <c r="R2" s="306"/>
      <c r="S2" s="306"/>
      <c r="T2" s="306"/>
      <c r="U2" s="306"/>
      <c r="V2" s="306"/>
      <c r="W2" s="306"/>
      <c r="X2" s="306"/>
      <c r="Y2" s="306"/>
      <c r="Z2" s="306"/>
      <c r="AA2" s="306"/>
      <c r="AB2" s="306"/>
      <c r="AC2" s="306"/>
    </row>
    <row r="3" spans="1:29" ht="20.25" customHeight="1">
      <c r="A3" s="303" t="s">
        <v>64</v>
      </c>
      <c r="B3" s="780" t="str">
        <f>'予選リーグ'!I14</f>
        <v>西部スポーツ交流ひろば「人工芝」</v>
      </c>
      <c r="C3" s="780"/>
      <c r="D3" s="780"/>
      <c r="E3" s="780"/>
      <c r="F3" s="307" t="str">
        <f>'予選リーグ'!L15</f>
        <v>「B」コート</v>
      </c>
      <c r="H3" s="307"/>
      <c r="I3" s="307"/>
      <c r="J3" s="307"/>
      <c r="K3" s="307"/>
      <c r="L3" s="307"/>
      <c r="P3" s="303" t="s">
        <v>64</v>
      </c>
      <c r="Q3" s="780" t="str">
        <f>'予選リーグ'!I14</f>
        <v>西部スポーツ交流ひろば「人工芝」</v>
      </c>
      <c r="R3" s="780"/>
      <c r="S3" s="780"/>
      <c r="T3" s="780"/>
      <c r="U3" s="342" t="str">
        <f>'予選リーグ'!L15</f>
        <v>「B」コート</v>
      </c>
      <c r="V3" s="342"/>
      <c r="W3" s="308"/>
      <c r="X3" s="308"/>
      <c r="Y3" s="308"/>
      <c r="Z3" s="308"/>
      <c r="AA3" s="308"/>
      <c r="AB3" s="308"/>
      <c r="AC3" s="308"/>
    </row>
    <row r="4" spans="16:29" ht="20.25" customHeight="1">
      <c r="P4" s="306"/>
      <c r="Q4" s="306"/>
      <c r="R4" s="306"/>
      <c r="S4" s="306"/>
      <c r="T4" s="306"/>
      <c r="U4" s="306"/>
      <c r="V4" s="306"/>
      <c r="W4" s="306"/>
      <c r="X4" s="306"/>
      <c r="Y4" s="306"/>
      <c r="Z4" s="306"/>
      <c r="AA4" s="306"/>
      <c r="AB4" s="306"/>
      <c r="AC4" s="306"/>
    </row>
    <row r="5" spans="5:29" ht="20.25" customHeight="1">
      <c r="E5" s="309" t="s">
        <v>454</v>
      </c>
      <c r="F5" s="781" t="str">
        <f>VLOOKUP(E5,'組合せ抽選用'!$Q:$U,5,FALSE)</f>
        <v>別保ＳＦＣ</v>
      </c>
      <c r="G5" s="781"/>
      <c r="H5" s="781"/>
      <c r="I5" s="781"/>
      <c r="J5" s="781"/>
      <c r="K5" s="781"/>
      <c r="L5" s="781"/>
      <c r="M5" s="781" t="str">
        <f>VLOOKUP(E5,'組合せ抽選用'!$Q:$V,6,FALSE)</f>
        <v>大分</v>
      </c>
      <c r="N5" s="782"/>
      <c r="R5" s="306"/>
      <c r="S5" s="306"/>
      <c r="T5" s="309" t="s">
        <v>466</v>
      </c>
      <c r="U5" s="781" t="str">
        <f>VLOOKUP(T5,'組合せ抽選用'!$Q:$U,5,FALSE)</f>
        <v>別府フットボールクラブ．ミネルバＵ－１２</v>
      </c>
      <c r="V5" s="781"/>
      <c r="W5" s="781"/>
      <c r="X5" s="781"/>
      <c r="Y5" s="781"/>
      <c r="Z5" s="781"/>
      <c r="AA5" s="781"/>
      <c r="AB5" s="781" t="str">
        <f>VLOOKUP(T5,'組合せ抽選用'!$Q:$V,6,FALSE)</f>
        <v>別府</v>
      </c>
      <c r="AC5" s="782"/>
    </row>
    <row r="6" spans="5:29" ht="20.25" customHeight="1">
      <c r="E6" s="310" t="s">
        <v>444</v>
      </c>
      <c r="F6" s="775" t="str">
        <f>VLOOKUP(E6,'組合せ抽選用'!$Q:$U,5,FALSE)</f>
        <v>ドリームキッズフットボールクラブ</v>
      </c>
      <c r="G6" s="775"/>
      <c r="H6" s="775"/>
      <c r="I6" s="775"/>
      <c r="J6" s="775"/>
      <c r="K6" s="775"/>
      <c r="L6" s="775"/>
      <c r="M6" s="775" t="str">
        <f>VLOOKUP(E6,'組合せ抽選用'!$Q:$V,6,FALSE)</f>
        <v>大分</v>
      </c>
      <c r="N6" s="776"/>
      <c r="P6" s="306"/>
      <c r="Q6" s="306"/>
      <c r="R6" s="306"/>
      <c r="S6" s="306"/>
      <c r="T6" s="310" t="s">
        <v>452</v>
      </c>
      <c r="U6" s="775" t="str">
        <f>VLOOKUP(T6,'組合せ抽選用'!$Q:$U,5,FALSE)</f>
        <v>ブルーウイングフットボールクラブ</v>
      </c>
      <c r="V6" s="775"/>
      <c r="W6" s="775"/>
      <c r="X6" s="775"/>
      <c r="Y6" s="775"/>
      <c r="Z6" s="775"/>
      <c r="AA6" s="775"/>
      <c r="AB6" s="775" t="str">
        <f>VLOOKUP(T6,'組合せ抽選用'!$Q:$V,6,FALSE)</f>
        <v>大分</v>
      </c>
      <c r="AC6" s="776"/>
    </row>
    <row r="7" spans="5:29" ht="20.25" customHeight="1">
      <c r="E7" s="311" t="s">
        <v>473</v>
      </c>
      <c r="F7" s="777" t="str">
        <f>VLOOKUP(E7,'組合せ抽選用'!$Q:$U,5,FALSE)</f>
        <v>ＦＣ大野</v>
      </c>
      <c r="G7" s="777"/>
      <c r="H7" s="777"/>
      <c r="I7" s="777"/>
      <c r="J7" s="777"/>
      <c r="K7" s="777"/>
      <c r="L7" s="777"/>
      <c r="M7" s="777" t="str">
        <f>VLOOKUP(E7,'組合せ抽選用'!$Q:$V,6,FALSE)</f>
        <v>豊肥</v>
      </c>
      <c r="N7" s="778"/>
      <c r="P7" s="306"/>
      <c r="Q7" s="306"/>
      <c r="R7" s="306"/>
      <c r="S7" s="306"/>
      <c r="T7" s="311" t="s">
        <v>468</v>
      </c>
      <c r="U7" s="777" t="str">
        <f>VLOOKUP(T7,'組合せ抽選用'!$Q:$U,5,FALSE)</f>
        <v>太陽スポーツクラブ大分西</v>
      </c>
      <c r="V7" s="777"/>
      <c r="W7" s="777"/>
      <c r="X7" s="777"/>
      <c r="Y7" s="777"/>
      <c r="Z7" s="777"/>
      <c r="AA7" s="777"/>
      <c r="AB7" s="777" t="str">
        <f>VLOOKUP(T7,'組合せ抽選用'!$Q:$V,6,FALSE)</f>
        <v>日田/玖珠</v>
      </c>
      <c r="AC7" s="778"/>
    </row>
    <row r="8" spans="16:29" ht="20.25" customHeight="1">
      <c r="P8" s="306"/>
      <c r="Q8" s="306"/>
      <c r="R8" s="306"/>
      <c r="S8" s="306"/>
      <c r="T8" s="306"/>
      <c r="U8" s="306"/>
      <c r="V8" s="306"/>
      <c r="W8" s="306"/>
      <c r="X8" s="306"/>
      <c r="Y8" s="306"/>
      <c r="Z8" s="306"/>
      <c r="AA8" s="306"/>
      <c r="AB8" s="306"/>
      <c r="AC8" s="306"/>
    </row>
    <row r="10" spans="1:29" ht="27.4" customHeight="1">
      <c r="A10" s="312" t="s">
        <v>546</v>
      </c>
      <c r="B10" s="772" t="s">
        <v>596</v>
      </c>
      <c r="C10" s="773"/>
      <c r="D10" s="774"/>
      <c r="E10" s="756">
        <v>0.4375</v>
      </c>
      <c r="F10" s="759" t="str">
        <f>F5</f>
        <v>別保ＳＦＣ</v>
      </c>
      <c r="G10" s="762">
        <f>SUM(I10:I11)</f>
        <v>1</v>
      </c>
      <c r="H10" s="765" t="s">
        <v>294</v>
      </c>
      <c r="I10" s="313">
        <v>1</v>
      </c>
      <c r="J10" s="313" t="s">
        <v>548</v>
      </c>
      <c r="K10" s="313">
        <v>2</v>
      </c>
      <c r="L10" s="765" t="s">
        <v>549</v>
      </c>
      <c r="M10" s="762">
        <f>SUM(K10:K11)</f>
        <v>2</v>
      </c>
      <c r="N10" s="768" t="str">
        <f>F6</f>
        <v>ドリームキッズフットボールクラブ</v>
      </c>
      <c r="P10" s="312" t="s">
        <v>546</v>
      </c>
      <c r="Q10" s="772" t="s">
        <v>597</v>
      </c>
      <c r="R10" s="773"/>
      <c r="S10" s="774"/>
      <c r="T10" s="756">
        <v>0.4791666666666667</v>
      </c>
      <c r="U10" s="759" t="str">
        <f>U5</f>
        <v>別府フットボールクラブ．ミネルバＵ－１２</v>
      </c>
      <c r="V10" s="762">
        <f>SUM(X10:X11)</f>
        <v>0</v>
      </c>
      <c r="W10" s="765" t="s">
        <v>294</v>
      </c>
      <c r="X10" s="313">
        <v>0</v>
      </c>
      <c r="Y10" s="313" t="s">
        <v>548</v>
      </c>
      <c r="Z10" s="313">
        <v>0</v>
      </c>
      <c r="AA10" s="765" t="s">
        <v>549</v>
      </c>
      <c r="AB10" s="762">
        <f>SUM(Z10:Z11)</f>
        <v>0</v>
      </c>
      <c r="AC10" s="768" t="str">
        <f>U6</f>
        <v>ブルーウイングフットボールクラブ</v>
      </c>
    </row>
    <row r="11" spans="1:29" ht="27.4" customHeight="1">
      <c r="A11" s="314" t="s">
        <v>551</v>
      </c>
      <c r="B11" s="771" t="s">
        <v>16</v>
      </c>
      <c r="C11" s="771"/>
      <c r="D11" s="772"/>
      <c r="E11" s="757"/>
      <c r="F11" s="760"/>
      <c r="G11" s="763"/>
      <c r="H11" s="766"/>
      <c r="I11" s="303">
        <v>0</v>
      </c>
      <c r="J11" s="303" t="s">
        <v>552</v>
      </c>
      <c r="K11" s="303">
        <v>0</v>
      </c>
      <c r="L11" s="766"/>
      <c r="M11" s="763"/>
      <c r="N11" s="769"/>
      <c r="P11" s="314" t="s">
        <v>551</v>
      </c>
      <c r="Q11" s="771" t="s">
        <v>16</v>
      </c>
      <c r="R11" s="771"/>
      <c r="S11" s="772"/>
      <c r="T11" s="757"/>
      <c r="U11" s="760"/>
      <c r="V11" s="763"/>
      <c r="W11" s="766"/>
      <c r="X11" s="303">
        <v>0</v>
      </c>
      <c r="Y11" s="303" t="s">
        <v>552</v>
      </c>
      <c r="Z11" s="303">
        <v>0</v>
      </c>
      <c r="AA11" s="766"/>
      <c r="AB11" s="763"/>
      <c r="AC11" s="769"/>
    </row>
    <row r="12" spans="1:29" ht="27.4" customHeight="1">
      <c r="A12" s="314" t="s">
        <v>553</v>
      </c>
      <c r="B12" s="771" t="s">
        <v>598</v>
      </c>
      <c r="C12" s="771"/>
      <c r="D12" s="772"/>
      <c r="E12" s="758"/>
      <c r="F12" s="761"/>
      <c r="G12" s="764"/>
      <c r="H12" s="767"/>
      <c r="I12" s="315"/>
      <c r="J12" s="315" t="s">
        <v>555</v>
      </c>
      <c r="K12" s="315"/>
      <c r="L12" s="767"/>
      <c r="M12" s="764"/>
      <c r="N12" s="770"/>
      <c r="P12" s="314" t="s">
        <v>553</v>
      </c>
      <c r="Q12" s="771" t="s">
        <v>596</v>
      </c>
      <c r="R12" s="771"/>
      <c r="S12" s="772"/>
      <c r="T12" s="758"/>
      <c r="U12" s="761"/>
      <c r="V12" s="764"/>
      <c r="W12" s="767"/>
      <c r="X12" s="315"/>
      <c r="Y12" s="315" t="s">
        <v>555</v>
      </c>
      <c r="Z12" s="315"/>
      <c r="AA12" s="767"/>
      <c r="AB12" s="764"/>
      <c r="AC12" s="770"/>
    </row>
    <row r="13" spans="1:29" ht="20.25" customHeight="1">
      <c r="A13" s="754" t="s">
        <v>556</v>
      </c>
      <c r="B13" s="754"/>
      <c r="C13" s="754"/>
      <c r="D13" s="754"/>
      <c r="E13" s="316"/>
      <c r="F13" s="317" t="s">
        <v>418</v>
      </c>
      <c r="G13" s="317" t="s">
        <v>557</v>
      </c>
      <c r="H13" s="317" t="s">
        <v>524</v>
      </c>
      <c r="I13" s="317"/>
      <c r="J13" s="318"/>
      <c r="K13" s="317"/>
      <c r="L13" s="317" t="s">
        <v>524</v>
      </c>
      <c r="M13" s="317" t="s">
        <v>557</v>
      </c>
      <c r="N13" s="319" t="s">
        <v>418</v>
      </c>
      <c r="P13" s="754" t="s">
        <v>556</v>
      </c>
      <c r="Q13" s="754"/>
      <c r="R13" s="754"/>
      <c r="S13" s="755"/>
      <c r="T13" s="316"/>
      <c r="U13" s="317" t="s">
        <v>418</v>
      </c>
      <c r="V13" s="317" t="s">
        <v>557</v>
      </c>
      <c r="W13" s="317" t="s">
        <v>524</v>
      </c>
      <c r="X13" s="317"/>
      <c r="Y13" s="318"/>
      <c r="Z13" s="317"/>
      <c r="AA13" s="317" t="s">
        <v>524</v>
      </c>
      <c r="AB13" s="317" t="s">
        <v>557</v>
      </c>
      <c r="AC13" s="319" t="s">
        <v>418</v>
      </c>
    </row>
    <row r="14" spans="5:29" ht="20.25" customHeight="1" hidden="1">
      <c r="E14" s="320" t="s">
        <v>558</v>
      </c>
      <c r="F14" s="321" t="str">
        <f>IF(ISERROR(VLOOKUP(CONCATENATE($F$10,"_",G14),'選手名簿'!$A:$E,5,FALSE))=TRUE,"",VLOOKUP(CONCATENATE($F$10,"_",G14),'選手名簿'!$A:$E,5,FALSE))</f>
        <v/>
      </c>
      <c r="G14" s="322"/>
      <c r="H14" s="322"/>
      <c r="I14" s="322"/>
      <c r="J14" s="323"/>
      <c r="K14" s="322"/>
      <c r="L14" s="322"/>
      <c r="M14" s="322"/>
      <c r="N14" s="324" t="str">
        <f>IF(ISERROR(VLOOKUP(CONCATENATE($N$10,"_",M14),'選手名簿'!$A:$E,5,FALSE))=TRUE,"",VLOOKUP(CONCATENATE($N$10,"_",M14),'選手名簿'!$A:$E,5,FALSE))</f>
        <v/>
      </c>
      <c r="T14" s="320" t="s">
        <v>558</v>
      </c>
      <c r="U14" s="321" t="str">
        <f>IF(ISERROR(VLOOKUP(CONCATENATE($U$10,"_",V14),'選手名簿'!$A:$E,5,FALSE))=TRUE,"",VLOOKUP(CONCATENATE($U$10,"_",V14),'選手名簿'!$A:$E,5,FALSE))</f>
        <v/>
      </c>
      <c r="V14" s="322"/>
      <c r="W14" s="322"/>
      <c r="X14" s="322"/>
      <c r="Y14" s="323"/>
      <c r="Z14" s="322"/>
      <c r="AA14" s="322"/>
      <c r="AB14" s="322"/>
      <c r="AC14" s="324" t="str">
        <f>IF(ISERROR(VLOOKUP(CONCATENATE($AC$10,"_",AB14),'選手名簿'!$A:$E,5,FALSE))=TRUE,"",VLOOKUP(CONCATENATE($AC$10,"_",AB14),'選手名簿'!$A:$E,5,FALSE))</f>
        <v/>
      </c>
    </row>
    <row r="15" spans="5:29" ht="20.25" customHeight="1" hidden="1">
      <c r="E15" s="320" t="s">
        <v>558</v>
      </c>
      <c r="F15" s="321" t="str">
        <f>IF(ISERROR(VLOOKUP(CONCATENATE($F$10,"_",G15),'選手名簿'!$A:$E,5,FALSE))=TRUE,"",VLOOKUP(CONCATENATE($F$10,"_",G15),'選手名簿'!$A:$E,5,FALSE))</f>
        <v/>
      </c>
      <c r="G15" s="322"/>
      <c r="H15" s="322"/>
      <c r="I15" s="322"/>
      <c r="J15" s="323"/>
      <c r="K15" s="322"/>
      <c r="L15" s="322"/>
      <c r="M15" s="322"/>
      <c r="N15" s="324" t="str">
        <f>IF(ISERROR(VLOOKUP(CONCATENATE($N$10,"_",M15),'選手名簿'!$A:$E,5,FALSE))=TRUE,"",VLOOKUP(CONCATENATE($N$10,"_",M15),'選手名簿'!$A:$E,5,FALSE))</f>
        <v/>
      </c>
      <c r="T15" s="320" t="s">
        <v>558</v>
      </c>
      <c r="U15" s="321" t="str">
        <f>IF(ISERROR(VLOOKUP(CONCATENATE($U$10,"_",V15),'選手名簿'!$A:$E,5,FALSE))=TRUE,"",VLOOKUP(CONCATENATE($U$10,"_",V15),'選手名簿'!$A:$E,5,FALSE))</f>
        <v/>
      </c>
      <c r="V15" s="322"/>
      <c r="W15" s="322"/>
      <c r="X15" s="322"/>
      <c r="Y15" s="323"/>
      <c r="Z15" s="322"/>
      <c r="AA15" s="322"/>
      <c r="AB15" s="322"/>
      <c r="AC15" s="324" t="str">
        <f>IF(ISERROR(VLOOKUP(CONCATENATE($AC$10,"_",AB15),'選手名簿'!$A:$E,5,FALSE))=TRUE,"",VLOOKUP(CONCATENATE($AC$10,"_",AB15),'選手名簿'!$A:$E,5,FALSE))</f>
        <v/>
      </c>
    </row>
    <row r="16" spans="5:29" ht="20.25" customHeight="1" hidden="1">
      <c r="E16" s="320" t="s">
        <v>558</v>
      </c>
      <c r="F16" s="321" t="str">
        <f>IF(ISERROR(VLOOKUP(CONCATENATE($F$10,"_",G16),'選手名簿'!$A:$E,5,FALSE))=TRUE,"",VLOOKUP(CONCATENATE($F$10,"_",G16),'選手名簿'!$A:$E,5,FALSE))</f>
        <v/>
      </c>
      <c r="G16" s="322"/>
      <c r="H16" s="322"/>
      <c r="I16" s="322"/>
      <c r="J16" s="323"/>
      <c r="K16" s="322"/>
      <c r="L16" s="322"/>
      <c r="M16" s="322"/>
      <c r="N16" s="324" t="str">
        <f>IF(ISERROR(VLOOKUP(CONCATENATE($N$10,"_",M16),'選手名簿'!$A:$E,5,FALSE))=TRUE,"",VLOOKUP(CONCATENATE($N$10,"_",M16),'選手名簿'!$A:$E,5,FALSE))</f>
        <v/>
      </c>
      <c r="T16" s="320" t="s">
        <v>558</v>
      </c>
      <c r="U16" s="321" t="str">
        <f>IF(ISERROR(VLOOKUP(CONCATENATE($U$10,"_",V16),'選手名簿'!$A:$E,5,FALSE))=TRUE,"",VLOOKUP(CONCATENATE($U$10,"_",V16),'選手名簿'!$A:$E,5,FALSE))</f>
        <v/>
      </c>
      <c r="V16" s="322"/>
      <c r="W16" s="322"/>
      <c r="X16" s="322"/>
      <c r="Y16" s="323"/>
      <c r="Z16" s="322"/>
      <c r="AA16" s="322"/>
      <c r="AB16" s="322"/>
      <c r="AC16" s="324" t="str">
        <f>IF(ISERROR(VLOOKUP(CONCATENATE($AC$10,"_",AB16),'選手名簿'!$A:$E,5,FALSE))=TRUE,"",VLOOKUP(CONCATENATE($AC$10,"_",AB16),'選手名簿'!$A:$E,5,FALSE))</f>
        <v/>
      </c>
    </row>
    <row r="17" spans="5:29" ht="20.25" customHeight="1" hidden="1">
      <c r="E17" s="320" t="s">
        <v>558</v>
      </c>
      <c r="F17" s="321" t="str">
        <f>IF(ISERROR(VLOOKUP(CONCATENATE($F$10,"_",G17),'選手名簿'!$A:$E,5,FALSE))=TRUE,"",VLOOKUP(CONCATENATE($F$10,"_",G17),'選手名簿'!$A:$E,5,FALSE))</f>
        <v/>
      </c>
      <c r="G17" s="322"/>
      <c r="H17" s="322"/>
      <c r="I17" s="322"/>
      <c r="J17" s="323"/>
      <c r="K17" s="322"/>
      <c r="L17" s="322"/>
      <c r="M17" s="322"/>
      <c r="N17" s="324" t="str">
        <f>IF(ISERROR(VLOOKUP(CONCATENATE($N$10,"_",M17),'選手名簿'!$A:$E,5,FALSE))=TRUE,"",VLOOKUP(CONCATENATE($N$10,"_",M17),'選手名簿'!$A:$E,5,FALSE))</f>
        <v/>
      </c>
      <c r="T17" s="320" t="s">
        <v>558</v>
      </c>
      <c r="U17" s="321" t="str">
        <f>IF(ISERROR(VLOOKUP(CONCATENATE($U$10,"_",V17),'選手名簿'!$A:$E,5,FALSE))=TRUE,"",VLOOKUP(CONCATENATE($U$10,"_",V17),'選手名簿'!$A:$E,5,FALSE))</f>
        <v/>
      </c>
      <c r="V17" s="322"/>
      <c r="W17" s="322"/>
      <c r="X17" s="322"/>
      <c r="Y17" s="323"/>
      <c r="Z17" s="322"/>
      <c r="AA17" s="322"/>
      <c r="AB17" s="322"/>
      <c r="AC17" s="324" t="str">
        <f>IF(ISERROR(VLOOKUP(CONCATENATE($AC$10,"_",AB17),'選手名簿'!$A:$E,5,FALSE))=TRUE,"",VLOOKUP(CONCATENATE($AC$10,"_",AB17),'選手名簿'!$A:$E,5,FALSE))</f>
        <v/>
      </c>
    </row>
    <row r="18" spans="5:29" ht="20.25" customHeight="1" hidden="1">
      <c r="E18" s="320" t="s">
        <v>558</v>
      </c>
      <c r="F18" s="321" t="str">
        <f>IF(ISERROR(VLOOKUP(CONCATENATE($F$10,"_",G18),'選手名簿'!$A:$E,5,FALSE))=TRUE,"",VLOOKUP(CONCATENATE($F$10,"_",G18),'選手名簿'!$A:$E,5,FALSE))</f>
        <v/>
      </c>
      <c r="G18" s="322"/>
      <c r="H18" s="322"/>
      <c r="I18" s="322"/>
      <c r="J18" s="323"/>
      <c r="K18" s="322"/>
      <c r="L18" s="322"/>
      <c r="M18" s="322"/>
      <c r="N18" s="324" t="str">
        <f>IF(ISERROR(VLOOKUP(CONCATENATE($N$10,"_",M18),'選手名簿'!$A:$E,5,FALSE))=TRUE,"",VLOOKUP(CONCATENATE($N$10,"_",M18),'選手名簿'!$A:$E,5,FALSE))</f>
        <v/>
      </c>
      <c r="T18" s="320" t="s">
        <v>558</v>
      </c>
      <c r="U18" s="321" t="str">
        <f>IF(ISERROR(VLOOKUP(CONCATENATE($U$10,"_",V18),'選手名簿'!$A:$E,5,FALSE))=TRUE,"",VLOOKUP(CONCATENATE($U$10,"_",V18),'選手名簿'!$A:$E,5,FALSE))</f>
        <v/>
      </c>
      <c r="V18" s="322"/>
      <c r="W18" s="322"/>
      <c r="X18" s="322"/>
      <c r="Y18" s="323"/>
      <c r="Z18" s="322"/>
      <c r="AA18" s="322"/>
      <c r="AB18" s="322"/>
      <c r="AC18" s="324" t="str">
        <f>IF(ISERROR(VLOOKUP(CONCATENATE($AC$10,"_",AB18),'選手名簿'!$A:$E,5,FALSE))=TRUE,"",VLOOKUP(CONCATENATE($AC$10,"_",AB18),'選手名簿'!$A:$E,5,FALSE))</f>
        <v/>
      </c>
    </row>
    <row r="19" spans="5:29" ht="20.25" customHeight="1" hidden="1">
      <c r="E19" s="320" t="s">
        <v>558</v>
      </c>
      <c r="F19" s="321" t="str">
        <f>IF(ISERROR(VLOOKUP(CONCATENATE($F$10,"_",G19),'選手名簿'!$A:$E,5,FALSE))=TRUE,"",VLOOKUP(CONCATENATE($F$10,"_",G19),'選手名簿'!$A:$E,5,FALSE))</f>
        <v/>
      </c>
      <c r="G19" s="322"/>
      <c r="H19" s="322"/>
      <c r="I19" s="322"/>
      <c r="J19" s="323"/>
      <c r="K19" s="322"/>
      <c r="L19" s="322"/>
      <c r="M19" s="322"/>
      <c r="N19" s="324" t="str">
        <f>IF(ISERROR(VLOOKUP(CONCATENATE($N$10,"_",M19),'選手名簿'!$A:$E,5,FALSE))=TRUE,"",VLOOKUP(CONCATENATE($N$10,"_",M19),'選手名簿'!$A:$E,5,FALSE))</f>
        <v/>
      </c>
      <c r="T19" s="320" t="s">
        <v>558</v>
      </c>
      <c r="U19" s="321" t="str">
        <f>IF(ISERROR(VLOOKUP(CONCATENATE($U$10,"_",V19),'選手名簿'!$A:$E,5,FALSE))=TRUE,"",VLOOKUP(CONCATENATE($U$10,"_",V19),'選手名簿'!$A:$E,5,FALSE))</f>
        <v/>
      </c>
      <c r="V19" s="322"/>
      <c r="W19" s="322"/>
      <c r="X19" s="322"/>
      <c r="Y19" s="323"/>
      <c r="Z19" s="322"/>
      <c r="AA19" s="322"/>
      <c r="AB19" s="322"/>
      <c r="AC19" s="324" t="str">
        <f>IF(ISERROR(VLOOKUP(CONCATENATE($AC$10,"_",AB19),'選手名簿'!$A:$E,5,FALSE))=TRUE,"",VLOOKUP(CONCATENATE($AC$10,"_",AB19),'選手名簿'!$A:$E,5,FALSE))</f>
        <v/>
      </c>
    </row>
    <row r="20" spans="5:29" ht="20.25" customHeight="1" hidden="1">
      <c r="E20" s="320" t="s">
        <v>558</v>
      </c>
      <c r="F20" s="321" t="str">
        <f>IF(ISERROR(VLOOKUP(CONCATENATE($F$10,"_",G20),'選手名簿'!$A:$E,5,FALSE))=TRUE,"",VLOOKUP(CONCATENATE($F$10,"_",G20),'選手名簿'!$A:$E,5,FALSE))</f>
        <v/>
      </c>
      <c r="G20" s="322"/>
      <c r="H20" s="322"/>
      <c r="I20" s="322"/>
      <c r="J20" s="323"/>
      <c r="K20" s="322"/>
      <c r="L20" s="322"/>
      <c r="M20" s="322"/>
      <c r="N20" s="324" t="str">
        <f>IF(ISERROR(VLOOKUP(CONCATENATE($N$10,"_",M20),'選手名簿'!$A:$E,5,FALSE))=TRUE,"",VLOOKUP(CONCATENATE($N$10,"_",M20),'選手名簿'!$A:$E,5,FALSE))</f>
        <v/>
      </c>
      <c r="T20" s="320" t="s">
        <v>558</v>
      </c>
      <c r="U20" s="321" t="str">
        <f>IF(ISERROR(VLOOKUP(CONCATENATE($U$10,"_",V20),'選手名簿'!$A:$E,5,FALSE))=TRUE,"",VLOOKUP(CONCATENATE($U$10,"_",V20),'選手名簿'!$A:$E,5,FALSE))</f>
        <v/>
      </c>
      <c r="V20" s="322"/>
      <c r="W20" s="322"/>
      <c r="X20" s="322"/>
      <c r="Y20" s="323"/>
      <c r="Z20" s="322"/>
      <c r="AA20" s="322"/>
      <c r="AB20" s="322"/>
      <c r="AC20" s="324" t="str">
        <f>IF(ISERROR(VLOOKUP(CONCATENATE($AC$10,"_",AB20),'選手名簿'!$A:$E,5,FALSE))=TRUE,"",VLOOKUP(CONCATENATE($AC$10,"_",AB20),'選手名簿'!$A:$E,5,FALSE))</f>
        <v/>
      </c>
    </row>
    <row r="21" spans="5:29" ht="20.25" customHeight="1" hidden="1">
      <c r="E21" s="320" t="s">
        <v>558</v>
      </c>
      <c r="F21" s="321" t="str">
        <f>IF(ISERROR(VLOOKUP(CONCATENATE($F$10,"_",G21),'選手名簿'!$A:$E,5,FALSE))=TRUE,"",VLOOKUP(CONCATENATE($F$10,"_",G21),'選手名簿'!$A:$E,5,FALSE))</f>
        <v/>
      </c>
      <c r="G21" s="322"/>
      <c r="H21" s="322"/>
      <c r="I21" s="322"/>
      <c r="J21" s="323"/>
      <c r="K21" s="322"/>
      <c r="L21" s="322"/>
      <c r="M21" s="322"/>
      <c r="N21" s="324" t="str">
        <f>IF(ISERROR(VLOOKUP(CONCATENATE($N$10,"_",M21),'選手名簿'!$A:$E,5,FALSE))=TRUE,"",VLOOKUP(CONCATENATE($N$10,"_",M21),'選手名簿'!$A:$E,5,FALSE))</f>
        <v/>
      </c>
      <c r="T21" s="320" t="s">
        <v>558</v>
      </c>
      <c r="U21" s="321" t="str">
        <f>IF(ISERROR(VLOOKUP(CONCATENATE($U$10,"_",V21),'選手名簿'!$A:$E,5,FALSE))=TRUE,"",VLOOKUP(CONCATENATE($U$10,"_",V21),'選手名簿'!$A:$E,5,FALSE))</f>
        <v/>
      </c>
      <c r="V21" s="322"/>
      <c r="W21" s="322"/>
      <c r="X21" s="322"/>
      <c r="Y21" s="323"/>
      <c r="Z21" s="322"/>
      <c r="AA21" s="322"/>
      <c r="AB21" s="322"/>
      <c r="AC21" s="324" t="str">
        <f>IF(ISERROR(VLOOKUP(CONCATENATE($AC$10,"_",AB21),'選手名簿'!$A:$E,5,FALSE))=TRUE,"",VLOOKUP(CONCATENATE($AC$10,"_",AB21),'選手名簿'!$A:$E,5,FALSE))</f>
        <v/>
      </c>
    </row>
    <row r="22" spans="5:29" ht="20.25" customHeight="1" hidden="1">
      <c r="E22" s="320" t="s">
        <v>558</v>
      </c>
      <c r="F22" s="321" t="str">
        <f>IF(ISERROR(VLOOKUP(CONCATENATE($F$10,"_",G22),'選手名簿'!$A:$E,5,FALSE))=TRUE,"",VLOOKUP(CONCATENATE($F$10,"_",G22),'選手名簿'!$A:$E,5,FALSE))</f>
        <v/>
      </c>
      <c r="G22" s="322"/>
      <c r="H22" s="322"/>
      <c r="I22" s="322"/>
      <c r="J22" s="323"/>
      <c r="K22" s="322"/>
      <c r="L22" s="322"/>
      <c r="M22" s="322"/>
      <c r="N22" s="324" t="str">
        <f>IF(ISERROR(VLOOKUP(CONCATENATE($N$10,"_",M22),'選手名簿'!$A:$E,5,FALSE))=TRUE,"",VLOOKUP(CONCATENATE($N$10,"_",M22),'選手名簿'!$A:$E,5,FALSE))</f>
        <v/>
      </c>
      <c r="T22" s="320" t="s">
        <v>558</v>
      </c>
      <c r="U22" s="321" t="str">
        <f>IF(ISERROR(VLOOKUP(CONCATENATE($U$10,"_",V22),'選手名簿'!$A:$E,5,FALSE))=TRUE,"",VLOOKUP(CONCATENATE($U$10,"_",V22),'選手名簿'!$A:$E,5,FALSE))</f>
        <v/>
      </c>
      <c r="V22" s="322"/>
      <c r="W22" s="322"/>
      <c r="X22" s="322"/>
      <c r="Y22" s="323"/>
      <c r="Z22" s="322"/>
      <c r="AA22" s="322"/>
      <c r="AB22" s="322"/>
      <c r="AC22" s="324" t="str">
        <f>IF(ISERROR(VLOOKUP(CONCATENATE($AC$10,"_",AB22),'選手名簿'!$A:$E,5,FALSE))=TRUE,"",VLOOKUP(CONCATENATE($AC$10,"_",AB22),'選手名簿'!$A:$E,5,FALSE))</f>
        <v/>
      </c>
    </row>
    <row r="23" spans="5:29" ht="20.25" customHeight="1" hidden="1">
      <c r="E23" s="325" t="s">
        <v>558</v>
      </c>
      <c r="F23" s="326" t="str">
        <f>IF(ISERROR(VLOOKUP(CONCATENATE($F$10,"_",G23),'選手名簿'!$A:$E,5,FALSE))=TRUE,"",VLOOKUP(CONCATENATE($F$10,"_",G23),'選手名簿'!$A:$E,5,FALSE))</f>
        <v/>
      </c>
      <c r="G23" s="327"/>
      <c r="H23" s="327"/>
      <c r="I23" s="327"/>
      <c r="J23" s="328"/>
      <c r="K23" s="327"/>
      <c r="L23" s="327"/>
      <c r="M23" s="327"/>
      <c r="N23" s="329" t="str">
        <f>IF(ISERROR(VLOOKUP(CONCATENATE($N$10,"_",M23),'選手名簿'!$A:$E,5,FALSE))=TRUE,"",VLOOKUP(CONCATENATE($N$10,"_",M23),'選手名簿'!$A:$E,5,FALSE))</f>
        <v/>
      </c>
      <c r="T23" s="325" t="s">
        <v>558</v>
      </c>
      <c r="U23" s="326" t="str">
        <f>IF(ISERROR(VLOOKUP(CONCATENATE($U$10,"_",V23),'選手名簿'!$A:$E,5,FALSE))=TRUE,"",VLOOKUP(CONCATENATE($U$10,"_",V23),'選手名簿'!$A:$E,5,FALSE))</f>
        <v/>
      </c>
      <c r="V23" s="327"/>
      <c r="W23" s="327"/>
      <c r="X23" s="327"/>
      <c r="Y23" s="328"/>
      <c r="Z23" s="327"/>
      <c r="AA23" s="327"/>
      <c r="AB23" s="327"/>
      <c r="AC23" s="329" t="str">
        <f>IF(ISERROR(VLOOKUP(CONCATENATE($AC$10,"_",AB23),'選手名簿'!$A:$E,5,FALSE))=TRUE,"",VLOOKUP(CONCATENATE($AC$10,"_",AB23),'選手名簿'!$A:$E,5,FALSE))</f>
        <v/>
      </c>
    </row>
    <row r="24" spans="1:29" ht="20.25" customHeight="1">
      <c r="A24" s="330" t="s">
        <v>557</v>
      </c>
      <c r="B24" s="750" t="s">
        <v>599</v>
      </c>
      <c r="C24" s="750"/>
      <c r="D24" s="750"/>
      <c r="E24" s="320" t="s">
        <v>419</v>
      </c>
      <c r="F24" s="321" t="str">
        <f>IF(ISERROR(VLOOKUP(CONCATENATE($F$10,"_",G24),'選手名簿'!$A:$E,5,FALSE))=TRUE,"",VLOOKUP(CONCATENATE($F$10,"_",G24),'選手名簿'!$A:$E,5,FALSE))</f>
        <v/>
      </c>
      <c r="G24" s="322"/>
      <c r="H24" s="322"/>
      <c r="I24" s="322"/>
      <c r="J24" s="323"/>
      <c r="K24" s="322"/>
      <c r="L24" s="322"/>
      <c r="M24" s="322"/>
      <c r="N24" s="324" t="str">
        <f>IF(ISERROR(VLOOKUP(CONCATENATE($N$10,"_",M24),'選手名簿'!$A:$E,5,FALSE))=TRUE,"",VLOOKUP(CONCATENATE($N$10,"_",M24),'選手名簿'!$A:$E,5,FALSE))</f>
        <v/>
      </c>
      <c r="P24" s="330" t="s">
        <v>557</v>
      </c>
      <c r="Q24" s="750" t="s">
        <v>600</v>
      </c>
      <c r="R24" s="750"/>
      <c r="S24" s="751"/>
      <c r="T24" s="320" t="s">
        <v>419</v>
      </c>
      <c r="U24" s="321" t="str">
        <f>IF(ISERROR(VLOOKUP(CONCATENATE($U$10,"_",V24),'選手名簿'!$A:$E,5,FALSE))=TRUE,"",VLOOKUP(CONCATENATE($U$10,"_",V24),'選手名簿'!$A:$E,5,FALSE))</f>
        <v/>
      </c>
      <c r="V24" s="322"/>
      <c r="W24" s="322"/>
      <c r="X24" s="322"/>
      <c r="Y24" s="323"/>
      <c r="Z24" s="322"/>
      <c r="AA24" s="322"/>
      <c r="AB24" s="322"/>
      <c r="AC24" s="324" t="str">
        <f>IF(ISERROR(VLOOKUP(CONCATENATE($AC$10,"_",AB24),'選手名簿'!$A:$E,5,FALSE))=TRUE,"",VLOOKUP(CONCATENATE($AC$10,"_",AB24),'選手名簿'!$A:$E,5,FALSE))</f>
        <v/>
      </c>
    </row>
    <row r="25" spans="1:29" ht="20.25" customHeight="1">
      <c r="A25" s="331" t="s">
        <v>177</v>
      </c>
      <c r="B25" s="752" t="str">
        <f>IF(ISERROR(VLOOKUP(B24,'審判員'!$A:$C,2,FALSE))=TRUE,"",VLOOKUP(B24,'審判員'!$A:$C,2,FALSE))</f>
        <v>酒井　隆宏</v>
      </c>
      <c r="C25" s="753"/>
      <c r="D25" s="332" t="str">
        <f>IF(ISERROR(VLOOKUP(B24,'審判員'!$A:$C,3,FALSE))=TRUE,"",VLOOKUP(B24,'審判員'!$A:$C,3,FALSE))</f>
        <v>３級</v>
      </c>
      <c r="E25" s="333" t="s">
        <v>419</v>
      </c>
      <c r="F25" s="334" t="str">
        <f>IF(ISERROR(VLOOKUP(CONCATENATE($F$10,"_",G25),'選手名簿'!$A:$E,5,FALSE))=TRUE,"",VLOOKUP(CONCATENATE($F$10,"_",G25),'選手名簿'!$A:$E,5,FALSE))</f>
        <v/>
      </c>
      <c r="G25" s="335"/>
      <c r="H25" s="335"/>
      <c r="I25" s="335"/>
      <c r="J25" s="323"/>
      <c r="K25" s="335"/>
      <c r="L25" s="335"/>
      <c r="M25" s="335"/>
      <c r="N25" s="336" t="str">
        <f>IF(ISERROR(VLOOKUP(CONCATENATE($N$10,"_",M25),'選手名簿'!$A:$E,5,FALSE))=TRUE,"",VLOOKUP(CONCATENATE($N$10,"_",M25),'選手名簿'!$A:$E,5,FALSE))</f>
        <v/>
      </c>
      <c r="P25" s="331" t="s">
        <v>177</v>
      </c>
      <c r="Q25" s="752" t="str">
        <f>IF(ISERROR(VLOOKUP(Q24,'審判員'!$A:$C,2,FALSE))=TRUE,"",VLOOKUP(Q24,'審判員'!$A:$C,2,FALSE))</f>
        <v>白江　直樹</v>
      </c>
      <c r="R25" s="753"/>
      <c r="S25" s="331" t="str">
        <f>IF(ISERROR(VLOOKUP(Q24,'審判員'!$A:$C,3,FALSE))=TRUE,"",VLOOKUP(Q24,'審判員'!$A:$C,3,FALSE))</f>
        <v>３級</v>
      </c>
      <c r="T25" s="333" t="s">
        <v>419</v>
      </c>
      <c r="U25" s="334" t="str">
        <f>IF(ISERROR(VLOOKUP(CONCATENATE($U$10,"_",V25),'選手名簿'!$A:$E,5,FALSE))=TRUE,"",VLOOKUP(CONCATENATE($U$10,"_",V25),'選手名簿'!$A:$E,5,FALSE))</f>
        <v/>
      </c>
      <c r="V25" s="335"/>
      <c r="W25" s="335"/>
      <c r="X25" s="335"/>
      <c r="Y25" s="323"/>
      <c r="Z25" s="335"/>
      <c r="AA25" s="335"/>
      <c r="AB25" s="335"/>
      <c r="AC25" s="336" t="str">
        <f>IF(ISERROR(VLOOKUP(CONCATENATE($AC$10,"_",AB25),'選手名簿'!$A:$E,5,FALSE))=TRUE,"",VLOOKUP(CONCATENATE($AC$10,"_",AB25),'選手名簿'!$A:$E,5,FALSE))</f>
        <v/>
      </c>
    </row>
    <row r="26" spans="1:29" ht="20.25" customHeight="1">
      <c r="A26" s="330" t="s">
        <v>557</v>
      </c>
      <c r="B26" s="750" t="s">
        <v>601</v>
      </c>
      <c r="C26" s="750"/>
      <c r="D26" s="750"/>
      <c r="E26" s="333" t="s">
        <v>419</v>
      </c>
      <c r="F26" s="334" t="str">
        <f>IF(ISERROR(VLOOKUP(CONCATENATE($F$10,"_",G26),'選手名簿'!$A:$E,5,FALSE))=TRUE,"",VLOOKUP(CONCATENATE($F$10,"_",G26),'選手名簿'!$A:$E,5,FALSE))</f>
        <v/>
      </c>
      <c r="G26" s="335"/>
      <c r="H26" s="335"/>
      <c r="I26" s="335"/>
      <c r="J26" s="323"/>
      <c r="K26" s="335"/>
      <c r="L26" s="335"/>
      <c r="M26" s="335"/>
      <c r="N26" s="336" t="str">
        <f>IF(ISERROR(VLOOKUP(CONCATENATE($N$10,"_",M26),'選手名簿'!$A:$E,5,FALSE))=TRUE,"",VLOOKUP(CONCATENATE($N$10,"_",M26),'選手名簿'!$A:$E,5,FALSE))</f>
        <v/>
      </c>
      <c r="P26" s="330" t="s">
        <v>557</v>
      </c>
      <c r="Q26" s="750" t="s">
        <v>602</v>
      </c>
      <c r="R26" s="750"/>
      <c r="S26" s="751"/>
      <c r="T26" s="333" t="s">
        <v>419</v>
      </c>
      <c r="U26" s="334" t="str">
        <f>IF(ISERROR(VLOOKUP(CONCATENATE($U$10,"_",V26),'選手名簿'!$A:$E,5,FALSE))=TRUE,"",VLOOKUP(CONCATENATE($U$10,"_",V26),'選手名簿'!$A:$E,5,FALSE))</f>
        <v/>
      </c>
      <c r="V26" s="335"/>
      <c r="W26" s="335"/>
      <c r="X26" s="335"/>
      <c r="Y26" s="323"/>
      <c r="Z26" s="335"/>
      <c r="AA26" s="335"/>
      <c r="AB26" s="335"/>
      <c r="AC26" s="336" t="str">
        <f>IF(ISERROR(VLOOKUP(CONCATENATE($AC$10,"_",AB26),'選手名簿'!$A:$E,5,FALSE))=TRUE,"",VLOOKUP(CONCATENATE($AC$10,"_",AB26),'選手名簿'!$A:$E,5,FALSE))</f>
        <v/>
      </c>
    </row>
    <row r="27" spans="1:29" ht="20.25" customHeight="1">
      <c r="A27" s="331" t="s">
        <v>563</v>
      </c>
      <c r="B27" s="752" t="str">
        <f>IF(ISERROR(VLOOKUP(B26,'審判員'!$A:$C,2,FALSE))=TRUE,"",VLOOKUP(B26,'審判員'!$A:$C,2,FALSE))</f>
        <v>横山　大悟</v>
      </c>
      <c r="C27" s="753"/>
      <c r="D27" s="332" t="str">
        <f>IF(ISERROR(VLOOKUP(B26,'審判員'!$A:$C,3,FALSE))=TRUE,"",VLOOKUP(B26,'審判員'!$A:$C,3,FALSE))</f>
        <v>３級</v>
      </c>
      <c r="E27" s="333" t="s">
        <v>419</v>
      </c>
      <c r="F27" s="334" t="str">
        <f>IF(ISERROR(VLOOKUP(CONCATENATE($F$10,"_",G27),'選手名簿'!$A:$E,5,FALSE))=TRUE,"",VLOOKUP(CONCATENATE($F$10,"_",G27),'選手名簿'!$A:$E,5,FALSE))</f>
        <v/>
      </c>
      <c r="G27" s="335"/>
      <c r="H27" s="335"/>
      <c r="I27" s="335"/>
      <c r="J27" s="323"/>
      <c r="K27" s="335"/>
      <c r="L27" s="335"/>
      <c r="M27" s="335"/>
      <c r="N27" s="336" t="str">
        <f>IF(ISERROR(VLOOKUP(CONCATENATE($N$10,"_",M27),'選手名簿'!$A:$E,5,FALSE))=TRUE,"",VLOOKUP(CONCATENATE($N$10,"_",M27),'選手名簿'!$A:$E,5,FALSE))</f>
        <v/>
      </c>
      <c r="P27" s="331" t="s">
        <v>563</v>
      </c>
      <c r="Q27" s="752" t="str">
        <f>IF(ISERROR(VLOOKUP(Q26,'審判員'!$A:$C,2,FALSE))=TRUE,"",VLOOKUP(Q26,'審判員'!$A:$C,2,FALSE))</f>
        <v>小倉　正広</v>
      </c>
      <c r="R27" s="753"/>
      <c r="S27" s="331" t="str">
        <f>IF(ISERROR(VLOOKUP(Q26,'審判員'!$A:$C,3,FALSE))=TRUE,"",VLOOKUP(Q26,'審判員'!$A:$C,3,FALSE))</f>
        <v>３級</v>
      </c>
      <c r="T27" s="333" t="s">
        <v>419</v>
      </c>
      <c r="U27" s="334" t="str">
        <f>IF(ISERROR(VLOOKUP(CONCATENATE($U$10,"_",V27),'選手名簿'!$A:$E,5,FALSE))=TRUE,"",VLOOKUP(CONCATENATE($U$10,"_",V27),'選手名簿'!$A:$E,5,FALSE))</f>
        <v/>
      </c>
      <c r="V27" s="335"/>
      <c r="W27" s="335"/>
      <c r="X27" s="335"/>
      <c r="Y27" s="323"/>
      <c r="Z27" s="335"/>
      <c r="AA27" s="335"/>
      <c r="AB27" s="335"/>
      <c r="AC27" s="336" t="str">
        <f>IF(ISERROR(VLOOKUP(CONCATENATE($AC$10,"_",AB27),'選手名簿'!$A:$E,5,FALSE))=TRUE,"",VLOOKUP(CONCATENATE($AC$10,"_",AB27),'選手名簿'!$A:$E,5,FALSE))</f>
        <v/>
      </c>
    </row>
    <row r="28" spans="1:29" ht="20.25" customHeight="1">
      <c r="A28" s="330" t="s">
        <v>557</v>
      </c>
      <c r="B28" s="750" t="s">
        <v>603</v>
      </c>
      <c r="C28" s="750"/>
      <c r="D28" s="750"/>
      <c r="E28" s="333" t="s">
        <v>419</v>
      </c>
      <c r="F28" s="334" t="str">
        <f>IF(ISERROR(VLOOKUP(CONCATENATE($F$10,"_",G28),'選手名簿'!$A:$E,5,FALSE))=TRUE,"",VLOOKUP(CONCATENATE($F$10,"_",G28),'選手名簿'!$A:$E,5,FALSE))</f>
        <v/>
      </c>
      <c r="G28" s="335"/>
      <c r="H28" s="335"/>
      <c r="I28" s="335"/>
      <c r="J28" s="323"/>
      <c r="K28" s="335"/>
      <c r="L28" s="335"/>
      <c r="M28" s="335"/>
      <c r="N28" s="336" t="str">
        <f>IF(ISERROR(VLOOKUP(CONCATENATE($N$10,"_",M28),'選手名簿'!$A:$E,5,FALSE))=TRUE,"",VLOOKUP(CONCATENATE($N$10,"_",M28),'選手名簿'!$A:$E,5,FALSE))</f>
        <v/>
      </c>
      <c r="P28" s="330" t="s">
        <v>557</v>
      </c>
      <c r="Q28" s="750" t="s">
        <v>604</v>
      </c>
      <c r="R28" s="750"/>
      <c r="S28" s="751"/>
      <c r="T28" s="333" t="s">
        <v>419</v>
      </c>
      <c r="U28" s="334" t="str">
        <f>IF(ISERROR(VLOOKUP(CONCATENATE($U$10,"_",V28),'選手名簿'!$A:$E,5,FALSE))=TRUE,"",VLOOKUP(CONCATENATE($U$10,"_",V28),'選手名簿'!$A:$E,5,FALSE))</f>
        <v/>
      </c>
      <c r="V28" s="335"/>
      <c r="W28" s="335"/>
      <c r="X28" s="335"/>
      <c r="Y28" s="323"/>
      <c r="Z28" s="335"/>
      <c r="AA28" s="335"/>
      <c r="AB28" s="335"/>
      <c r="AC28" s="336" t="str">
        <f>IF(ISERROR(VLOOKUP(CONCATENATE($AC$10,"_",AB28),'選手名簿'!$A:$E,5,FALSE))=TRUE,"",VLOOKUP(CONCATENATE($AC$10,"_",AB28),'選手名簿'!$A:$E,5,FALSE))</f>
        <v/>
      </c>
    </row>
    <row r="29" spans="1:29" ht="20.25" customHeight="1">
      <c r="A29" s="331" t="s">
        <v>566</v>
      </c>
      <c r="B29" s="752" t="str">
        <f>IF(ISERROR(VLOOKUP(B28,'審判員'!$A:$C,2,FALSE))=TRUE,"",VLOOKUP(B28,'審判員'!$A:$C,2,FALSE))</f>
        <v>大石　雅宣</v>
      </c>
      <c r="C29" s="753"/>
      <c r="D29" s="332" t="str">
        <f>IF(ISERROR(VLOOKUP(B28,'審判員'!$A:$C,3,FALSE))=TRUE,"",VLOOKUP(B28,'審判員'!$A:$C,3,FALSE))</f>
        <v>２級</v>
      </c>
      <c r="E29" s="333" t="s">
        <v>419</v>
      </c>
      <c r="F29" s="334" t="str">
        <f>IF(ISERROR(VLOOKUP(CONCATENATE($F$10,"_",G29),'選手名簿'!$A:$E,5,FALSE))=TRUE,"",VLOOKUP(CONCATENATE($F$10,"_",G29),'選手名簿'!$A:$E,5,FALSE))</f>
        <v/>
      </c>
      <c r="G29" s="335"/>
      <c r="H29" s="335"/>
      <c r="I29" s="335"/>
      <c r="J29" s="323"/>
      <c r="K29" s="335"/>
      <c r="L29" s="335"/>
      <c r="M29" s="335"/>
      <c r="N29" s="336" t="str">
        <f>IF(ISERROR(VLOOKUP(CONCATENATE($N$10,"_",M29),'選手名簿'!$A:$E,5,FALSE))=TRUE,"",VLOOKUP(CONCATENATE($N$10,"_",M29),'選手名簿'!$A:$E,5,FALSE))</f>
        <v/>
      </c>
      <c r="P29" s="331" t="s">
        <v>566</v>
      </c>
      <c r="Q29" s="752" t="str">
        <f>IF(ISERROR(VLOOKUP(Q28,'審判員'!$A:$C,2,FALSE))=TRUE,"",VLOOKUP(Q28,'審判員'!$A:$C,2,FALSE))</f>
        <v>酒井　祐三</v>
      </c>
      <c r="R29" s="753"/>
      <c r="S29" s="331" t="str">
        <f>IF(ISERROR(VLOOKUP(Q28,'審判員'!$A:$C,3,FALSE))=TRUE,"",VLOOKUP(Q28,'審判員'!$A:$C,3,FALSE))</f>
        <v>３級</v>
      </c>
      <c r="T29" s="333" t="s">
        <v>419</v>
      </c>
      <c r="U29" s="334" t="str">
        <f>IF(ISERROR(VLOOKUP(CONCATENATE($U$10,"_",V29),'選手名簿'!$A:$E,5,FALSE))=TRUE,"",VLOOKUP(CONCATENATE($U$10,"_",V29),'選手名簿'!$A:$E,5,FALSE))</f>
        <v/>
      </c>
      <c r="V29" s="335"/>
      <c r="W29" s="335"/>
      <c r="X29" s="335"/>
      <c r="Y29" s="323"/>
      <c r="Z29" s="335"/>
      <c r="AA29" s="335"/>
      <c r="AB29" s="335"/>
      <c r="AC29" s="336" t="str">
        <f>IF(ISERROR(VLOOKUP(CONCATENATE($AC$10,"_",AB29),'選手名簿'!$A:$E,5,FALSE))=TRUE,"",VLOOKUP(CONCATENATE($AC$10,"_",AB29),'選手名簿'!$A:$E,5,FALSE))</f>
        <v/>
      </c>
    </row>
    <row r="30" spans="1:29" ht="20.25" customHeight="1">
      <c r="A30" s="330" t="s">
        <v>557</v>
      </c>
      <c r="B30" s="750" t="s">
        <v>600</v>
      </c>
      <c r="C30" s="750"/>
      <c r="D30" s="750"/>
      <c r="E30" s="333" t="s">
        <v>419</v>
      </c>
      <c r="F30" s="334" t="str">
        <f>IF(ISERROR(VLOOKUP(CONCATENATE($F$10,"_",G30),'選手名簿'!$A:$E,5,FALSE))=TRUE,"",VLOOKUP(CONCATENATE($F$10,"_",G30),'選手名簿'!$A:$E,5,FALSE))</f>
        <v/>
      </c>
      <c r="G30" s="335"/>
      <c r="H30" s="335"/>
      <c r="I30" s="335"/>
      <c r="J30" s="323"/>
      <c r="K30" s="335"/>
      <c r="L30" s="335"/>
      <c r="M30" s="335"/>
      <c r="N30" s="336" t="str">
        <f>IF(ISERROR(VLOOKUP(CONCATENATE($N$10,"_",M30),'選手名簿'!$A:$E,5,FALSE))=TRUE,"",VLOOKUP(CONCATENATE($N$10,"_",M30),'選手名簿'!$A:$E,5,FALSE))</f>
        <v/>
      </c>
      <c r="P30" s="330" t="s">
        <v>557</v>
      </c>
      <c r="Q30" s="750" t="s">
        <v>605</v>
      </c>
      <c r="R30" s="750"/>
      <c r="S30" s="751"/>
      <c r="T30" s="333" t="s">
        <v>419</v>
      </c>
      <c r="U30" s="334" t="str">
        <f>IF(ISERROR(VLOOKUP(CONCATENATE($U$10,"_",V30),'選手名簿'!$A:$E,5,FALSE))=TRUE,"",VLOOKUP(CONCATENATE($U$10,"_",V30),'選手名簿'!$A:$E,5,FALSE))</f>
        <v/>
      </c>
      <c r="V30" s="335"/>
      <c r="W30" s="335"/>
      <c r="X30" s="335"/>
      <c r="Y30" s="323"/>
      <c r="Z30" s="335"/>
      <c r="AA30" s="335"/>
      <c r="AB30" s="335"/>
      <c r="AC30" s="336" t="str">
        <f>IF(ISERROR(VLOOKUP(CONCATENATE($AC$10,"_",AB30),'選手名簿'!$A:$E,5,FALSE))=TRUE,"",VLOOKUP(CONCATENATE($AC$10,"_",AB30),'選手名簿'!$A:$E,5,FALSE))</f>
        <v/>
      </c>
    </row>
    <row r="31" spans="1:29" ht="20.25" customHeight="1">
      <c r="A31" s="331" t="s">
        <v>568</v>
      </c>
      <c r="B31" s="752" t="str">
        <f>IF(ISERROR(VLOOKUP(B30,'審判員'!$A:$C,2,FALSE))=TRUE,"",VLOOKUP(B30,'審判員'!$A:$C,2,FALSE))</f>
        <v>白江　直樹</v>
      </c>
      <c r="C31" s="753"/>
      <c r="D31" s="332" t="str">
        <f>IF(ISERROR(VLOOKUP(B30,'審判員'!$A:$C,3,FALSE))=TRUE,"",VLOOKUP(B30,'審判員'!$A:$C,3,FALSE))</f>
        <v>３級</v>
      </c>
      <c r="E31" s="337" t="s">
        <v>419</v>
      </c>
      <c r="F31" s="338" t="str">
        <f>IF(ISERROR(VLOOKUP(CONCATENATE($F$10,"_",G31),'選手名簿'!$A:$E,5,FALSE))=TRUE,"",VLOOKUP(CONCATENATE($F$10,"_",G31),'選手名簿'!$A:$E,5,FALSE))</f>
        <v/>
      </c>
      <c r="G31" s="339"/>
      <c r="H31" s="339"/>
      <c r="I31" s="339"/>
      <c r="J31" s="328"/>
      <c r="K31" s="339"/>
      <c r="L31" s="339"/>
      <c r="M31" s="339"/>
      <c r="N31" s="340" t="str">
        <f>IF(ISERROR(VLOOKUP(CONCATENATE($N$10,"_",M31),'選手名簿'!$A:$E,5,FALSE))=TRUE,"",VLOOKUP(CONCATENATE($N$10,"_",M31),'選手名簿'!$A:$E,5,FALSE))</f>
        <v/>
      </c>
      <c r="P31" s="331" t="s">
        <v>568</v>
      </c>
      <c r="Q31" s="752" t="str">
        <f>IF(ISERROR(VLOOKUP(Q30,'審判員'!$A:$C,2,FALSE))=TRUE,"",VLOOKUP(Q30,'審判員'!$A:$C,2,FALSE))</f>
        <v>佐藤　慎二</v>
      </c>
      <c r="R31" s="753"/>
      <c r="S31" s="331" t="str">
        <f>IF(ISERROR(VLOOKUP(Q30,'審判員'!$A:$C,3,FALSE))=TRUE,"",VLOOKUP(Q30,'審判員'!$A:$C,3,FALSE))</f>
        <v>３級</v>
      </c>
      <c r="T31" s="337" t="s">
        <v>419</v>
      </c>
      <c r="U31" s="338" t="str">
        <f>IF(ISERROR(VLOOKUP(CONCATENATE($U$10,"_",V31),'選手名簿'!$A:$E,5,FALSE))=TRUE,"",VLOOKUP(CONCATENATE($U$10,"_",V31),'選手名簿'!$A:$E,5,FALSE))</f>
        <v/>
      </c>
      <c r="V31" s="339"/>
      <c r="W31" s="339"/>
      <c r="X31" s="339"/>
      <c r="Y31" s="328"/>
      <c r="Z31" s="339"/>
      <c r="AA31" s="339"/>
      <c r="AB31" s="339"/>
      <c r="AC31" s="340" t="str">
        <f>IF(ISERROR(VLOOKUP(CONCATENATE($AC$10,"_",AB31),'選手名簿'!$A:$E,5,FALSE))=TRUE,"",VLOOKUP(CONCATENATE($AC$10,"_",AB31),'選手名簿'!$A:$E,5,FALSE))</f>
        <v/>
      </c>
    </row>
    <row r="32" spans="5:20" ht="9.95" customHeight="1">
      <c r="E32" s="341"/>
      <c r="T32" s="341"/>
    </row>
    <row r="33" spans="5:20" ht="9.95" customHeight="1">
      <c r="E33" s="341"/>
      <c r="T33" s="341"/>
    </row>
    <row r="34" ht="9.95" customHeight="1"/>
    <row r="35" ht="9.95" customHeight="1"/>
    <row r="36" ht="9.95" customHeight="1"/>
    <row r="37" ht="9.95" customHeight="1"/>
    <row r="38" spans="5:20" ht="9.95" customHeight="1">
      <c r="E38" s="341"/>
      <c r="T38" s="341"/>
    </row>
    <row r="39" spans="1:29" ht="27.4" customHeight="1">
      <c r="A39" s="312" t="s">
        <v>546</v>
      </c>
      <c r="B39" s="772" t="s">
        <v>598</v>
      </c>
      <c r="C39" s="773"/>
      <c r="D39" s="774"/>
      <c r="E39" s="756">
        <v>0.5208333333333334</v>
      </c>
      <c r="F39" s="759" t="str">
        <f>F6</f>
        <v>ドリームキッズフットボールクラブ</v>
      </c>
      <c r="G39" s="762">
        <f>SUM(I39:I40)</f>
        <v>3</v>
      </c>
      <c r="H39" s="765" t="s">
        <v>294</v>
      </c>
      <c r="I39" s="313">
        <v>1</v>
      </c>
      <c r="J39" s="313" t="s">
        <v>548</v>
      </c>
      <c r="K39" s="313">
        <v>1</v>
      </c>
      <c r="L39" s="765" t="s">
        <v>549</v>
      </c>
      <c r="M39" s="762">
        <f>SUM(K39:K40)</f>
        <v>1</v>
      </c>
      <c r="N39" s="768" t="str">
        <f>F7</f>
        <v>ＦＣ大野</v>
      </c>
      <c r="P39" s="312" t="s">
        <v>546</v>
      </c>
      <c r="Q39" s="772" t="s">
        <v>596</v>
      </c>
      <c r="R39" s="773"/>
      <c r="S39" s="774"/>
      <c r="T39" s="756">
        <v>0.5625</v>
      </c>
      <c r="U39" s="759" t="str">
        <f>U6</f>
        <v>ブルーウイングフットボールクラブ</v>
      </c>
      <c r="V39" s="762">
        <f>SUM(X39:X40)</f>
        <v>2</v>
      </c>
      <c r="W39" s="765" t="s">
        <v>294</v>
      </c>
      <c r="X39" s="313">
        <v>0</v>
      </c>
      <c r="Y39" s="313" t="s">
        <v>548</v>
      </c>
      <c r="Z39" s="313">
        <v>0</v>
      </c>
      <c r="AA39" s="765" t="s">
        <v>549</v>
      </c>
      <c r="AB39" s="762">
        <f>SUM(Z39:Z40)</f>
        <v>2</v>
      </c>
      <c r="AC39" s="768" t="str">
        <f>U7</f>
        <v>太陽スポーツクラブ大分西</v>
      </c>
    </row>
    <row r="40" spans="1:29" ht="27.4" customHeight="1">
      <c r="A40" s="314" t="s">
        <v>551</v>
      </c>
      <c r="B40" s="771" t="s">
        <v>16</v>
      </c>
      <c r="C40" s="771"/>
      <c r="D40" s="772"/>
      <c r="E40" s="757"/>
      <c r="F40" s="760"/>
      <c r="G40" s="763"/>
      <c r="H40" s="766"/>
      <c r="I40" s="303">
        <v>2</v>
      </c>
      <c r="J40" s="303" t="s">
        <v>552</v>
      </c>
      <c r="K40" s="303">
        <v>0</v>
      </c>
      <c r="L40" s="766"/>
      <c r="M40" s="763"/>
      <c r="N40" s="769"/>
      <c r="P40" s="314" t="s">
        <v>551</v>
      </c>
      <c r="Q40" s="771" t="s">
        <v>16</v>
      </c>
      <c r="R40" s="771"/>
      <c r="S40" s="772"/>
      <c r="T40" s="757"/>
      <c r="U40" s="760"/>
      <c r="V40" s="763"/>
      <c r="W40" s="766"/>
      <c r="X40" s="303">
        <v>2</v>
      </c>
      <c r="Y40" s="303" t="s">
        <v>552</v>
      </c>
      <c r="Z40" s="303">
        <v>2</v>
      </c>
      <c r="AA40" s="766"/>
      <c r="AB40" s="763"/>
      <c r="AC40" s="769"/>
    </row>
    <row r="41" spans="1:29" ht="27.4" customHeight="1">
      <c r="A41" s="314" t="s">
        <v>553</v>
      </c>
      <c r="B41" s="771" t="s">
        <v>597</v>
      </c>
      <c r="C41" s="771"/>
      <c r="D41" s="772"/>
      <c r="E41" s="758"/>
      <c r="F41" s="761"/>
      <c r="G41" s="764"/>
      <c r="H41" s="767"/>
      <c r="I41" s="315"/>
      <c r="J41" s="315" t="s">
        <v>555</v>
      </c>
      <c r="K41" s="315"/>
      <c r="L41" s="767"/>
      <c r="M41" s="764"/>
      <c r="N41" s="770"/>
      <c r="P41" s="314" t="s">
        <v>553</v>
      </c>
      <c r="Q41" s="771" t="s">
        <v>598</v>
      </c>
      <c r="R41" s="771"/>
      <c r="S41" s="772"/>
      <c r="T41" s="758"/>
      <c r="U41" s="761"/>
      <c r="V41" s="764"/>
      <c r="W41" s="767"/>
      <c r="X41" s="315"/>
      <c r="Y41" s="315" t="s">
        <v>555</v>
      </c>
      <c r="Z41" s="315"/>
      <c r="AA41" s="767"/>
      <c r="AB41" s="764"/>
      <c r="AC41" s="770"/>
    </row>
    <row r="42" spans="1:29" ht="20.25" customHeight="1">
      <c r="A42" s="754" t="s">
        <v>556</v>
      </c>
      <c r="B42" s="754"/>
      <c r="C42" s="754"/>
      <c r="D42" s="755"/>
      <c r="E42" s="316"/>
      <c r="F42" s="317" t="s">
        <v>418</v>
      </c>
      <c r="G42" s="317" t="s">
        <v>557</v>
      </c>
      <c r="H42" s="317" t="s">
        <v>524</v>
      </c>
      <c r="I42" s="317"/>
      <c r="J42" s="318"/>
      <c r="K42" s="317"/>
      <c r="L42" s="317" t="s">
        <v>524</v>
      </c>
      <c r="M42" s="317" t="s">
        <v>557</v>
      </c>
      <c r="N42" s="319" t="s">
        <v>418</v>
      </c>
      <c r="P42" s="754" t="s">
        <v>556</v>
      </c>
      <c r="Q42" s="754"/>
      <c r="R42" s="754"/>
      <c r="S42" s="755"/>
      <c r="T42" s="316"/>
      <c r="U42" s="317" t="s">
        <v>418</v>
      </c>
      <c r="V42" s="317" t="s">
        <v>557</v>
      </c>
      <c r="W42" s="317" t="s">
        <v>524</v>
      </c>
      <c r="X42" s="317"/>
      <c r="Y42" s="318"/>
      <c r="Z42" s="317"/>
      <c r="AA42" s="317" t="s">
        <v>524</v>
      </c>
      <c r="AB42" s="317" t="s">
        <v>557</v>
      </c>
      <c r="AC42" s="319" t="s">
        <v>418</v>
      </c>
    </row>
    <row r="43" spans="5:29" ht="20.25" customHeight="1" hidden="1">
      <c r="E43" s="320" t="s">
        <v>558</v>
      </c>
      <c r="F43" s="321" t="str">
        <f>IF(ISERROR(VLOOKUP(CONCATENATE($F$39,"_",G43),'選手名簿'!$A:$E,5,FALSE))=TRUE,"",VLOOKUP(CONCATENATE($F$39,"_",G43),'選手名簿'!$A:$E,5,FALSE))</f>
        <v/>
      </c>
      <c r="G43" s="322"/>
      <c r="H43" s="322"/>
      <c r="I43" s="322"/>
      <c r="J43" s="323"/>
      <c r="K43" s="322"/>
      <c r="L43" s="322"/>
      <c r="M43" s="322"/>
      <c r="N43" s="324" t="str">
        <f>IF(ISERROR(VLOOKUP(CONCATENATE($N$39,"_",M43),'選手名簿'!$A:$E,5,FALSE))=TRUE,"",VLOOKUP(CONCATENATE($N$39,"_",M43),'選手名簿'!$A:$E,5,FALSE))</f>
        <v/>
      </c>
      <c r="T43" s="320" t="s">
        <v>558</v>
      </c>
      <c r="U43" s="321" t="str">
        <f>IF(ISERROR(VLOOKUP(CONCATENATE($U$39,"_",V43),'選手名簿'!$A:$E,5,FALSE))=TRUE,"",VLOOKUP(CONCATENATE($U$39,"_",V43),'選手名簿'!$A:$E,5,FALSE))</f>
        <v/>
      </c>
      <c r="V43" s="322"/>
      <c r="W43" s="322"/>
      <c r="X43" s="322"/>
      <c r="Y43" s="323"/>
      <c r="Z43" s="322"/>
      <c r="AA43" s="322"/>
      <c r="AB43" s="322"/>
      <c r="AC43" s="324" t="str">
        <f>IF(ISERROR(VLOOKUP(CONCATENATE($AC$39,"_",AB43),'選手名簿'!$A:$E,5,FALSE))=TRUE,"",VLOOKUP(CONCATENATE($AC$39,"_",AB43),'選手名簿'!$A:$E,5,FALSE))</f>
        <v/>
      </c>
    </row>
    <row r="44" spans="5:29" ht="20.25" customHeight="1" hidden="1">
      <c r="E44" s="320" t="s">
        <v>558</v>
      </c>
      <c r="F44" s="321" t="str">
        <f>IF(ISERROR(VLOOKUP(CONCATENATE($F$39,"_",G44),'選手名簿'!$A:$E,5,FALSE))=TRUE,"",VLOOKUP(CONCATENATE($F$39,"_",G44),'選手名簿'!$A:$E,5,FALSE))</f>
        <v/>
      </c>
      <c r="G44" s="322"/>
      <c r="H44" s="322"/>
      <c r="I44" s="322"/>
      <c r="J44" s="323"/>
      <c r="K44" s="322"/>
      <c r="L44" s="322"/>
      <c r="M44" s="322"/>
      <c r="N44" s="324" t="str">
        <f>IF(ISERROR(VLOOKUP(CONCATENATE($N$39,"_",M44),'選手名簿'!$A:$E,5,FALSE))=TRUE,"",VLOOKUP(CONCATENATE($N$39,"_",M44),'選手名簿'!$A:$E,5,FALSE))</f>
        <v/>
      </c>
      <c r="T44" s="320" t="s">
        <v>558</v>
      </c>
      <c r="U44" s="321" t="str">
        <f>IF(ISERROR(VLOOKUP(CONCATENATE($U$39,"_",V44),'選手名簿'!$A:$E,5,FALSE))=TRUE,"",VLOOKUP(CONCATENATE($U$39,"_",V44),'選手名簿'!$A:$E,5,FALSE))</f>
        <v/>
      </c>
      <c r="V44" s="322"/>
      <c r="W44" s="322"/>
      <c r="X44" s="322"/>
      <c r="Y44" s="323"/>
      <c r="Z44" s="322"/>
      <c r="AA44" s="322"/>
      <c r="AB44" s="322"/>
      <c r="AC44" s="324" t="str">
        <f>IF(ISERROR(VLOOKUP(CONCATENATE($AC$39,"_",AB44),'選手名簿'!$A:$E,5,FALSE))=TRUE,"",VLOOKUP(CONCATENATE($AC$39,"_",AB44),'選手名簿'!$A:$E,5,FALSE))</f>
        <v/>
      </c>
    </row>
    <row r="45" spans="5:29" ht="20.25" customHeight="1" hidden="1">
      <c r="E45" s="320" t="s">
        <v>558</v>
      </c>
      <c r="F45" s="321" t="str">
        <f>IF(ISERROR(VLOOKUP(CONCATENATE($F$39,"_",G45),'選手名簿'!$A:$E,5,FALSE))=TRUE,"",VLOOKUP(CONCATENATE($F$39,"_",G45),'選手名簿'!$A:$E,5,FALSE))</f>
        <v/>
      </c>
      <c r="G45" s="322"/>
      <c r="H45" s="322"/>
      <c r="I45" s="322"/>
      <c r="J45" s="323"/>
      <c r="K45" s="322"/>
      <c r="L45" s="322"/>
      <c r="M45" s="322"/>
      <c r="N45" s="324" t="str">
        <f>IF(ISERROR(VLOOKUP(CONCATENATE($N$39,"_",M45),'選手名簿'!$A:$E,5,FALSE))=TRUE,"",VLOOKUP(CONCATENATE($N$39,"_",M45),'選手名簿'!$A:$E,5,FALSE))</f>
        <v/>
      </c>
      <c r="T45" s="320" t="s">
        <v>558</v>
      </c>
      <c r="U45" s="321" t="str">
        <f>IF(ISERROR(VLOOKUP(CONCATENATE($U$39,"_",V45),'選手名簿'!$A:$E,5,FALSE))=TRUE,"",VLOOKUP(CONCATENATE($U$39,"_",V45),'選手名簿'!$A:$E,5,FALSE))</f>
        <v/>
      </c>
      <c r="V45" s="322"/>
      <c r="W45" s="322"/>
      <c r="X45" s="322"/>
      <c r="Y45" s="323"/>
      <c r="Z45" s="322"/>
      <c r="AA45" s="322"/>
      <c r="AB45" s="322"/>
      <c r="AC45" s="324" t="str">
        <f>IF(ISERROR(VLOOKUP(CONCATENATE($AC$39,"_",AB45),'選手名簿'!$A:$E,5,FALSE))=TRUE,"",VLOOKUP(CONCATENATE($AC$39,"_",AB45),'選手名簿'!$A:$E,5,FALSE))</f>
        <v/>
      </c>
    </row>
    <row r="46" spans="5:29" ht="20.25" customHeight="1" hidden="1">
      <c r="E46" s="320" t="s">
        <v>558</v>
      </c>
      <c r="F46" s="321" t="str">
        <f>IF(ISERROR(VLOOKUP(CONCATENATE($F$39,"_",G46),'選手名簿'!$A:$E,5,FALSE))=TRUE,"",VLOOKUP(CONCATENATE($F$39,"_",G46),'選手名簿'!$A:$E,5,FALSE))</f>
        <v/>
      </c>
      <c r="G46" s="322"/>
      <c r="H46" s="322"/>
      <c r="I46" s="322"/>
      <c r="J46" s="323"/>
      <c r="K46" s="322"/>
      <c r="L46" s="322"/>
      <c r="M46" s="322"/>
      <c r="N46" s="324" t="str">
        <f>IF(ISERROR(VLOOKUP(CONCATENATE($N$39,"_",M46),'選手名簿'!$A:$E,5,FALSE))=TRUE,"",VLOOKUP(CONCATENATE($N$39,"_",M46),'選手名簿'!$A:$E,5,FALSE))</f>
        <v/>
      </c>
      <c r="T46" s="320" t="s">
        <v>558</v>
      </c>
      <c r="U46" s="321" t="str">
        <f>IF(ISERROR(VLOOKUP(CONCATENATE($U$39,"_",V46),'選手名簿'!$A:$E,5,FALSE))=TRUE,"",VLOOKUP(CONCATENATE($U$39,"_",V46),'選手名簿'!$A:$E,5,FALSE))</f>
        <v/>
      </c>
      <c r="V46" s="322"/>
      <c r="W46" s="322"/>
      <c r="X46" s="322"/>
      <c r="Y46" s="323"/>
      <c r="Z46" s="322"/>
      <c r="AA46" s="322"/>
      <c r="AB46" s="322"/>
      <c r="AC46" s="324" t="str">
        <f>IF(ISERROR(VLOOKUP(CONCATENATE($AC$39,"_",AB46),'選手名簿'!$A:$E,5,FALSE))=TRUE,"",VLOOKUP(CONCATENATE($AC$39,"_",AB46),'選手名簿'!$A:$E,5,FALSE))</f>
        <v/>
      </c>
    </row>
    <row r="47" spans="5:29" ht="20.25" customHeight="1" hidden="1">
      <c r="E47" s="320" t="s">
        <v>558</v>
      </c>
      <c r="F47" s="321" t="str">
        <f>IF(ISERROR(VLOOKUP(CONCATENATE($F$39,"_",G47),'選手名簿'!$A:$E,5,FALSE))=TRUE,"",VLOOKUP(CONCATENATE($F$39,"_",G47),'選手名簿'!$A:$E,5,FALSE))</f>
        <v/>
      </c>
      <c r="G47" s="322"/>
      <c r="H47" s="322"/>
      <c r="I47" s="322"/>
      <c r="J47" s="323"/>
      <c r="K47" s="322"/>
      <c r="L47" s="322"/>
      <c r="M47" s="322"/>
      <c r="N47" s="324" t="str">
        <f>IF(ISERROR(VLOOKUP(CONCATENATE($N$39,"_",M47),'選手名簿'!$A:$E,5,FALSE))=TRUE,"",VLOOKUP(CONCATENATE($N$39,"_",M47),'選手名簿'!$A:$E,5,FALSE))</f>
        <v/>
      </c>
      <c r="T47" s="320" t="s">
        <v>558</v>
      </c>
      <c r="U47" s="321" t="str">
        <f>IF(ISERROR(VLOOKUP(CONCATENATE($U$39,"_",V47),'選手名簿'!$A:$E,5,FALSE))=TRUE,"",VLOOKUP(CONCATENATE($U$39,"_",V47),'選手名簿'!$A:$E,5,FALSE))</f>
        <v/>
      </c>
      <c r="V47" s="322"/>
      <c r="W47" s="322"/>
      <c r="X47" s="322"/>
      <c r="Y47" s="323"/>
      <c r="Z47" s="322"/>
      <c r="AA47" s="322"/>
      <c r="AB47" s="322"/>
      <c r="AC47" s="324" t="str">
        <f>IF(ISERROR(VLOOKUP(CONCATENATE($AC$39,"_",AB47),'選手名簿'!$A:$E,5,FALSE))=TRUE,"",VLOOKUP(CONCATENATE($AC$39,"_",AB47),'選手名簿'!$A:$E,5,FALSE))</f>
        <v/>
      </c>
    </row>
    <row r="48" spans="5:29" ht="20.25" customHeight="1" hidden="1">
      <c r="E48" s="320" t="s">
        <v>558</v>
      </c>
      <c r="F48" s="321" t="str">
        <f>IF(ISERROR(VLOOKUP(CONCATENATE($F$39,"_",G48),'選手名簿'!$A:$E,5,FALSE))=TRUE,"",VLOOKUP(CONCATENATE($F$39,"_",G48),'選手名簿'!$A:$E,5,FALSE))</f>
        <v/>
      </c>
      <c r="G48" s="322"/>
      <c r="H48" s="322"/>
      <c r="I48" s="322"/>
      <c r="J48" s="323"/>
      <c r="K48" s="322"/>
      <c r="L48" s="322"/>
      <c r="M48" s="322"/>
      <c r="N48" s="324" t="str">
        <f>IF(ISERROR(VLOOKUP(CONCATENATE($N$39,"_",M48),'選手名簿'!$A:$E,5,FALSE))=TRUE,"",VLOOKUP(CONCATENATE($N$39,"_",M48),'選手名簿'!$A:$E,5,FALSE))</f>
        <v/>
      </c>
      <c r="T48" s="320" t="s">
        <v>558</v>
      </c>
      <c r="U48" s="321" t="str">
        <f>IF(ISERROR(VLOOKUP(CONCATENATE($U$39,"_",V48),'選手名簿'!$A:$E,5,FALSE))=TRUE,"",VLOOKUP(CONCATENATE($U$39,"_",V48),'選手名簿'!$A:$E,5,FALSE))</f>
        <v/>
      </c>
      <c r="V48" s="322"/>
      <c r="W48" s="322"/>
      <c r="X48" s="322"/>
      <c r="Y48" s="323"/>
      <c r="Z48" s="322"/>
      <c r="AA48" s="322"/>
      <c r="AB48" s="322"/>
      <c r="AC48" s="324" t="str">
        <f>IF(ISERROR(VLOOKUP(CONCATENATE($AC$39,"_",AB48),'選手名簿'!$A:$E,5,FALSE))=TRUE,"",VLOOKUP(CONCATENATE($AC$39,"_",AB48),'選手名簿'!$A:$E,5,FALSE))</f>
        <v/>
      </c>
    </row>
    <row r="49" spans="5:29" ht="20.25" customHeight="1" hidden="1">
      <c r="E49" s="320" t="s">
        <v>558</v>
      </c>
      <c r="F49" s="321" t="str">
        <f>IF(ISERROR(VLOOKUP(CONCATENATE($F$39,"_",G49),'選手名簿'!$A:$E,5,FALSE))=TRUE,"",VLOOKUP(CONCATENATE($F$39,"_",G49),'選手名簿'!$A:$E,5,FALSE))</f>
        <v/>
      </c>
      <c r="G49" s="322"/>
      <c r="H49" s="322"/>
      <c r="I49" s="322"/>
      <c r="J49" s="323"/>
      <c r="K49" s="322"/>
      <c r="L49" s="322"/>
      <c r="M49" s="322"/>
      <c r="N49" s="324" t="str">
        <f>IF(ISERROR(VLOOKUP(CONCATENATE($N$39,"_",M49),'選手名簿'!$A:$E,5,FALSE))=TRUE,"",VLOOKUP(CONCATENATE($N$39,"_",M49),'選手名簿'!$A:$E,5,FALSE))</f>
        <v/>
      </c>
      <c r="T49" s="320" t="s">
        <v>558</v>
      </c>
      <c r="U49" s="321" t="str">
        <f>IF(ISERROR(VLOOKUP(CONCATENATE($U$39,"_",V49),'選手名簿'!$A:$E,5,FALSE))=TRUE,"",VLOOKUP(CONCATENATE($U$39,"_",V49),'選手名簿'!$A:$E,5,FALSE))</f>
        <v/>
      </c>
      <c r="V49" s="322"/>
      <c r="W49" s="322"/>
      <c r="X49" s="322"/>
      <c r="Y49" s="323"/>
      <c r="Z49" s="322"/>
      <c r="AA49" s="322"/>
      <c r="AB49" s="322"/>
      <c r="AC49" s="324" t="str">
        <f>IF(ISERROR(VLOOKUP(CONCATENATE($AC$39,"_",AB49),'選手名簿'!$A:$E,5,FALSE))=TRUE,"",VLOOKUP(CONCATENATE($AC$39,"_",AB49),'選手名簿'!$A:$E,5,FALSE))</f>
        <v/>
      </c>
    </row>
    <row r="50" spans="5:29" ht="20.25" customHeight="1" hidden="1">
      <c r="E50" s="320" t="s">
        <v>558</v>
      </c>
      <c r="F50" s="321" t="str">
        <f>IF(ISERROR(VLOOKUP(CONCATENATE($F$39,"_",G50),'選手名簿'!$A:$E,5,FALSE))=TRUE,"",VLOOKUP(CONCATENATE($F$39,"_",G50),'選手名簿'!$A:$E,5,FALSE))</f>
        <v/>
      </c>
      <c r="G50" s="322"/>
      <c r="H50" s="322"/>
      <c r="I50" s="322"/>
      <c r="J50" s="323"/>
      <c r="K50" s="322"/>
      <c r="L50" s="322"/>
      <c r="M50" s="322"/>
      <c r="N50" s="324" t="str">
        <f>IF(ISERROR(VLOOKUP(CONCATENATE($N$39,"_",M50),'選手名簿'!$A:$E,5,FALSE))=TRUE,"",VLOOKUP(CONCATENATE($N$39,"_",M50),'選手名簿'!$A:$E,5,FALSE))</f>
        <v/>
      </c>
      <c r="T50" s="320" t="s">
        <v>558</v>
      </c>
      <c r="U50" s="321" t="str">
        <f>IF(ISERROR(VLOOKUP(CONCATENATE($U$39,"_",V50),'選手名簿'!$A:$E,5,FALSE))=TRUE,"",VLOOKUP(CONCATENATE($U$39,"_",V50),'選手名簿'!$A:$E,5,FALSE))</f>
        <v/>
      </c>
      <c r="V50" s="322"/>
      <c r="W50" s="322"/>
      <c r="X50" s="322"/>
      <c r="Y50" s="323"/>
      <c r="Z50" s="322"/>
      <c r="AA50" s="322"/>
      <c r="AB50" s="322"/>
      <c r="AC50" s="324" t="str">
        <f>IF(ISERROR(VLOOKUP(CONCATENATE($AC$39,"_",AB50),'選手名簿'!$A:$E,5,FALSE))=TRUE,"",VLOOKUP(CONCATENATE($AC$39,"_",AB50),'選手名簿'!$A:$E,5,FALSE))</f>
        <v/>
      </c>
    </row>
    <row r="51" spans="5:29" ht="20.25" customHeight="1" hidden="1">
      <c r="E51" s="320" t="s">
        <v>558</v>
      </c>
      <c r="F51" s="321" t="str">
        <f>IF(ISERROR(VLOOKUP(CONCATENATE($F$39,"_",G51),'選手名簿'!$A:$E,5,FALSE))=TRUE,"",VLOOKUP(CONCATENATE($F$39,"_",G51),'選手名簿'!$A:$E,5,FALSE))</f>
        <v/>
      </c>
      <c r="G51" s="322"/>
      <c r="H51" s="322"/>
      <c r="I51" s="322"/>
      <c r="J51" s="323"/>
      <c r="K51" s="322"/>
      <c r="L51" s="322"/>
      <c r="M51" s="322"/>
      <c r="N51" s="324" t="str">
        <f>IF(ISERROR(VLOOKUP(CONCATENATE($N$39,"_",M51),'選手名簿'!$A:$E,5,FALSE))=TRUE,"",VLOOKUP(CONCATENATE($N$39,"_",M51),'選手名簿'!$A:$E,5,FALSE))</f>
        <v/>
      </c>
      <c r="T51" s="320" t="s">
        <v>558</v>
      </c>
      <c r="U51" s="321" t="str">
        <f>IF(ISERROR(VLOOKUP(CONCATENATE($U$39,"_",V51),'選手名簿'!$A:$E,5,FALSE))=TRUE,"",VLOOKUP(CONCATENATE($U$39,"_",V51),'選手名簿'!$A:$E,5,FALSE))</f>
        <v/>
      </c>
      <c r="V51" s="322"/>
      <c r="W51" s="322"/>
      <c r="X51" s="322"/>
      <c r="Y51" s="323"/>
      <c r="Z51" s="322"/>
      <c r="AA51" s="322"/>
      <c r="AB51" s="322"/>
      <c r="AC51" s="324" t="str">
        <f>IF(ISERROR(VLOOKUP(CONCATENATE($AC$39,"_",AB51),'選手名簿'!$A:$E,5,FALSE))=TRUE,"",VLOOKUP(CONCATENATE($AC$39,"_",AB51),'選手名簿'!$A:$E,5,FALSE))</f>
        <v/>
      </c>
    </row>
    <row r="52" spans="5:29" ht="20.25" customHeight="1" hidden="1">
      <c r="E52" s="325" t="s">
        <v>558</v>
      </c>
      <c r="F52" s="326" t="str">
        <f>IF(ISERROR(VLOOKUP(CONCATENATE($F$39,"_",G52),'選手名簿'!$A:$E,5,FALSE))=TRUE,"",VLOOKUP(CONCATENATE($F$39,"_",G52),'選手名簿'!$A:$E,5,FALSE))</f>
        <v/>
      </c>
      <c r="G52" s="327"/>
      <c r="H52" s="327"/>
      <c r="I52" s="327"/>
      <c r="J52" s="328"/>
      <c r="K52" s="327"/>
      <c r="L52" s="327"/>
      <c r="M52" s="327"/>
      <c r="N52" s="329" t="str">
        <f>IF(ISERROR(VLOOKUP(CONCATENATE($N$39,"_",M52),'選手名簿'!$A:$E,5,FALSE))=TRUE,"",VLOOKUP(CONCATENATE($N$39,"_",M52),'選手名簿'!$A:$E,5,FALSE))</f>
        <v/>
      </c>
      <c r="T52" s="325" t="s">
        <v>558</v>
      </c>
      <c r="U52" s="326" t="str">
        <f>IF(ISERROR(VLOOKUP(CONCATENATE($U$39,"_",V52),'選手名簿'!$A:$E,5,FALSE))=TRUE,"",VLOOKUP(CONCATENATE($U$39,"_",V52),'選手名簿'!$A:$E,5,FALSE))</f>
        <v/>
      </c>
      <c r="V52" s="327"/>
      <c r="W52" s="327"/>
      <c r="X52" s="327"/>
      <c r="Y52" s="328"/>
      <c r="Z52" s="327"/>
      <c r="AA52" s="327"/>
      <c r="AB52" s="327"/>
      <c r="AC52" s="329" t="str">
        <f>IF(ISERROR(VLOOKUP(CONCATENATE($AC$39,"_",AB52),'選手名簿'!$A:$E,5,FALSE))=TRUE,"",VLOOKUP(CONCATENATE($AC$39,"_",AB52),'選手名簿'!$A:$E,5,FALSE))</f>
        <v/>
      </c>
    </row>
    <row r="53" spans="1:29" ht="20.25" customHeight="1">
      <c r="A53" s="330" t="s">
        <v>557</v>
      </c>
      <c r="B53" s="750" t="s">
        <v>605</v>
      </c>
      <c r="C53" s="750"/>
      <c r="D53" s="751"/>
      <c r="E53" s="320" t="s">
        <v>419</v>
      </c>
      <c r="F53" s="321" t="str">
        <f>IF(ISERROR(VLOOKUP(CONCATENATE($F$39,"_",G53),'選手名簿'!$A:$E,5,FALSE))=TRUE,"",VLOOKUP(CONCATENATE($F$39,"_",G53),'選手名簿'!$A:$E,5,FALSE))</f>
        <v/>
      </c>
      <c r="G53" s="322"/>
      <c r="H53" s="322"/>
      <c r="I53" s="322"/>
      <c r="J53" s="323"/>
      <c r="K53" s="322"/>
      <c r="L53" s="322"/>
      <c r="M53" s="322"/>
      <c r="N53" s="324" t="str">
        <f>IF(ISERROR(VLOOKUP(CONCATENATE($N$39,"_",M53),'選手名簿'!$A:$E,5,FALSE))=TRUE,"",VLOOKUP(CONCATENATE($N$39,"_",M53),'選手名簿'!$A:$E,5,FALSE))</f>
        <v/>
      </c>
      <c r="P53" s="330" t="s">
        <v>557</v>
      </c>
      <c r="Q53" s="750" t="s">
        <v>599</v>
      </c>
      <c r="R53" s="750"/>
      <c r="S53" s="751"/>
      <c r="T53" s="320" t="s">
        <v>419</v>
      </c>
      <c r="U53" s="321" t="str">
        <f>IF(ISERROR(VLOOKUP(CONCATENATE($U$39,"_",V53),'選手名簿'!$A:$E,5,FALSE))=TRUE,"",VLOOKUP(CONCATENATE($U$39,"_",V53),'選手名簿'!$A:$E,5,FALSE))</f>
        <v/>
      </c>
      <c r="V53" s="322"/>
      <c r="W53" s="322"/>
      <c r="X53" s="322"/>
      <c r="Y53" s="323"/>
      <c r="Z53" s="322"/>
      <c r="AA53" s="322"/>
      <c r="AB53" s="322"/>
      <c r="AC53" s="324" t="str">
        <f>IF(ISERROR(VLOOKUP(CONCATENATE($AC$39,"_",AB53),'選手名簿'!$A:$E,5,FALSE))=TRUE,"",VLOOKUP(CONCATENATE($AC$39,"_",AB53),'選手名簿'!$A:$E,5,FALSE))</f>
        <v/>
      </c>
    </row>
    <row r="54" spans="1:29" ht="20.25" customHeight="1">
      <c r="A54" s="331" t="s">
        <v>177</v>
      </c>
      <c r="B54" s="752" t="str">
        <f>IF(ISERROR(VLOOKUP(B53,'審判員'!$A:$C,2,FALSE))=TRUE,"",VLOOKUP(B53,'審判員'!$A:$C,2,FALSE))</f>
        <v>佐藤　慎二</v>
      </c>
      <c r="C54" s="753"/>
      <c r="D54" s="331" t="str">
        <f>IF(ISERROR(VLOOKUP(B53,'審判員'!$A:$C,3,FALSE))=TRUE,"",VLOOKUP(B53,'審判員'!$A:$C,3,FALSE))</f>
        <v>３級</v>
      </c>
      <c r="E54" s="333" t="s">
        <v>419</v>
      </c>
      <c r="F54" s="334" t="str">
        <f>IF(ISERROR(VLOOKUP(CONCATENATE($F$39,"_",G54),'選手名簿'!$A:$E,5,FALSE))=TRUE,"",VLOOKUP(CONCATENATE($F$39,"_",G54),'選手名簿'!$A:$E,5,FALSE))</f>
        <v/>
      </c>
      <c r="G54" s="335"/>
      <c r="H54" s="335"/>
      <c r="I54" s="335"/>
      <c r="J54" s="323"/>
      <c r="K54" s="335"/>
      <c r="L54" s="335"/>
      <c r="M54" s="335"/>
      <c r="N54" s="336" t="str">
        <f>IF(ISERROR(VLOOKUP(CONCATENATE($N$39,"_",M54),'選手名簿'!$A:$E,5,FALSE))=TRUE,"",VLOOKUP(CONCATENATE($N$39,"_",M54),'選手名簿'!$A:$E,5,FALSE))</f>
        <v/>
      </c>
      <c r="P54" s="331" t="s">
        <v>177</v>
      </c>
      <c r="Q54" s="752" t="str">
        <f>IF(ISERROR(VLOOKUP(Q53,'審判員'!$A:$C,2,FALSE))=TRUE,"",VLOOKUP(Q53,'審判員'!$A:$C,2,FALSE))</f>
        <v>酒井　隆宏</v>
      </c>
      <c r="R54" s="753"/>
      <c r="S54" s="331" t="str">
        <f>IF(ISERROR(VLOOKUP(Q53,'審判員'!$A:$C,3,FALSE))=TRUE,"",VLOOKUP(Q53,'審判員'!$A:$C,3,FALSE))</f>
        <v>３級</v>
      </c>
      <c r="T54" s="333" t="s">
        <v>419</v>
      </c>
      <c r="U54" s="334" t="str">
        <f>IF(ISERROR(VLOOKUP(CONCATENATE($U$39,"_",V54),'選手名簿'!$A:$E,5,FALSE))=TRUE,"",VLOOKUP(CONCATENATE($U$39,"_",V54),'選手名簿'!$A:$E,5,FALSE))</f>
        <v/>
      </c>
      <c r="V54" s="335"/>
      <c r="W54" s="335"/>
      <c r="X54" s="335"/>
      <c r="Y54" s="323"/>
      <c r="Z54" s="335"/>
      <c r="AA54" s="335"/>
      <c r="AB54" s="335"/>
      <c r="AC54" s="336" t="str">
        <f>IF(ISERROR(VLOOKUP(CONCATENATE($AC$39,"_",AB54),'選手名簿'!$A:$E,5,FALSE))=TRUE,"",VLOOKUP(CONCATENATE($AC$39,"_",AB54),'選手名簿'!$A:$E,5,FALSE))</f>
        <v/>
      </c>
    </row>
    <row r="55" spans="1:29" ht="20.25" customHeight="1">
      <c r="A55" s="330" t="s">
        <v>557</v>
      </c>
      <c r="B55" s="750" t="s">
        <v>603</v>
      </c>
      <c r="C55" s="750"/>
      <c r="D55" s="751"/>
      <c r="E55" s="333" t="s">
        <v>419</v>
      </c>
      <c r="F55" s="334" t="str">
        <f>IF(ISERROR(VLOOKUP(CONCATENATE($F$39,"_",G55),'選手名簿'!$A:$E,5,FALSE))=TRUE,"",VLOOKUP(CONCATENATE($F$39,"_",G55),'選手名簿'!$A:$E,5,FALSE))</f>
        <v/>
      </c>
      <c r="G55" s="335"/>
      <c r="H55" s="335"/>
      <c r="I55" s="335"/>
      <c r="J55" s="323"/>
      <c r="K55" s="335"/>
      <c r="L55" s="335"/>
      <c r="M55" s="335"/>
      <c r="N55" s="336" t="str">
        <f>IF(ISERROR(VLOOKUP(CONCATENATE($N$39,"_",M55),'選手名簿'!$A:$E,5,FALSE))=TRUE,"",VLOOKUP(CONCATENATE($N$39,"_",M55),'選手名簿'!$A:$E,5,FALSE))</f>
        <v/>
      </c>
      <c r="P55" s="330" t="s">
        <v>557</v>
      </c>
      <c r="Q55" s="750" t="s">
        <v>604</v>
      </c>
      <c r="R55" s="750"/>
      <c r="S55" s="751"/>
      <c r="T55" s="333" t="s">
        <v>419</v>
      </c>
      <c r="U55" s="334" t="str">
        <f>IF(ISERROR(VLOOKUP(CONCATENATE($U$39,"_",V55),'選手名簿'!$A:$E,5,FALSE))=TRUE,"",VLOOKUP(CONCATENATE($U$39,"_",V55),'選手名簿'!$A:$E,5,FALSE))</f>
        <v/>
      </c>
      <c r="V55" s="335"/>
      <c r="W55" s="335"/>
      <c r="X55" s="335"/>
      <c r="Y55" s="323"/>
      <c r="Z55" s="335"/>
      <c r="AA55" s="335"/>
      <c r="AB55" s="335"/>
      <c r="AC55" s="336" t="str">
        <f>IF(ISERROR(VLOOKUP(CONCATENATE($AC$39,"_",AB55),'選手名簿'!$A:$E,5,FALSE))=TRUE,"",VLOOKUP(CONCATENATE($AC$39,"_",AB55),'選手名簿'!$A:$E,5,FALSE))</f>
        <v/>
      </c>
    </row>
    <row r="56" spans="1:29" ht="20.25" customHeight="1">
      <c r="A56" s="331" t="s">
        <v>563</v>
      </c>
      <c r="B56" s="752" t="str">
        <f>IF(ISERROR(VLOOKUP(B55,'審判員'!$A:$C,2,FALSE))=TRUE,"",VLOOKUP(B55,'審判員'!$A:$C,2,FALSE))</f>
        <v>大石　雅宣</v>
      </c>
      <c r="C56" s="753"/>
      <c r="D56" s="331" t="str">
        <f>IF(ISERROR(VLOOKUP(B55,'審判員'!$A:$C,3,FALSE))=TRUE,"",VLOOKUP(B55,'審判員'!$A:$C,3,FALSE))</f>
        <v>２級</v>
      </c>
      <c r="E56" s="333" t="s">
        <v>419</v>
      </c>
      <c r="F56" s="334" t="str">
        <f>IF(ISERROR(VLOOKUP(CONCATENATE($F$39,"_",G56),'選手名簿'!$A:$E,5,FALSE))=TRUE,"",VLOOKUP(CONCATENATE($F$39,"_",G56),'選手名簿'!$A:$E,5,FALSE))</f>
        <v/>
      </c>
      <c r="G56" s="335"/>
      <c r="H56" s="335"/>
      <c r="I56" s="335"/>
      <c r="J56" s="323"/>
      <c r="K56" s="335"/>
      <c r="L56" s="335"/>
      <c r="M56" s="335"/>
      <c r="N56" s="336" t="str">
        <f>IF(ISERROR(VLOOKUP(CONCATENATE($N$39,"_",M56),'選手名簿'!$A:$E,5,FALSE))=TRUE,"",VLOOKUP(CONCATENATE($N$39,"_",M56),'選手名簿'!$A:$E,5,FALSE))</f>
        <v/>
      </c>
      <c r="P56" s="331" t="s">
        <v>563</v>
      </c>
      <c r="Q56" s="752" t="str">
        <f>IF(ISERROR(VLOOKUP(Q55,'審判員'!$A:$C,2,FALSE))=TRUE,"",VLOOKUP(Q55,'審判員'!$A:$C,2,FALSE))</f>
        <v>酒井　祐三</v>
      </c>
      <c r="R56" s="753"/>
      <c r="S56" s="331" t="str">
        <f>IF(ISERROR(VLOOKUP(Q55,'審判員'!$A:$C,3,FALSE))=TRUE,"",VLOOKUP(Q55,'審判員'!$A:$C,3,FALSE))</f>
        <v>３級</v>
      </c>
      <c r="T56" s="333" t="s">
        <v>419</v>
      </c>
      <c r="U56" s="334" t="str">
        <f>IF(ISERROR(VLOOKUP(CONCATENATE($U$39,"_",V56),'選手名簿'!$A:$E,5,FALSE))=TRUE,"",VLOOKUP(CONCATENATE($U$39,"_",V56),'選手名簿'!$A:$E,5,FALSE))</f>
        <v/>
      </c>
      <c r="V56" s="335"/>
      <c r="W56" s="335"/>
      <c r="X56" s="335"/>
      <c r="Y56" s="323"/>
      <c r="Z56" s="335"/>
      <c r="AA56" s="335"/>
      <c r="AB56" s="335"/>
      <c r="AC56" s="336" t="str">
        <f>IF(ISERROR(VLOOKUP(CONCATENATE($AC$39,"_",AB56),'選手名簿'!$A:$E,5,FALSE))=TRUE,"",VLOOKUP(CONCATENATE($AC$39,"_",AB56),'選手名簿'!$A:$E,5,FALSE))</f>
        <v/>
      </c>
    </row>
    <row r="57" spans="1:29" ht="20.25" customHeight="1">
      <c r="A57" s="330" t="s">
        <v>557</v>
      </c>
      <c r="B57" s="750" t="s">
        <v>606</v>
      </c>
      <c r="C57" s="750"/>
      <c r="D57" s="751"/>
      <c r="E57" s="333" t="s">
        <v>419</v>
      </c>
      <c r="F57" s="334" t="str">
        <f>IF(ISERROR(VLOOKUP(CONCATENATE($F$39,"_",G57),'選手名簿'!$A:$E,5,FALSE))=TRUE,"",VLOOKUP(CONCATENATE($F$39,"_",G57),'選手名簿'!$A:$E,5,FALSE))</f>
        <v/>
      </c>
      <c r="G57" s="335"/>
      <c r="H57" s="335"/>
      <c r="I57" s="335"/>
      <c r="J57" s="323"/>
      <c r="K57" s="335"/>
      <c r="L57" s="335"/>
      <c r="M57" s="335"/>
      <c r="N57" s="336" t="str">
        <f>IF(ISERROR(VLOOKUP(CONCATENATE($N$39,"_",M57),'選手名簿'!$A:$E,5,FALSE))=TRUE,"",VLOOKUP(CONCATENATE($N$39,"_",M57),'選手名簿'!$A:$E,5,FALSE))</f>
        <v/>
      </c>
      <c r="P57" s="330" t="s">
        <v>557</v>
      </c>
      <c r="Q57" s="750" t="s">
        <v>607</v>
      </c>
      <c r="R57" s="750"/>
      <c r="S57" s="751"/>
      <c r="T57" s="333" t="s">
        <v>419</v>
      </c>
      <c r="U57" s="334" t="str">
        <f>IF(ISERROR(VLOOKUP(CONCATENATE($U$39,"_",V57),'選手名簿'!$A:$E,5,FALSE))=TRUE,"",VLOOKUP(CONCATENATE($U$39,"_",V57),'選手名簿'!$A:$E,5,FALSE))</f>
        <v/>
      </c>
      <c r="V57" s="335"/>
      <c r="W57" s="335"/>
      <c r="X57" s="335"/>
      <c r="Y57" s="323"/>
      <c r="Z57" s="335"/>
      <c r="AA57" s="335"/>
      <c r="AB57" s="335"/>
      <c r="AC57" s="336" t="str">
        <f>IF(ISERROR(VLOOKUP(CONCATENATE($AC$39,"_",AB57),'選手名簿'!$A:$E,5,FALSE))=TRUE,"",VLOOKUP(CONCATENATE($AC$39,"_",AB57),'選手名簿'!$A:$E,5,FALSE))</f>
        <v/>
      </c>
    </row>
    <row r="58" spans="1:29" ht="20.25" customHeight="1">
      <c r="A58" s="331" t="s">
        <v>566</v>
      </c>
      <c r="B58" s="752" t="str">
        <f>IF(ISERROR(VLOOKUP(B57,'審判員'!$A:$C,2,FALSE))=TRUE,"",VLOOKUP(B57,'審判員'!$A:$C,2,FALSE))</f>
        <v>奥薗　将太</v>
      </c>
      <c r="C58" s="753"/>
      <c r="D58" s="331" t="str">
        <f>IF(ISERROR(VLOOKUP(B57,'審判員'!$A:$C,3,FALSE))=TRUE,"",VLOOKUP(B57,'審判員'!$A:$C,3,FALSE))</f>
        <v>３級</v>
      </c>
      <c r="E58" s="333" t="s">
        <v>419</v>
      </c>
      <c r="F58" s="334" t="str">
        <f>IF(ISERROR(VLOOKUP(CONCATENATE($F$39,"_",G58),'選手名簿'!$A:$E,5,FALSE))=TRUE,"",VLOOKUP(CONCATENATE($F$39,"_",G58),'選手名簿'!$A:$E,5,FALSE))</f>
        <v/>
      </c>
      <c r="G58" s="335"/>
      <c r="H58" s="335"/>
      <c r="I58" s="335"/>
      <c r="J58" s="323"/>
      <c r="K58" s="335"/>
      <c r="L58" s="335"/>
      <c r="M58" s="335"/>
      <c r="N58" s="336" t="str">
        <f>IF(ISERROR(VLOOKUP(CONCATENATE($N$39,"_",M58),'選手名簿'!$A:$E,5,FALSE))=TRUE,"",VLOOKUP(CONCATENATE($N$39,"_",M58),'選手名簿'!$A:$E,5,FALSE))</f>
        <v/>
      </c>
      <c r="P58" s="331" t="s">
        <v>566</v>
      </c>
      <c r="Q58" s="752" t="str">
        <f>IF(ISERROR(VLOOKUP(Q57,'審判員'!$A:$C,2,FALSE))=TRUE,"",VLOOKUP(Q57,'審判員'!$A:$C,2,FALSE))</f>
        <v>狭間　照央</v>
      </c>
      <c r="R58" s="753"/>
      <c r="S58" s="331" t="str">
        <f>IF(ISERROR(VLOOKUP(Q57,'審判員'!$A:$C,3,FALSE))=TRUE,"",VLOOKUP(Q57,'審判員'!$A:$C,3,FALSE))</f>
        <v>３級</v>
      </c>
      <c r="T58" s="333" t="s">
        <v>419</v>
      </c>
      <c r="U58" s="334" t="str">
        <f>IF(ISERROR(VLOOKUP(CONCATENATE($U$39,"_",V58),'選手名簿'!$A:$E,5,FALSE))=TRUE,"",VLOOKUP(CONCATENATE($U$39,"_",V58),'選手名簿'!$A:$E,5,FALSE))</f>
        <v/>
      </c>
      <c r="V58" s="335"/>
      <c r="W58" s="335"/>
      <c r="X58" s="335"/>
      <c r="Y58" s="323"/>
      <c r="Z58" s="335"/>
      <c r="AA58" s="335"/>
      <c r="AB58" s="335"/>
      <c r="AC58" s="336" t="str">
        <f>IF(ISERROR(VLOOKUP(CONCATENATE($AC$39,"_",AB58),'選手名簿'!$A:$E,5,FALSE))=TRUE,"",VLOOKUP(CONCATENATE($AC$39,"_",AB58),'選手名簿'!$A:$E,5,FALSE))</f>
        <v/>
      </c>
    </row>
    <row r="59" spans="1:29" ht="20.25" customHeight="1">
      <c r="A59" s="330" t="s">
        <v>557</v>
      </c>
      <c r="B59" s="750" t="s">
        <v>599</v>
      </c>
      <c r="C59" s="750"/>
      <c r="D59" s="751"/>
      <c r="E59" s="333" t="s">
        <v>419</v>
      </c>
      <c r="F59" s="334" t="str">
        <f>IF(ISERROR(VLOOKUP(CONCATENATE($F$39,"_",G59),'選手名簿'!$A:$E,5,FALSE))=TRUE,"",VLOOKUP(CONCATENATE($F$39,"_",G59),'選手名簿'!$A:$E,5,FALSE))</f>
        <v/>
      </c>
      <c r="G59" s="335"/>
      <c r="H59" s="335"/>
      <c r="I59" s="335"/>
      <c r="J59" s="323"/>
      <c r="K59" s="335"/>
      <c r="L59" s="335"/>
      <c r="M59" s="335"/>
      <c r="N59" s="336" t="str">
        <f>IF(ISERROR(VLOOKUP(CONCATENATE($N$39,"_",M59),'選手名簿'!$A:$E,5,FALSE))=TRUE,"",VLOOKUP(CONCATENATE($N$39,"_",M59),'選手名簿'!$A:$E,5,FALSE))</f>
        <v/>
      </c>
      <c r="P59" s="330" t="s">
        <v>557</v>
      </c>
      <c r="Q59" s="750" t="s">
        <v>600</v>
      </c>
      <c r="R59" s="750"/>
      <c r="S59" s="751"/>
      <c r="T59" s="333" t="s">
        <v>419</v>
      </c>
      <c r="U59" s="334" t="str">
        <f>IF(ISERROR(VLOOKUP(CONCATENATE($U$39,"_",V59),'選手名簿'!$A:$E,5,FALSE))=TRUE,"",VLOOKUP(CONCATENATE($U$39,"_",V59),'選手名簿'!$A:$E,5,FALSE))</f>
        <v/>
      </c>
      <c r="V59" s="335"/>
      <c r="W59" s="335"/>
      <c r="X59" s="335"/>
      <c r="Y59" s="323"/>
      <c r="Z59" s="335"/>
      <c r="AA59" s="335"/>
      <c r="AB59" s="335"/>
      <c r="AC59" s="336" t="str">
        <f>IF(ISERROR(VLOOKUP(CONCATENATE($AC$39,"_",AB59),'選手名簿'!$A:$E,5,FALSE))=TRUE,"",VLOOKUP(CONCATENATE($AC$39,"_",AB59),'選手名簿'!$A:$E,5,FALSE))</f>
        <v/>
      </c>
    </row>
    <row r="60" spans="1:29" ht="20.25" customHeight="1">
      <c r="A60" s="331" t="s">
        <v>568</v>
      </c>
      <c r="B60" s="752" t="str">
        <f>IF(ISERROR(VLOOKUP(B59,'審判員'!$A:$C,2,FALSE))=TRUE,"",VLOOKUP(B59,'審判員'!$A:$C,2,FALSE))</f>
        <v>酒井　隆宏</v>
      </c>
      <c r="C60" s="753"/>
      <c r="D60" s="331" t="str">
        <f>IF(ISERROR(VLOOKUP(B59,'審判員'!$A:$C,3,FALSE))=TRUE,"",VLOOKUP(B59,'審判員'!$A:$C,3,FALSE))</f>
        <v>３級</v>
      </c>
      <c r="E60" s="337" t="s">
        <v>419</v>
      </c>
      <c r="F60" s="338" t="str">
        <f>IF(ISERROR(VLOOKUP(CONCATENATE($F$39,"_",G60),'選手名簿'!$A:$E,5,FALSE))=TRUE,"",VLOOKUP(CONCATENATE($F$39,"_",G60),'選手名簿'!$A:$E,5,FALSE))</f>
        <v/>
      </c>
      <c r="G60" s="339"/>
      <c r="H60" s="339"/>
      <c r="I60" s="339"/>
      <c r="J60" s="328"/>
      <c r="K60" s="339"/>
      <c r="L60" s="339"/>
      <c r="M60" s="339"/>
      <c r="N60" s="340" t="str">
        <f>IF(ISERROR(VLOOKUP(CONCATENATE($N$39,"_",M60),'選手名簿'!$A:$E,5,FALSE))=TRUE,"",VLOOKUP(CONCATENATE($N$39,"_",M60),'選手名簿'!$A:$E,5,FALSE))</f>
        <v/>
      </c>
      <c r="P60" s="331" t="s">
        <v>568</v>
      </c>
      <c r="Q60" s="752" t="str">
        <f>IF(ISERROR(VLOOKUP(Q59,'審判員'!$A:$C,2,FALSE))=TRUE,"",VLOOKUP(Q59,'審判員'!$A:$C,2,FALSE))</f>
        <v>白江　直樹</v>
      </c>
      <c r="R60" s="753"/>
      <c r="S60" s="331" t="str">
        <f>IF(ISERROR(VLOOKUP(Q59,'審判員'!$A:$C,3,FALSE))=TRUE,"",VLOOKUP(Q59,'審判員'!$A:$C,3,FALSE))</f>
        <v>３級</v>
      </c>
      <c r="T60" s="337" t="s">
        <v>419</v>
      </c>
      <c r="U60" s="338" t="str">
        <f>IF(ISERROR(VLOOKUP(CONCATENATE($U$39,"_",V60),'選手名簿'!$A:$E,5,FALSE))=TRUE,"",VLOOKUP(CONCATENATE($U$39,"_",V60),'選手名簿'!$A:$E,5,FALSE))</f>
        <v/>
      </c>
      <c r="V60" s="339"/>
      <c r="W60" s="339"/>
      <c r="X60" s="339"/>
      <c r="Y60" s="328"/>
      <c r="Z60" s="339"/>
      <c r="AA60" s="339"/>
      <c r="AB60" s="339"/>
      <c r="AC60" s="340" t="str">
        <f>IF(ISERROR(VLOOKUP(CONCATENATE($AC$39,"_",AB60),'選手名簿'!$A:$E,5,FALSE))=TRUE,"",VLOOKUP(CONCATENATE($AC$39,"_",AB60),'選手名簿'!$A:$E,5,FALSE))</f>
        <v/>
      </c>
    </row>
    <row r="61" spans="5:20" ht="9.95" customHeight="1">
      <c r="E61" s="341"/>
      <c r="T61" s="341"/>
    </row>
    <row r="62" spans="5:20" ht="9.95" customHeight="1">
      <c r="E62" s="341"/>
      <c r="T62" s="341"/>
    </row>
    <row r="63" ht="9.95" customHeight="1"/>
    <row r="64" ht="9.95" customHeight="1"/>
    <row r="65" ht="9.95" customHeight="1"/>
    <row r="66" ht="9.95" customHeight="1"/>
    <row r="67" spans="5:20" ht="9.95" customHeight="1">
      <c r="E67" s="341"/>
      <c r="T67" s="341"/>
    </row>
    <row r="68" spans="1:29" ht="27.4" customHeight="1">
      <c r="A68" s="312" t="s">
        <v>546</v>
      </c>
      <c r="B68" s="772" t="s">
        <v>597</v>
      </c>
      <c r="C68" s="773"/>
      <c r="D68" s="774"/>
      <c r="E68" s="756">
        <v>0.6041666666666666</v>
      </c>
      <c r="F68" s="759" t="str">
        <f>F7</f>
        <v>ＦＣ大野</v>
      </c>
      <c r="G68" s="762">
        <f>SUM(I68:I69)</f>
        <v>1</v>
      </c>
      <c r="H68" s="765" t="s">
        <v>294</v>
      </c>
      <c r="I68" s="313">
        <v>0</v>
      </c>
      <c r="J68" s="313" t="s">
        <v>548</v>
      </c>
      <c r="K68" s="313">
        <v>0</v>
      </c>
      <c r="L68" s="765" t="s">
        <v>549</v>
      </c>
      <c r="M68" s="762">
        <f>SUM(K68:K69)</f>
        <v>2</v>
      </c>
      <c r="N68" s="768" t="str">
        <f>F5</f>
        <v>別保ＳＦＣ</v>
      </c>
      <c r="P68" s="312" t="s">
        <v>546</v>
      </c>
      <c r="Q68" s="772" t="s">
        <v>598</v>
      </c>
      <c r="R68" s="773"/>
      <c r="S68" s="774"/>
      <c r="T68" s="756">
        <v>0.6458333333333334</v>
      </c>
      <c r="U68" s="759" t="str">
        <f>U7</f>
        <v>太陽スポーツクラブ大分西</v>
      </c>
      <c r="V68" s="762">
        <f>SUM(X68:X69)</f>
        <v>1</v>
      </c>
      <c r="W68" s="765" t="s">
        <v>294</v>
      </c>
      <c r="X68" s="313">
        <v>0</v>
      </c>
      <c r="Y68" s="313" t="s">
        <v>548</v>
      </c>
      <c r="Z68" s="313">
        <v>0</v>
      </c>
      <c r="AA68" s="765" t="s">
        <v>549</v>
      </c>
      <c r="AB68" s="762">
        <f>SUM(Z68:Z69)</f>
        <v>0</v>
      </c>
      <c r="AC68" s="768" t="str">
        <f>U5</f>
        <v>別府フットボールクラブ．ミネルバＵ－１２</v>
      </c>
    </row>
    <row r="69" spans="1:29" ht="27.4" customHeight="1">
      <c r="A69" s="314" t="s">
        <v>551</v>
      </c>
      <c r="B69" s="771" t="s">
        <v>16</v>
      </c>
      <c r="C69" s="771"/>
      <c r="D69" s="772"/>
      <c r="E69" s="757"/>
      <c r="F69" s="760"/>
      <c r="G69" s="763"/>
      <c r="H69" s="766"/>
      <c r="I69" s="303">
        <v>1</v>
      </c>
      <c r="J69" s="303" t="s">
        <v>552</v>
      </c>
      <c r="K69" s="303">
        <v>2</v>
      </c>
      <c r="L69" s="766"/>
      <c r="M69" s="763"/>
      <c r="N69" s="769"/>
      <c r="P69" s="314" t="s">
        <v>551</v>
      </c>
      <c r="Q69" s="771" t="s">
        <v>16</v>
      </c>
      <c r="R69" s="771"/>
      <c r="S69" s="772"/>
      <c r="T69" s="757"/>
      <c r="U69" s="760"/>
      <c r="V69" s="763"/>
      <c r="W69" s="766"/>
      <c r="X69" s="303">
        <v>1</v>
      </c>
      <c r="Y69" s="303" t="s">
        <v>552</v>
      </c>
      <c r="Z69" s="303">
        <v>0</v>
      </c>
      <c r="AA69" s="766"/>
      <c r="AB69" s="763"/>
      <c r="AC69" s="769"/>
    </row>
    <row r="70" spans="1:29" ht="27.4" customHeight="1">
      <c r="A70" s="314" t="s">
        <v>553</v>
      </c>
      <c r="B70" s="771" t="s">
        <v>596</v>
      </c>
      <c r="C70" s="771"/>
      <c r="D70" s="772"/>
      <c r="E70" s="758"/>
      <c r="F70" s="761"/>
      <c r="G70" s="764"/>
      <c r="H70" s="767"/>
      <c r="I70" s="315"/>
      <c r="J70" s="315" t="s">
        <v>555</v>
      </c>
      <c r="K70" s="315"/>
      <c r="L70" s="767"/>
      <c r="M70" s="764"/>
      <c r="N70" s="770"/>
      <c r="P70" s="314" t="s">
        <v>553</v>
      </c>
      <c r="Q70" s="771" t="s">
        <v>597</v>
      </c>
      <c r="R70" s="771"/>
      <c r="S70" s="772"/>
      <c r="T70" s="758"/>
      <c r="U70" s="761"/>
      <c r="V70" s="764"/>
      <c r="W70" s="767"/>
      <c r="X70" s="315"/>
      <c r="Y70" s="315" t="s">
        <v>555</v>
      </c>
      <c r="Z70" s="315"/>
      <c r="AA70" s="767"/>
      <c r="AB70" s="764"/>
      <c r="AC70" s="770"/>
    </row>
    <row r="71" spans="1:29" ht="20.25" customHeight="1">
      <c r="A71" s="754" t="s">
        <v>556</v>
      </c>
      <c r="B71" s="754"/>
      <c r="C71" s="754"/>
      <c r="D71" s="755"/>
      <c r="E71" s="316"/>
      <c r="F71" s="317" t="s">
        <v>418</v>
      </c>
      <c r="G71" s="317" t="s">
        <v>557</v>
      </c>
      <c r="H71" s="317" t="s">
        <v>524</v>
      </c>
      <c r="I71" s="317"/>
      <c r="J71" s="318"/>
      <c r="K71" s="317"/>
      <c r="L71" s="317" t="s">
        <v>524</v>
      </c>
      <c r="M71" s="317" t="s">
        <v>557</v>
      </c>
      <c r="N71" s="319" t="s">
        <v>418</v>
      </c>
      <c r="P71" s="754" t="s">
        <v>556</v>
      </c>
      <c r="Q71" s="754"/>
      <c r="R71" s="754"/>
      <c r="S71" s="755"/>
      <c r="T71" s="316"/>
      <c r="U71" s="317" t="s">
        <v>418</v>
      </c>
      <c r="V71" s="317" t="s">
        <v>557</v>
      </c>
      <c r="W71" s="317" t="s">
        <v>524</v>
      </c>
      <c r="X71" s="317"/>
      <c r="Y71" s="318"/>
      <c r="Z71" s="317"/>
      <c r="AA71" s="317" t="s">
        <v>524</v>
      </c>
      <c r="AB71" s="317" t="s">
        <v>557</v>
      </c>
      <c r="AC71" s="319" t="s">
        <v>418</v>
      </c>
    </row>
    <row r="72" spans="5:29" ht="20.25" customHeight="1" hidden="1">
      <c r="E72" s="320" t="s">
        <v>558</v>
      </c>
      <c r="F72" s="321" t="str">
        <f>IF(ISERROR(VLOOKUP(CONCATENATE($F$68,"_",G72),'選手名簿'!$A:$E,5,FALSE))=TRUE,"",VLOOKUP(CONCATENATE($F$68,"_",G72),'選手名簿'!$A:$E,5,FALSE))</f>
        <v/>
      </c>
      <c r="G72" s="322"/>
      <c r="H72" s="322"/>
      <c r="I72" s="322"/>
      <c r="J72" s="323"/>
      <c r="K72" s="322"/>
      <c r="L72" s="322"/>
      <c r="M72" s="322"/>
      <c r="N72" s="324" t="str">
        <f>IF(ISERROR(VLOOKUP(CONCATENATE($N$68,"_",M72),'選手名簿'!$A:$E,5,FALSE))=TRUE,"",VLOOKUP(CONCATENATE($N$68,"_",M72),'選手名簿'!$A:$E,5,FALSE))</f>
        <v/>
      </c>
      <c r="T72" s="320" t="s">
        <v>558</v>
      </c>
      <c r="U72" s="321" t="str">
        <f>IF(ISERROR(VLOOKUP(CONCATENATE($U$68,"_",V72),'選手名簿'!$A:$E,5,FALSE))=TRUE,"",VLOOKUP(CONCATENATE($U$68,"_",V72),'選手名簿'!$A:$E,5,FALSE))</f>
        <v/>
      </c>
      <c r="V72" s="322"/>
      <c r="W72" s="322"/>
      <c r="X72" s="322"/>
      <c r="Y72" s="323"/>
      <c r="Z72" s="322"/>
      <c r="AA72" s="322"/>
      <c r="AB72" s="322"/>
      <c r="AC72" s="324" t="str">
        <f>IF(ISERROR(VLOOKUP(CONCATENATE($AC$68,"_",AB72),'選手名簿'!$A:$E,5,FALSE))=TRUE,"",VLOOKUP(CONCATENATE($AC$68,"_",AB72),'選手名簿'!$A:$E,5,FALSE))</f>
        <v/>
      </c>
    </row>
    <row r="73" spans="5:29" ht="20.25" customHeight="1" hidden="1">
      <c r="E73" s="320" t="s">
        <v>558</v>
      </c>
      <c r="F73" s="321" t="str">
        <f>IF(ISERROR(VLOOKUP(CONCATENATE($F$68,"_",G73),'選手名簿'!$A:$E,5,FALSE))=TRUE,"",VLOOKUP(CONCATENATE($F$68,"_",G73),'選手名簿'!$A:$E,5,FALSE))</f>
        <v/>
      </c>
      <c r="G73" s="322"/>
      <c r="H73" s="322"/>
      <c r="I73" s="322"/>
      <c r="J73" s="323"/>
      <c r="K73" s="322"/>
      <c r="L73" s="322"/>
      <c r="M73" s="322"/>
      <c r="N73" s="324" t="str">
        <f>IF(ISERROR(VLOOKUP(CONCATENATE($N$68,"_",M73),'選手名簿'!$A:$E,5,FALSE))=TRUE,"",VLOOKUP(CONCATENATE($N$68,"_",M73),'選手名簿'!$A:$E,5,FALSE))</f>
        <v/>
      </c>
      <c r="T73" s="320" t="s">
        <v>558</v>
      </c>
      <c r="U73" s="321" t="str">
        <f>IF(ISERROR(VLOOKUP(CONCATENATE($U$68,"_",V73),'選手名簿'!$A:$E,5,FALSE))=TRUE,"",VLOOKUP(CONCATENATE($U$68,"_",V73),'選手名簿'!$A:$E,5,FALSE))</f>
        <v/>
      </c>
      <c r="V73" s="322"/>
      <c r="W73" s="322"/>
      <c r="X73" s="322"/>
      <c r="Y73" s="323"/>
      <c r="Z73" s="322"/>
      <c r="AA73" s="322"/>
      <c r="AB73" s="322"/>
      <c r="AC73" s="324" t="str">
        <f>IF(ISERROR(VLOOKUP(CONCATENATE($AC$68,"_",AB73),'選手名簿'!$A:$E,5,FALSE))=TRUE,"",VLOOKUP(CONCATENATE($AC$68,"_",AB73),'選手名簿'!$A:$E,5,FALSE))</f>
        <v/>
      </c>
    </row>
    <row r="74" spans="5:29" ht="20.25" customHeight="1" hidden="1">
      <c r="E74" s="320" t="s">
        <v>558</v>
      </c>
      <c r="F74" s="321" t="str">
        <f>IF(ISERROR(VLOOKUP(CONCATENATE($F$68,"_",G74),'選手名簿'!$A:$E,5,FALSE))=TRUE,"",VLOOKUP(CONCATENATE($F$68,"_",G74),'選手名簿'!$A:$E,5,FALSE))</f>
        <v/>
      </c>
      <c r="G74" s="322"/>
      <c r="H74" s="322"/>
      <c r="I74" s="322"/>
      <c r="J74" s="323"/>
      <c r="K74" s="322"/>
      <c r="L74" s="322"/>
      <c r="M74" s="322"/>
      <c r="N74" s="324" t="str">
        <f>IF(ISERROR(VLOOKUP(CONCATENATE($N$68,"_",M74),'選手名簿'!$A:$E,5,FALSE))=TRUE,"",VLOOKUP(CONCATENATE($N$68,"_",M74),'選手名簿'!$A:$E,5,FALSE))</f>
        <v/>
      </c>
      <c r="T74" s="320" t="s">
        <v>558</v>
      </c>
      <c r="U74" s="321" t="str">
        <f>IF(ISERROR(VLOOKUP(CONCATENATE($U$68,"_",V74),'選手名簿'!$A:$E,5,FALSE))=TRUE,"",VLOOKUP(CONCATENATE($U$68,"_",V74),'選手名簿'!$A:$E,5,FALSE))</f>
        <v/>
      </c>
      <c r="V74" s="322"/>
      <c r="W74" s="322"/>
      <c r="X74" s="322"/>
      <c r="Y74" s="323"/>
      <c r="Z74" s="322"/>
      <c r="AA74" s="322"/>
      <c r="AB74" s="322"/>
      <c r="AC74" s="324" t="str">
        <f>IF(ISERROR(VLOOKUP(CONCATENATE($AC$68,"_",AB74),'選手名簿'!$A:$E,5,FALSE))=TRUE,"",VLOOKUP(CONCATENATE($AC$68,"_",AB74),'選手名簿'!$A:$E,5,FALSE))</f>
        <v/>
      </c>
    </row>
    <row r="75" spans="5:29" ht="20.25" customHeight="1" hidden="1">
      <c r="E75" s="320" t="s">
        <v>558</v>
      </c>
      <c r="F75" s="321" t="str">
        <f>IF(ISERROR(VLOOKUP(CONCATENATE($F$68,"_",G75),'選手名簿'!$A:$E,5,FALSE))=TRUE,"",VLOOKUP(CONCATENATE($F$68,"_",G75),'選手名簿'!$A:$E,5,FALSE))</f>
        <v/>
      </c>
      <c r="G75" s="322"/>
      <c r="H75" s="322"/>
      <c r="I75" s="322"/>
      <c r="J75" s="323"/>
      <c r="K75" s="322"/>
      <c r="L75" s="322"/>
      <c r="M75" s="322"/>
      <c r="N75" s="324" t="str">
        <f>IF(ISERROR(VLOOKUP(CONCATENATE($N$68,"_",M75),'選手名簿'!$A:$E,5,FALSE))=TRUE,"",VLOOKUP(CONCATENATE($N$68,"_",M75),'選手名簿'!$A:$E,5,FALSE))</f>
        <v/>
      </c>
      <c r="T75" s="320" t="s">
        <v>558</v>
      </c>
      <c r="U75" s="321" t="str">
        <f>IF(ISERROR(VLOOKUP(CONCATENATE($U$68,"_",V75),'選手名簿'!$A:$E,5,FALSE))=TRUE,"",VLOOKUP(CONCATENATE($U$68,"_",V75),'選手名簿'!$A:$E,5,FALSE))</f>
        <v/>
      </c>
      <c r="V75" s="322"/>
      <c r="W75" s="322"/>
      <c r="X75" s="322"/>
      <c r="Y75" s="323"/>
      <c r="Z75" s="322"/>
      <c r="AA75" s="322"/>
      <c r="AB75" s="322"/>
      <c r="AC75" s="324" t="str">
        <f>IF(ISERROR(VLOOKUP(CONCATENATE($AC$68,"_",AB75),'選手名簿'!$A:$E,5,FALSE))=TRUE,"",VLOOKUP(CONCATENATE($AC$68,"_",AB75),'選手名簿'!$A:$E,5,FALSE))</f>
        <v/>
      </c>
    </row>
    <row r="76" spans="5:29" ht="20.25" customHeight="1" hidden="1">
      <c r="E76" s="320" t="s">
        <v>558</v>
      </c>
      <c r="F76" s="321" t="str">
        <f>IF(ISERROR(VLOOKUP(CONCATENATE($F$68,"_",G76),'選手名簿'!$A:$E,5,FALSE))=TRUE,"",VLOOKUP(CONCATENATE($F$68,"_",G76),'選手名簿'!$A:$E,5,FALSE))</f>
        <v/>
      </c>
      <c r="G76" s="322"/>
      <c r="H76" s="322"/>
      <c r="I76" s="322"/>
      <c r="J76" s="323"/>
      <c r="K76" s="322"/>
      <c r="L76" s="322"/>
      <c r="M76" s="322"/>
      <c r="N76" s="324" t="str">
        <f>IF(ISERROR(VLOOKUP(CONCATENATE($N$68,"_",M76),'選手名簿'!$A:$E,5,FALSE))=TRUE,"",VLOOKUP(CONCATENATE($N$68,"_",M76),'選手名簿'!$A:$E,5,FALSE))</f>
        <v/>
      </c>
      <c r="T76" s="320" t="s">
        <v>558</v>
      </c>
      <c r="U76" s="321" t="str">
        <f>IF(ISERROR(VLOOKUP(CONCATENATE($U$68,"_",V76),'選手名簿'!$A:$E,5,FALSE))=TRUE,"",VLOOKUP(CONCATENATE($U$68,"_",V76),'選手名簿'!$A:$E,5,FALSE))</f>
        <v/>
      </c>
      <c r="V76" s="322"/>
      <c r="W76" s="322"/>
      <c r="X76" s="322"/>
      <c r="Y76" s="323"/>
      <c r="Z76" s="322"/>
      <c r="AA76" s="322"/>
      <c r="AB76" s="322"/>
      <c r="AC76" s="324" t="str">
        <f>IF(ISERROR(VLOOKUP(CONCATENATE($AC$68,"_",AB76),'選手名簿'!$A:$E,5,FALSE))=TRUE,"",VLOOKUP(CONCATENATE($AC$68,"_",AB76),'選手名簿'!$A:$E,5,FALSE))</f>
        <v/>
      </c>
    </row>
    <row r="77" spans="5:29" ht="20.25" customHeight="1" hidden="1">
      <c r="E77" s="320" t="s">
        <v>558</v>
      </c>
      <c r="F77" s="321" t="str">
        <f>IF(ISERROR(VLOOKUP(CONCATENATE($F$68,"_",G77),'選手名簿'!$A:$E,5,FALSE))=TRUE,"",VLOOKUP(CONCATENATE($F$68,"_",G77),'選手名簿'!$A:$E,5,FALSE))</f>
        <v/>
      </c>
      <c r="G77" s="322"/>
      <c r="H77" s="322"/>
      <c r="I77" s="322"/>
      <c r="J77" s="323"/>
      <c r="K77" s="322"/>
      <c r="L77" s="322"/>
      <c r="M77" s="322"/>
      <c r="N77" s="324" t="str">
        <f>IF(ISERROR(VLOOKUP(CONCATENATE($N$68,"_",M77),'選手名簿'!$A:$E,5,FALSE))=TRUE,"",VLOOKUP(CONCATENATE($N$68,"_",M77),'選手名簿'!$A:$E,5,FALSE))</f>
        <v/>
      </c>
      <c r="T77" s="320" t="s">
        <v>558</v>
      </c>
      <c r="U77" s="321" t="str">
        <f>IF(ISERROR(VLOOKUP(CONCATENATE($U$68,"_",V77),'選手名簿'!$A:$E,5,FALSE))=TRUE,"",VLOOKUP(CONCATENATE($U$68,"_",V77),'選手名簿'!$A:$E,5,FALSE))</f>
        <v/>
      </c>
      <c r="V77" s="322"/>
      <c r="W77" s="322"/>
      <c r="X77" s="322"/>
      <c r="Y77" s="323"/>
      <c r="Z77" s="322"/>
      <c r="AA77" s="322"/>
      <c r="AB77" s="322"/>
      <c r="AC77" s="324" t="str">
        <f>IF(ISERROR(VLOOKUP(CONCATENATE($AC$68,"_",AB77),'選手名簿'!$A:$E,5,FALSE))=TRUE,"",VLOOKUP(CONCATENATE($AC$68,"_",AB77),'選手名簿'!$A:$E,5,FALSE))</f>
        <v/>
      </c>
    </row>
    <row r="78" spans="5:29" ht="20.25" customHeight="1" hidden="1">
      <c r="E78" s="320" t="s">
        <v>558</v>
      </c>
      <c r="F78" s="321" t="str">
        <f>IF(ISERROR(VLOOKUP(CONCATENATE($F$68,"_",G78),'選手名簿'!$A:$E,5,FALSE))=TRUE,"",VLOOKUP(CONCATENATE($F$68,"_",G78),'選手名簿'!$A:$E,5,FALSE))</f>
        <v/>
      </c>
      <c r="G78" s="322"/>
      <c r="H78" s="322"/>
      <c r="I78" s="322"/>
      <c r="J78" s="323"/>
      <c r="K78" s="322"/>
      <c r="L78" s="322"/>
      <c r="M78" s="322"/>
      <c r="N78" s="324" t="str">
        <f>IF(ISERROR(VLOOKUP(CONCATENATE($N$68,"_",M78),'選手名簿'!$A:$E,5,FALSE))=TRUE,"",VLOOKUP(CONCATENATE($N$68,"_",M78),'選手名簿'!$A:$E,5,FALSE))</f>
        <v/>
      </c>
      <c r="T78" s="320" t="s">
        <v>558</v>
      </c>
      <c r="U78" s="321" t="str">
        <f>IF(ISERROR(VLOOKUP(CONCATENATE($U$68,"_",V78),'選手名簿'!$A:$E,5,FALSE))=TRUE,"",VLOOKUP(CONCATENATE($U$68,"_",V78),'選手名簿'!$A:$E,5,FALSE))</f>
        <v/>
      </c>
      <c r="V78" s="322"/>
      <c r="W78" s="322"/>
      <c r="X78" s="322"/>
      <c r="Y78" s="323"/>
      <c r="Z78" s="322"/>
      <c r="AA78" s="322"/>
      <c r="AB78" s="322"/>
      <c r="AC78" s="324" t="str">
        <f>IF(ISERROR(VLOOKUP(CONCATENATE($AC$68,"_",AB78),'選手名簿'!$A:$E,5,FALSE))=TRUE,"",VLOOKUP(CONCATENATE($AC$68,"_",AB78),'選手名簿'!$A:$E,5,FALSE))</f>
        <v/>
      </c>
    </row>
    <row r="79" spans="5:29" ht="20.25" customHeight="1" hidden="1">
      <c r="E79" s="320" t="s">
        <v>558</v>
      </c>
      <c r="F79" s="321" t="str">
        <f>IF(ISERROR(VLOOKUP(CONCATENATE($F$68,"_",G79),'選手名簿'!$A:$E,5,FALSE))=TRUE,"",VLOOKUP(CONCATENATE($F$68,"_",G79),'選手名簿'!$A:$E,5,FALSE))</f>
        <v/>
      </c>
      <c r="G79" s="322"/>
      <c r="H79" s="322"/>
      <c r="I79" s="322"/>
      <c r="J79" s="323"/>
      <c r="K79" s="322"/>
      <c r="L79" s="322"/>
      <c r="M79" s="322"/>
      <c r="N79" s="324" t="str">
        <f>IF(ISERROR(VLOOKUP(CONCATENATE($N$68,"_",M79),'選手名簿'!$A:$E,5,FALSE))=TRUE,"",VLOOKUP(CONCATENATE($N$68,"_",M79),'選手名簿'!$A:$E,5,FALSE))</f>
        <v/>
      </c>
      <c r="T79" s="320" t="s">
        <v>558</v>
      </c>
      <c r="U79" s="321" t="str">
        <f>IF(ISERROR(VLOOKUP(CONCATENATE($U$68,"_",V79),'選手名簿'!$A:$E,5,FALSE))=TRUE,"",VLOOKUP(CONCATENATE($U$68,"_",V79),'選手名簿'!$A:$E,5,FALSE))</f>
        <v/>
      </c>
      <c r="V79" s="322"/>
      <c r="W79" s="322"/>
      <c r="X79" s="322"/>
      <c r="Y79" s="323"/>
      <c r="Z79" s="322"/>
      <c r="AA79" s="322"/>
      <c r="AB79" s="322"/>
      <c r="AC79" s="324" t="str">
        <f>IF(ISERROR(VLOOKUP(CONCATENATE($AC$68,"_",AB79),'選手名簿'!$A:$E,5,FALSE))=TRUE,"",VLOOKUP(CONCATENATE($AC$68,"_",AB79),'選手名簿'!$A:$E,5,FALSE))</f>
        <v/>
      </c>
    </row>
    <row r="80" spans="5:29" ht="20.25" customHeight="1" hidden="1">
      <c r="E80" s="320" t="s">
        <v>558</v>
      </c>
      <c r="F80" s="321" t="str">
        <f>IF(ISERROR(VLOOKUP(CONCATENATE($F$68,"_",G80),'選手名簿'!$A:$E,5,FALSE))=TRUE,"",VLOOKUP(CONCATENATE($F$68,"_",G80),'選手名簿'!$A:$E,5,FALSE))</f>
        <v/>
      </c>
      <c r="G80" s="322"/>
      <c r="H80" s="322"/>
      <c r="I80" s="322"/>
      <c r="J80" s="323"/>
      <c r="K80" s="322"/>
      <c r="L80" s="322"/>
      <c r="M80" s="322"/>
      <c r="N80" s="324" t="str">
        <f>IF(ISERROR(VLOOKUP(CONCATENATE($N$68,"_",M80),'選手名簿'!$A:$E,5,FALSE))=TRUE,"",VLOOKUP(CONCATENATE($N$68,"_",M80),'選手名簿'!$A:$E,5,FALSE))</f>
        <v/>
      </c>
      <c r="T80" s="320" t="s">
        <v>558</v>
      </c>
      <c r="U80" s="321" t="str">
        <f>IF(ISERROR(VLOOKUP(CONCATENATE($U$68,"_",V80),'選手名簿'!$A:$E,5,FALSE))=TRUE,"",VLOOKUP(CONCATENATE($U$68,"_",V80),'選手名簿'!$A:$E,5,FALSE))</f>
        <v/>
      </c>
      <c r="V80" s="322"/>
      <c r="W80" s="322"/>
      <c r="X80" s="322"/>
      <c r="Y80" s="323"/>
      <c r="Z80" s="322"/>
      <c r="AA80" s="322"/>
      <c r="AB80" s="322"/>
      <c r="AC80" s="324" t="str">
        <f>IF(ISERROR(VLOOKUP(CONCATENATE($AC$68,"_",AB80),'選手名簿'!$A:$E,5,FALSE))=TRUE,"",VLOOKUP(CONCATENATE($AC$68,"_",AB80),'選手名簿'!$A:$E,5,FALSE))</f>
        <v/>
      </c>
    </row>
    <row r="81" spans="5:29" ht="20.25" customHeight="1" hidden="1">
      <c r="E81" s="325" t="s">
        <v>558</v>
      </c>
      <c r="F81" s="326" t="str">
        <f>IF(ISERROR(VLOOKUP(CONCATENATE($F$68,"_",G81),'選手名簿'!$A:$E,5,FALSE))=TRUE,"",VLOOKUP(CONCATENATE($F$68,"_",G81),'選手名簿'!$A:$E,5,FALSE))</f>
        <v/>
      </c>
      <c r="G81" s="327"/>
      <c r="H81" s="327"/>
      <c r="I81" s="327"/>
      <c r="J81" s="328"/>
      <c r="K81" s="327"/>
      <c r="L81" s="327"/>
      <c r="M81" s="327"/>
      <c r="N81" s="329" t="str">
        <f>IF(ISERROR(VLOOKUP(CONCATENATE($N$68,"_",M81),'選手名簿'!$A:$E,5,FALSE))=TRUE,"",VLOOKUP(CONCATENATE($N$68,"_",M81),'選手名簿'!$A:$E,5,FALSE))</f>
        <v/>
      </c>
      <c r="T81" s="325" t="s">
        <v>558</v>
      </c>
      <c r="U81" s="326" t="str">
        <f>IF(ISERROR(VLOOKUP(CONCATENATE($U$68,"_",V81),'選手名簿'!$A:$E,5,FALSE))=TRUE,"",VLOOKUP(CONCATENATE($U$68,"_",V81),'選手名簿'!$A:$E,5,FALSE))</f>
        <v/>
      </c>
      <c r="V81" s="327"/>
      <c r="W81" s="327"/>
      <c r="X81" s="327"/>
      <c r="Y81" s="328"/>
      <c r="Z81" s="327"/>
      <c r="AA81" s="327"/>
      <c r="AB81" s="327"/>
      <c r="AC81" s="329" t="str">
        <f>IF(ISERROR(VLOOKUP(CONCATENATE($AC$68,"_",AB81),'選手名簿'!$A:$E,5,FALSE))=TRUE,"",VLOOKUP(CONCATENATE($AC$68,"_",AB81),'選手名簿'!$A:$E,5,FALSE))</f>
        <v/>
      </c>
    </row>
    <row r="82" spans="1:29" ht="20.25" customHeight="1">
      <c r="A82" s="330" t="s">
        <v>557</v>
      </c>
      <c r="B82" s="750" t="s">
        <v>600</v>
      </c>
      <c r="C82" s="750"/>
      <c r="D82" s="751"/>
      <c r="E82" s="320" t="s">
        <v>419</v>
      </c>
      <c r="F82" s="321" t="str">
        <f>IF(ISERROR(VLOOKUP(CONCATENATE($F$68,"_",G82),'選手名簿'!$A:$E,5,FALSE))=TRUE,"",VLOOKUP(CONCATENATE($F$68,"_",G82),'選手名簿'!$A:$E,5,FALSE))</f>
        <v/>
      </c>
      <c r="G82" s="322"/>
      <c r="H82" s="322"/>
      <c r="I82" s="322"/>
      <c r="J82" s="323"/>
      <c r="K82" s="322"/>
      <c r="L82" s="322"/>
      <c r="M82" s="322"/>
      <c r="N82" s="324" t="str">
        <f>IF(ISERROR(VLOOKUP(CONCATENATE($N$68,"_",M82),'選手名簿'!$A:$E,5,FALSE))=TRUE,"",VLOOKUP(CONCATENATE($N$68,"_",M82),'選手名簿'!$A:$E,5,FALSE))</f>
        <v/>
      </c>
      <c r="P82" s="330" t="s">
        <v>557</v>
      </c>
      <c r="Q82" s="750" t="s">
        <v>605</v>
      </c>
      <c r="R82" s="750"/>
      <c r="S82" s="751"/>
      <c r="T82" s="320" t="s">
        <v>421</v>
      </c>
      <c r="U82" s="321" t="str">
        <f>IF(ISERROR(VLOOKUP(CONCATENATE($U$68,"_",V82),'選手名簿'!$A:$E,5,FALSE))=TRUE,"",VLOOKUP(CONCATENATE($U$68,"_",V82),'選手名簿'!$A:$E,5,FALSE))</f>
        <v/>
      </c>
      <c r="V82" s="322"/>
      <c r="W82" s="322"/>
      <c r="X82" s="322"/>
      <c r="Y82" s="323"/>
      <c r="Z82" s="343" t="s">
        <v>422</v>
      </c>
      <c r="AA82" s="322">
        <v>29</v>
      </c>
      <c r="AB82" s="322">
        <v>13</v>
      </c>
      <c r="AC82" s="324" t="str">
        <f>IF(ISERROR(VLOOKUP(CONCATENATE($AC$68,"_",AB82),'選手名簿'!$A:$E,5,FALSE))=TRUE,"",VLOOKUP(CONCATENATE($AC$68,"_",AB82),'選手名簿'!$A:$E,5,FALSE))</f>
        <v>林　蔵人</v>
      </c>
    </row>
    <row r="83" spans="1:29" ht="20.25" customHeight="1">
      <c r="A83" s="331" t="s">
        <v>177</v>
      </c>
      <c r="B83" s="752" t="str">
        <f>IF(ISERROR(VLOOKUP(B82,'審判員'!$A:$C,2,FALSE))=TRUE,"",VLOOKUP(B82,'審判員'!$A:$C,2,FALSE))</f>
        <v>白江　直樹</v>
      </c>
      <c r="C83" s="753"/>
      <c r="D83" s="331" t="str">
        <f>IF(ISERROR(VLOOKUP(B82,'審判員'!$A:$C,3,FALSE))=TRUE,"",VLOOKUP(B82,'審判員'!$A:$C,3,FALSE))</f>
        <v>３級</v>
      </c>
      <c r="E83" s="333" t="s">
        <v>419</v>
      </c>
      <c r="F83" s="334" t="str">
        <f>IF(ISERROR(VLOOKUP(CONCATENATE($F$68,"_",G83),'選手名簿'!$A:$E,5,FALSE))=TRUE,"",VLOOKUP(CONCATENATE($F$68,"_",G83),'選手名簿'!$A:$E,5,FALSE))</f>
        <v/>
      </c>
      <c r="G83" s="335"/>
      <c r="H83" s="335"/>
      <c r="I83" s="335"/>
      <c r="J83" s="323"/>
      <c r="K83" s="335"/>
      <c r="L83" s="335"/>
      <c r="M83" s="335"/>
      <c r="N83" s="336" t="str">
        <f>IF(ISERROR(VLOOKUP(CONCATENATE($N$68,"_",M83),'選手名簿'!$A:$E,5,FALSE))=TRUE,"",VLOOKUP(CONCATENATE($N$68,"_",M83),'選手名簿'!$A:$E,5,FALSE))</f>
        <v/>
      </c>
      <c r="P83" s="331" t="s">
        <v>177</v>
      </c>
      <c r="Q83" s="752" t="str">
        <f>IF(ISERROR(VLOOKUP(Q82,'審判員'!$A:$C,2,FALSE))=TRUE,"",VLOOKUP(Q82,'審判員'!$A:$C,2,FALSE))</f>
        <v>佐藤　慎二</v>
      </c>
      <c r="R83" s="753"/>
      <c r="S83" s="331" t="str">
        <f>IF(ISERROR(VLOOKUP(Q82,'審判員'!$A:$C,3,FALSE))=TRUE,"",VLOOKUP(Q82,'審判員'!$A:$C,3,FALSE))</f>
        <v>３級</v>
      </c>
      <c r="T83" s="333" t="s">
        <v>419</v>
      </c>
      <c r="U83" s="334" t="str">
        <f>IF(ISERROR(VLOOKUP(CONCATENATE($U$68,"_",V83),'選手名簿'!$A:$E,5,FALSE))=TRUE,"",VLOOKUP(CONCATENATE($U$68,"_",V83),'選手名簿'!$A:$E,5,FALSE))</f>
        <v/>
      </c>
      <c r="V83" s="335"/>
      <c r="W83" s="335"/>
      <c r="X83" s="335"/>
      <c r="Y83" s="323"/>
      <c r="Z83" s="335"/>
      <c r="AA83" s="335"/>
      <c r="AB83" s="335"/>
      <c r="AC83" s="336" t="str">
        <f>IF(ISERROR(VLOOKUP(CONCATENATE($AC$68,"_",AB83),'選手名簿'!$A:$E,5,FALSE))=TRUE,"",VLOOKUP(CONCATENATE($AC$68,"_",AB83),'選手名簿'!$A:$E,5,FALSE))</f>
        <v/>
      </c>
    </row>
    <row r="84" spans="1:29" ht="20.25" customHeight="1">
      <c r="A84" s="330" t="s">
        <v>557</v>
      </c>
      <c r="B84" s="750" t="s">
        <v>608</v>
      </c>
      <c r="C84" s="750"/>
      <c r="D84" s="751"/>
      <c r="E84" s="333" t="s">
        <v>419</v>
      </c>
      <c r="F84" s="334" t="str">
        <f>IF(ISERROR(VLOOKUP(CONCATENATE($F$68,"_",G84),'選手名簿'!$A:$E,5,FALSE))=TRUE,"",VLOOKUP(CONCATENATE($F$68,"_",G84),'選手名簿'!$A:$E,5,FALSE))</f>
        <v/>
      </c>
      <c r="G84" s="335"/>
      <c r="H84" s="335"/>
      <c r="I84" s="335"/>
      <c r="J84" s="323"/>
      <c r="K84" s="335"/>
      <c r="L84" s="335"/>
      <c r="M84" s="335"/>
      <c r="N84" s="336" t="str">
        <f>IF(ISERROR(VLOOKUP(CONCATENATE($N$68,"_",M84),'選手名簿'!$A:$E,5,FALSE))=TRUE,"",VLOOKUP(CONCATENATE($N$68,"_",M84),'選手名簿'!$A:$E,5,FALSE))</f>
        <v/>
      </c>
      <c r="P84" s="330" t="s">
        <v>557</v>
      </c>
      <c r="Q84" s="750" t="s">
        <v>607</v>
      </c>
      <c r="R84" s="750"/>
      <c r="S84" s="751"/>
      <c r="T84" s="333" t="s">
        <v>419</v>
      </c>
      <c r="U84" s="334" t="str">
        <f>IF(ISERROR(VLOOKUP(CONCATENATE($U$68,"_",V84),'選手名簿'!$A:$E,5,FALSE))=TRUE,"",VLOOKUP(CONCATENATE($U$68,"_",V84),'選手名簿'!$A:$E,5,FALSE))</f>
        <v/>
      </c>
      <c r="V84" s="335"/>
      <c r="W84" s="335"/>
      <c r="X84" s="335"/>
      <c r="Y84" s="323"/>
      <c r="Z84" s="335"/>
      <c r="AA84" s="335"/>
      <c r="AB84" s="335"/>
      <c r="AC84" s="336" t="str">
        <f>IF(ISERROR(VLOOKUP(CONCATENATE($AC$68,"_",AB84),'選手名簿'!$A:$E,5,FALSE))=TRUE,"",VLOOKUP(CONCATENATE($AC$68,"_",AB84),'選手名簿'!$A:$E,5,FALSE))</f>
        <v/>
      </c>
    </row>
    <row r="85" spans="1:29" ht="20.25" customHeight="1">
      <c r="A85" s="331" t="s">
        <v>563</v>
      </c>
      <c r="B85" s="752" t="str">
        <f>IF(ISERROR(VLOOKUP(B84,'審判員'!$A:$C,2,FALSE))=TRUE,"",VLOOKUP(B84,'審判員'!$A:$C,2,FALSE))</f>
        <v>信田　卓也</v>
      </c>
      <c r="C85" s="753"/>
      <c r="D85" s="331" t="str">
        <f>IF(ISERROR(VLOOKUP(B84,'審判員'!$A:$C,3,FALSE))=TRUE,"",VLOOKUP(B84,'審判員'!$A:$C,3,FALSE))</f>
        <v>３級</v>
      </c>
      <c r="E85" s="333" t="s">
        <v>419</v>
      </c>
      <c r="F85" s="334" t="str">
        <f>IF(ISERROR(VLOOKUP(CONCATENATE($F$68,"_",G85),'選手名簿'!$A:$E,5,FALSE))=TRUE,"",VLOOKUP(CONCATENATE($F$68,"_",G85),'選手名簿'!$A:$E,5,FALSE))</f>
        <v/>
      </c>
      <c r="G85" s="335"/>
      <c r="H85" s="335"/>
      <c r="I85" s="335"/>
      <c r="J85" s="323"/>
      <c r="K85" s="335"/>
      <c r="L85" s="335"/>
      <c r="M85" s="335"/>
      <c r="N85" s="336" t="str">
        <f>IF(ISERROR(VLOOKUP(CONCATENATE($N$68,"_",M85),'選手名簿'!$A:$E,5,FALSE))=TRUE,"",VLOOKUP(CONCATENATE($N$68,"_",M85),'選手名簿'!$A:$E,5,FALSE))</f>
        <v/>
      </c>
      <c r="P85" s="331" t="s">
        <v>563</v>
      </c>
      <c r="Q85" s="752" t="str">
        <f>IF(ISERROR(VLOOKUP(Q84,'審判員'!$A:$C,2,FALSE))=TRUE,"",VLOOKUP(Q84,'審判員'!$A:$C,2,FALSE))</f>
        <v>狭間　照央</v>
      </c>
      <c r="R85" s="753"/>
      <c r="S85" s="331" t="str">
        <f>IF(ISERROR(VLOOKUP(Q84,'審判員'!$A:$C,3,FALSE))=TRUE,"",VLOOKUP(Q84,'審判員'!$A:$C,3,FALSE))</f>
        <v>３級</v>
      </c>
      <c r="T85" s="333" t="s">
        <v>419</v>
      </c>
      <c r="U85" s="334" t="str">
        <f>IF(ISERROR(VLOOKUP(CONCATENATE($U$68,"_",V85),'選手名簿'!$A:$E,5,FALSE))=TRUE,"",VLOOKUP(CONCATENATE($U$68,"_",V85),'選手名簿'!$A:$E,5,FALSE))</f>
        <v/>
      </c>
      <c r="V85" s="335"/>
      <c r="W85" s="335"/>
      <c r="X85" s="335"/>
      <c r="Y85" s="323"/>
      <c r="Z85" s="335"/>
      <c r="AA85" s="335"/>
      <c r="AB85" s="335"/>
      <c r="AC85" s="336" t="str">
        <f>IF(ISERROR(VLOOKUP(CONCATENATE($AC$68,"_",AB85),'選手名簿'!$A:$E,5,FALSE))=TRUE,"",VLOOKUP(CONCATENATE($AC$68,"_",AB85),'選手名簿'!$A:$E,5,FALSE))</f>
        <v/>
      </c>
    </row>
    <row r="86" spans="1:29" ht="20.25" customHeight="1">
      <c r="A86" s="330" t="s">
        <v>557</v>
      </c>
      <c r="B86" s="750" t="s">
        <v>601</v>
      </c>
      <c r="C86" s="750"/>
      <c r="D86" s="751"/>
      <c r="E86" s="333" t="s">
        <v>419</v>
      </c>
      <c r="F86" s="334" t="str">
        <f>IF(ISERROR(VLOOKUP(CONCATENATE($F$68,"_",G86),'選手名簿'!$A:$E,5,FALSE))=TRUE,"",VLOOKUP(CONCATENATE($F$68,"_",G86),'選手名簿'!$A:$E,5,FALSE))</f>
        <v/>
      </c>
      <c r="G86" s="335"/>
      <c r="H86" s="335"/>
      <c r="I86" s="335"/>
      <c r="J86" s="323"/>
      <c r="K86" s="335"/>
      <c r="L86" s="335"/>
      <c r="M86" s="335"/>
      <c r="N86" s="336" t="str">
        <f>IF(ISERROR(VLOOKUP(CONCATENATE($N$68,"_",M86),'選手名簿'!$A:$E,5,FALSE))=TRUE,"",VLOOKUP(CONCATENATE($N$68,"_",M86),'選手名簿'!$A:$E,5,FALSE))</f>
        <v/>
      </c>
      <c r="P86" s="330" t="s">
        <v>557</v>
      </c>
      <c r="Q86" s="750" t="s">
        <v>602</v>
      </c>
      <c r="R86" s="750"/>
      <c r="S86" s="751"/>
      <c r="T86" s="333" t="s">
        <v>419</v>
      </c>
      <c r="U86" s="334" t="str">
        <f>IF(ISERROR(VLOOKUP(CONCATENATE($U$68,"_",V86),'選手名簿'!$A:$E,5,FALSE))=TRUE,"",VLOOKUP(CONCATENATE($U$68,"_",V86),'選手名簿'!$A:$E,5,FALSE))</f>
        <v/>
      </c>
      <c r="V86" s="335"/>
      <c r="W86" s="335"/>
      <c r="X86" s="335"/>
      <c r="Y86" s="323"/>
      <c r="Z86" s="335"/>
      <c r="AA86" s="335"/>
      <c r="AB86" s="335"/>
      <c r="AC86" s="336" t="str">
        <f>IF(ISERROR(VLOOKUP(CONCATENATE($AC$68,"_",AB86),'選手名簿'!$A:$E,5,FALSE))=TRUE,"",VLOOKUP(CONCATENATE($AC$68,"_",AB86),'選手名簿'!$A:$E,5,FALSE))</f>
        <v/>
      </c>
    </row>
    <row r="87" spans="1:29" ht="20.25" customHeight="1">
      <c r="A87" s="331" t="s">
        <v>566</v>
      </c>
      <c r="B87" s="752" t="str">
        <f>IF(ISERROR(VLOOKUP(B86,'審判員'!$A:$C,2,FALSE))=TRUE,"",VLOOKUP(B86,'審判員'!$A:$C,2,FALSE))</f>
        <v>横山　大悟</v>
      </c>
      <c r="C87" s="753"/>
      <c r="D87" s="331" t="str">
        <f>IF(ISERROR(VLOOKUP(B86,'審判員'!$A:$C,3,FALSE))=TRUE,"",VLOOKUP(B86,'審判員'!$A:$C,3,FALSE))</f>
        <v>３級</v>
      </c>
      <c r="E87" s="333" t="s">
        <v>419</v>
      </c>
      <c r="F87" s="334" t="str">
        <f>IF(ISERROR(VLOOKUP(CONCATENATE($F$68,"_",G87),'選手名簿'!$A:$E,5,FALSE))=TRUE,"",VLOOKUP(CONCATENATE($F$68,"_",G87),'選手名簿'!$A:$E,5,FALSE))</f>
        <v/>
      </c>
      <c r="G87" s="335"/>
      <c r="H87" s="335"/>
      <c r="I87" s="335"/>
      <c r="J87" s="323"/>
      <c r="K87" s="335"/>
      <c r="L87" s="335"/>
      <c r="M87" s="335"/>
      <c r="N87" s="336" t="str">
        <f>IF(ISERROR(VLOOKUP(CONCATENATE($N$68,"_",M87),'選手名簿'!$A:$E,5,FALSE))=TRUE,"",VLOOKUP(CONCATENATE($N$68,"_",M87),'選手名簿'!$A:$E,5,FALSE))</f>
        <v/>
      </c>
      <c r="P87" s="331" t="s">
        <v>566</v>
      </c>
      <c r="Q87" s="752" t="str">
        <f>IF(ISERROR(VLOOKUP(Q86,'審判員'!$A:$C,2,FALSE))=TRUE,"",VLOOKUP(Q86,'審判員'!$A:$C,2,FALSE))</f>
        <v>小倉　正広</v>
      </c>
      <c r="R87" s="753"/>
      <c r="S87" s="331" t="str">
        <f>IF(ISERROR(VLOOKUP(Q86,'審判員'!$A:$C,3,FALSE))=TRUE,"",VLOOKUP(Q86,'審判員'!$A:$C,3,FALSE))</f>
        <v>３級</v>
      </c>
      <c r="T87" s="333" t="s">
        <v>419</v>
      </c>
      <c r="U87" s="334" t="str">
        <f>IF(ISERROR(VLOOKUP(CONCATENATE($U$68,"_",V87),'選手名簿'!$A:$E,5,FALSE))=TRUE,"",VLOOKUP(CONCATENATE($U$68,"_",V87),'選手名簿'!$A:$E,5,FALSE))</f>
        <v/>
      </c>
      <c r="V87" s="335"/>
      <c r="W87" s="335"/>
      <c r="X87" s="335"/>
      <c r="Y87" s="323"/>
      <c r="Z87" s="335"/>
      <c r="AA87" s="335"/>
      <c r="AB87" s="335"/>
      <c r="AC87" s="336" t="str">
        <f>IF(ISERROR(VLOOKUP(CONCATENATE($AC$68,"_",AB87),'選手名簿'!$A:$E,5,FALSE))=TRUE,"",VLOOKUP(CONCATENATE($AC$68,"_",AB87),'選手名簿'!$A:$E,5,FALSE))</f>
        <v/>
      </c>
    </row>
    <row r="88" spans="1:29" ht="20.25" customHeight="1">
      <c r="A88" s="330" t="s">
        <v>557</v>
      </c>
      <c r="B88" s="750" t="s">
        <v>605</v>
      </c>
      <c r="C88" s="750"/>
      <c r="D88" s="751"/>
      <c r="E88" s="333" t="s">
        <v>419</v>
      </c>
      <c r="F88" s="334" t="str">
        <f>IF(ISERROR(VLOOKUP(CONCATENATE($F$68,"_",G88),'選手名簿'!$A:$E,5,FALSE))=TRUE,"",VLOOKUP(CONCATENATE($F$68,"_",G88),'選手名簿'!$A:$E,5,FALSE))</f>
        <v/>
      </c>
      <c r="G88" s="335"/>
      <c r="H88" s="335"/>
      <c r="I88" s="335"/>
      <c r="J88" s="323"/>
      <c r="K88" s="335"/>
      <c r="L88" s="335"/>
      <c r="M88" s="335"/>
      <c r="N88" s="336" t="str">
        <f>IF(ISERROR(VLOOKUP(CONCATENATE($N$68,"_",M88),'選手名簿'!$A:$E,5,FALSE))=TRUE,"",VLOOKUP(CONCATENATE($N$68,"_",M88),'選手名簿'!$A:$E,5,FALSE))</f>
        <v/>
      </c>
      <c r="P88" s="330" t="s">
        <v>557</v>
      </c>
      <c r="Q88" s="750" t="s">
        <v>599</v>
      </c>
      <c r="R88" s="750"/>
      <c r="S88" s="751"/>
      <c r="T88" s="333" t="s">
        <v>419</v>
      </c>
      <c r="U88" s="334" t="str">
        <f>IF(ISERROR(VLOOKUP(CONCATENATE($U$68,"_",V88),'選手名簿'!$A:$E,5,FALSE))=TRUE,"",VLOOKUP(CONCATENATE($U$68,"_",V88),'選手名簿'!$A:$E,5,FALSE))</f>
        <v/>
      </c>
      <c r="V88" s="335"/>
      <c r="W88" s="335"/>
      <c r="X88" s="335"/>
      <c r="Y88" s="323"/>
      <c r="Z88" s="335"/>
      <c r="AA88" s="335"/>
      <c r="AB88" s="335"/>
      <c r="AC88" s="336" t="str">
        <f>IF(ISERROR(VLOOKUP(CONCATENATE($AC$68,"_",AB88),'選手名簿'!$A:$E,5,FALSE))=TRUE,"",VLOOKUP(CONCATENATE($AC$68,"_",AB88),'選手名簿'!$A:$E,5,FALSE))</f>
        <v/>
      </c>
    </row>
    <row r="89" spans="1:29" ht="20.25" customHeight="1">
      <c r="A89" s="331" t="s">
        <v>568</v>
      </c>
      <c r="B89" s="752" t="str">
        <f>IF(ISERROR(VLOOKUP(B88,'審判員'!$A:$C,2,FALSE))=TRUE,"",VLOOKUP(B88,'審判員'!$A:$C,2,FALSE))</f>
        <v>佐藤　慎二</v>
      </c>
      <c r="C89" s="753"/>
      <c r="D89" s="331" t="str">
        <f>IF(ISERROR(VLOOKUP(B88,'審判員'!$A:$C,3,FALSE))=TRUE,"",VLOOKUP(B88,'審判員'!$A:$C,3,FALSE))</f>
        <v>３級</v>
      </c>
      <c r="E89" s="337" t="s">
        <v>419</v>
      </c>
      <c r="F89" s="338" t="str">
        <f>IF(ISERROR(VLOOKUP(CONCATENATE($F$68,"_",G89),'選手名簿'!$A:$E,5,FALSE))=TRUE,"",VLOOKUP(CONCATENATE($F$68,"_",G89),'選手名簿'!$A:$E,5,FALSE))</f>
        <v/>
      </c>
      <c r="G89" s="339"/>
      <c r="H89" s="339"/>
      <c r="I89" s="339"/>
      <c r="J89" s="328"/>
      <c r="K89" s="339"/>
      <c r="L89" s="339"/>
      <c r="M89" s="339"/>
      <c r="N89" s="340" t="str">
        <f>IF(ISERROR(VLOOKUP(CONCATENATE($N$68,"_",M89),'選手名簿'!$A:$E,5,FALSE))=TRUE,"",VLOOKUP(CONCATENATE($N$68,"_",M89),'選手名簿'!$A:$E,5,FALSE))</f>
        <v/>
      </c>
      <c r="P89" s="331" t="s">
        <v>568</v>
      </c>
      <c r="Q89" s="752" t="str">
        <f>IF(ISERROR(VLOOKUP(Q88,'審判員'!$A:$C,2,FALSE))=TRUE,"",VLOOKUP(Q88,'審判員'!$A:$C,2,FALSE))</f>
        <v>酒井　隆宏</v>
      </c>
      <c r="R89" s="753"/>
      <c r="S89" s="331" t="str">
        <f>IF(ISERROR(VLOOKUP(Q88,'審判員'!$A:$C,3,FALSE))=TRUE,"",VLOOKUP(Q88,'審判員'!$A:$C,3,FALSE))</f>
        <v>３級</v>
      </c>
      <c r="T89" s="337" t="s">
        <v>419</v>
      </c>
      <c r="U89" s="338" t="str">
        <f>IF(ISERROR(VLOOKUP(CONCATENATE($U$68,"_",V89),'選手名簿'!$A:$E,5,FALSE))=TRUE,"",VLOOKUP(CONCATENATE($U$68,"_",V89),'選手名簿'!$A:$E,5,FALSE))</f>
        <v/>
      </c>
      <c r="V89" s="339"/>
      <c r="W89" s="339"/>
      <c r="X89" s="339"/>
      <c r="Y89" s="328"/>
      <c r="Z89" s="339"/>
      <c r="AA89" s="339"/>
      <c r="AB89" s="339"/>
      <c r="AC89" s="340" t="str">
        <f>IF(ISERROR(VLOOKUP(CONCATENATE($AC$68,"_",AB89),'選手名簿'!$A:$E,5,FALSE))=TRUE,"",VLOOKUP(CONCATENATE($AC$68,"_",AB89),'選手名簿'!$A:$E,5,FALSE))</f>
        <v/>
      </c>
    </row>
  </sheetData>
  <mergeCells count="132">
    <mergeCell ref="A1:J1"/>
    <mergeCell ref="K1:N1"/>
    <mergeCell ref="P1:Y1"/>
    <mergeCell ref="Z1:AC1"/>
    <mergeCell ref="B3:E3"/>
    <mergeCell ref="Q3:T3"/>
    <mergeCell ref="F5:L5"/>
    <mergeCell ref="M5:N5"/>
    <mergeCell ref="U5:AA5"/>
    <mergeCell ref="AB5:AC5"/>
    <mergeCell ref="F6:L6"/>
    <mergeCell ref="M6:N6"/>
    <mergeCell ref="U6:AA6"/>
    <mergeCell ref="AB6:AC6"/>
    <mergeCell ref="F7:L7"/>
    <mergeCell ref="M7:N7"/>
    <mergeCell ref="U7:AA7"/>
    <mergeCell ref="AB7:AC7"/>
    <mergeCell ref="B10:D10"/>
    <mergeCell ref="E10:E12"/>
    <mergeCell ref="F10:F12"/>
    <mergeCell ref="G10:G12"/>
    <mergeCell ref="H10:H12"/>
    <mergeCell ref="L10:L12"/>
    <mergeCell ref="M10:M12"/>
    <mergeCell ref="N10:N12"/>
    <mergeCell ref="Q10:S10"/>
    <mergeCell ref="T10:T12"/>
    <mergeCell ref="U10:U12"/>
    <mergeCell ref="V10:V12"/>
    <mergeCell ref="W10:W12"/>
    <mergeCell ref="AA10:AA12"/>
    <mergeCell ref="AB10:AB12"/>
    <mergeCell ref="AC10:AC12"/>
    <mergeCell ref="B11:D11"/>
    <mergeCell ref="Q11:S11"/>
    <mergeCell ref="B12:D12"/>
    <mergeCell ref="Q12:S12"/>
    <mergeCell ref="A13:D13"/>
    <mergeCell ref="P13:S13"/>
    <mergeCell ref="B24:D24"/>
    <mergeCell ref="Q24:S24"/>
    <mergeCell ref="B25:C25"/>
    <mergeCell ref="Q25:R25"/>
    <mergeCell ref="B26:D26"/>
    <mergeCell ref="Q26:S26"/>
    <mergeCell ref="B27:C27"/>
    <mergeCell ref="Q27:R27"/>
    <mergeCell ref="B28:D28"/>
    <mergeCell ref="Q28:S28"/>
    <mergeCell ref="B29:C29"/>
    <mergeCell ref="Q29:R29"/>
    <mergeCell ref="B30:D30"/>
    <mergeCell ref="Q30:S30"/>
    <mergeCell ref="B31:C31"/>
    <mergeCell ref="Q31:R31"/>
    <mergeCell ref="B39:D39"/>
    <mergeCell ref="E39:E41"/>
    <mergeCell ref="F39:F41"/>
    <mergeCell ref="G39:G41"/>
    <mergeCell ref="H39:H41"/>
    <mergeCell ref="L39:L41"/>
    <mergeCell ref="M39:M41"/>
    <mergeCell ref="N39:N41"/>
    <mergeCell ref="Q39:S39"/>
    <mergeCell ref="T39:T41"/>
    <mergeCell ref="U39:U41"/>
    <mergeCell ref="V39:V41"/>
    <mergeCell ref="W39:W41"/>
    <mergeCell ref="AA39:AA41"/>
    <mergeCell ref="AB39:AB41"/>
    <mergeCell ref="AC39:AC41"/>
    <mergeCell ref="B40:D40"/>
    <mergeCell ref="Q40:S40"/>
    <mergeCell ref="B41:D41"/>
    <mergeCell ref="Q41:S41"/>
    <mergeCell ref="A42:D42"/>
    <mergeCell ref="P42:S42"/>
    <mergeCell ref="B53:D53"/>
    <mergeCell ref="Q53:S53"/>
    <mergeCell ref="B54:C54"/>
    <mergeCell ref="Q54:R54"/>
    <mergeCell ref="B55:D55"/>
    <mergeCell ref="Q55:S55"/>
    <mergeCell ref="B56:C56"/>
    <mergeCell ref="Q56:R56"/>
    <mergeCell ref="B57:D57"/>
    <mergeCell ref="Q57:S57"/>
    <mergeCell ref="B58:C58"/>
    <mergeCell ref="Q58:R58"/>
    <mergeCell ref="B59:D59"/>
    <mergeCell ref="Q59:S59"/>
    <mergeCell ref="B60:C60"/>
    <mergeCell ref="Q60:R60"/>
    <mergeCell ref="B68:D68"/>
    <mergeCell ref="E68:E70"/>
    <mergeCell ref="F68:F70"/>
    <mergeCell ref="G68:G70"/>
    <mergeCell ref="H68:H70"/>
    <mergeCell ref="L68:L70"/>
    <mergeCell ref="M68:M70"/>
    <mergeCell ref="N68:N70"/>
    <mergeCell ref="Q68:S68"/>
    <mergeCell ref="T68:T70"/>
    <mergeCell ref="U68:U70"/>
    <mergeCell ref="V68:V70"/>
    <mergeCell ref="W68:W70"/>
    <mergeCell ref="AA68:AA70"/>
    <mergeCell ref="AB68:AB70"/>
    <mergeCell ref="AC68:AC70"/>
    <mergeCell ref="B69:D69"/>
    <mergeCell ref="Q69:S69"/>
    <mergeCell ref="B70:D70"/>
    <mergeCell ref="Q70:S70"/>
    <mergeCell ref="B86:D86"/>
    <mergeCell ref="Q86:S86"/>
    <mergeCell ref="B87:C87"/>
    <mergeCell ref="Q87:R87"/>
    <mergeCell ref="B88:D88"/>
    <mergeCell ref="Q88:S88"/>
    <mergeCell ref="B89:C89"/>
    <mergeCell ref="Q89:R89"/>
    <mergeCell ref="A71:D71"/>
    <mergeCell ref="P71:S71"/>
    <mergeCell ref="B82:D82"/>
    <mergeCell ref="Q82:S82"/>
    <mergeCell ref="B83:C83"/>
    <mergeCell ref="Q83:R83"/>
    <mergeCell ref="B84:D84"/>
    <mergeCell ref="Q84:S84"/>
    <mergeCell ref="B85:C85"/>
    <mergeCell ref="Q85:R85"/>
  </mergeCells>
  <dataValidations count="1">
    <dataValidation type="list" allowBlank="1" showInputMessage="1" showErrorMessage="1" sqref="B10:D12 Q10:S12 B39:D41 Q39:S41 Q68:S70 B68:D70">
      <formula1>項目!$G$1:$G$33</formula1>
    </dataValidation>
  </dataValidations>
  <printOptions/>
  <pageMargins left="0" right="0" top="0" bottom="0" header="0.5118110236220472" footer="0.5118110236220472"/>
  <pageSetup fitToHeight="1" fitToWidth="1" horizontalDpi="600" verticalDpi="600" orientation="landscape" paperSize="9" scale="5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62"/>
  <sheetViews>
    <sheetView tabSelected="1" zoomScale="55" zoomScaleNormal="55" workbookViewId="0" topLeftCell="A1">
      <selection activeCell="A2" sqref="A2"/>
    </sheetView>
  </sheetViews>
  <sheetFormatPr defaultColWidth="7.625" defaultRowHeight="30" customHeight="1"/>
  <cols>
    <col min="1" max="20" width="7.625" style="6" customWidth="1"/>
    <col min="21" max="35" width="9.00390625" style="6" customWidth="1"/>
    <col min="36" max="16384" width="7.625" style="6" customWidth="1"/>
  </cols>
  <sheetData>
    <row r="1" spans="2:35" ht="30" customHeight="1">
      <c r="B1" s="180" t="s">
        <v>609</v>
      </c>
      <c r="H1" s="180" t="s">
        <v>610</v>
      </c>
      <c r="M1" s="344" t="s">
        <v>611</v>
      </c>
      <c r="X1" s="835" t="s">
        <v>489</v>
      </c>
      <c r="Y1" s="836"/>
      <c r="Z1" s="836"/>
      <c r="AA1" s="836"/>
      <c r="AB1" s="836"/>
      <c r="AC1" s="836"/>
      <c r="AD1" s="836"/>
      <c r="AE1" s="836"/>
      <c r="AF1" s="836"/>
      <c r="AG1" s="836"/>
      <c r="AH1" s="836"/>
      <c r="AI1" s="837"/>
    </row>
    <row r="2" spans="3:35" ht="30" customHeight="1">
      <c r="C2" s="187"/>
      <c r="X2" s="838"/>
      <c r="Y2" s="839"/>
      <c r="Z2" s="839"/>
      <c r="AA2" s="839"/>
      <c r="AB2" s="839"/>
      <c r="AC2" s="839"/>
      <c r="AD2" s="839"/>
      <c r="AE2" s="839"/>
      <c r="AF2" s="839"/>
      <c r="AG2" s="839"/>
      <c r="AH2" s="839"/>
      <c r="AI2" s="840"/>
    </row>
    <row r="3" spans="5:35" ht="30" customHeight="1">
      <c r="E3" s="841" t="s">
        <v>612</v>
      </c>
      <c r="F3" s="842"/>
      <c r="G3" s="843" t="s">
        <v>28</v>
      </c>
      <c r="H3" s="844"/>
      <c r="I3" s="844"/>
      <c r="J3" s="844"/>
      <c r="K3" s="844"/>
      <c r="L3" s="845"/>
      <c r="M3" s="51"/>
      <c r="N3" s="846" t="s">
        <v>613</v>
      </c>
      <c r="O3" s="846"/>
      <c r="V3" s="847" t="s">
        <v>491</v>
      </c>
      <c r="W3" s="848"/>
      <c r="X3" s="849" t="s">
        <v>492</v>
      </c>
      <c r="Y3" s="850"/>
      <c r="Z3" s="850"/>
      <c r="AA3" s="850"/>
      <c r="AB3" s="850"/>
      <c r="AC3" s="851"/>
      <c r="AD3" s="849" t="s">
        <v>493</v>
      </c>
      <c r="AE3" s="850"/>
      <c r="AF3" s="850"/>
      <c r="AG3" s="850"/>
      <c r="AH3" s="850"/>
      <c r="AI3" s="851"/>
    </row>
    <row r="4" spans="2:35" ht="30" customHeight="1">
      <c r="B4" s="344"/>
      <c r="I4" s="346"/>
      <c r="J4" s="347"/>
      <c r="K4" s="51"/>
      <c r="L4" s="51"/>
      <c r="M4" s="51"/>
      <c r="N4" s="348" t="s">
        <v>614</v>
      </c>
      <c r="O4" s="855" t="s">
        <v>22</v>
      </c>
      <c r="P4" s="855"/>
      <c r="Q4" s="349"/>
      <c r="R4" s="349"/>
      <c r="S4" s="349"/>
      <c r="V4" s="847"/>
      <c r="W4" s="848"/>
      <c r="X4" s="852"/>
      <c r="Y4" s="853"/>
      <c r="Z4" s="853"/>
      <c r="AA4" s="853"/>
      <c r="AB4" s="853"/>
      <c r="AC4" s="854"/>
      <c r="AD4" s="852"/>
      <c r="AE4" s="853"/>
      <c r="AF4" s="853"/>
      <c r="AG4" s="853"/>
      <c r="AH4" s="853"/>
      <c r="AI4" s="854"/>
    </row>
    <row r="5" spans="2:35" ht="30" customHeight="1">
      <c r="B5" s="344"/>
      <c r="I5" s="829" t="str">
        <f>AF27</f>
        <v>Match No：33
1　 前半 　1
1 　後半 　0</v>
      </c>
      <c r="J5" s="830"/>
      <c r="K5" s="51"/>
      <c r="L5" s="51"/>
      <c r="M5" s="51"/>
      <c r="O5" s="187"/>
      <c r="P5" s="350"/>
      <c r="Q5" s="350"/>
      <c r="R5" s="350"/>
      <c r="S5" s="350"/>
      <c r="V5" s="856" t="s">
        <v>496</v>
      </c>
      <c r="W5" s="857"/>
      <c r="X5" s="203"/>
      <c r="Y5" s="351"/>
      <c r="AA5" s="351"/>
      <c r="AB5" s="351"/>
      <c r="AC5" s="352"/>
      <c r="AD5" s="203"/>
      <c r="AE5" s="351"/>
      <c r="AG5" s="351"/>
      <c r="AH5" s="351"/>
      <c r="AI5" s="352"/>
    </row>
    <row r="6" spans="2:35" ht="30" customHeight="1">
      <c r="B6" s="344"/>
      <c r="I6" s="831"/>
      <c r="J6" s="832"/>
      <c r="K6" s="51"/>
      <c r="L6" s="353"/>
      <c r="M6" s="51"/>
      <c r="N6" s="846" t="s">
        <v>615</v>
      </c>
      <c r="O6" s="846"/>
      <c r="V6" s="848"/>
      <c r="W6" s="858"/>
      <c r="X6" s="354"/>
      <c r="Y6" s="355"/>
      <c r="Z6" s="355"/>
      <c r="AA6" s="355"/>
      <c r="AB6" s="355"/>
      <c r="AC6" s="356"/>
      <c r="AD6" s="354"/>
      <c r="AE6" s="355"/>
      <c r="AF6" s="355"/>
      <c r="AG6" s="355"/>
      <c r="AH6" s="355"/>
      <c r="AI6" s="356"/>
    </row>
    <row r="7" spans="2:35" ht="30" customHeight="1">
      <c r="B7" s="344"/>
      <c r="I7" s="831"/>
      <c r="J7" s="832"/>
      <c r="K7" s="51"/>
      <c r="L7" s="51"/>
      <c r="M7" s="51"/>
      <c r="N7" s="357" t="s">
        <v>614</v>
      </c>
      <c r="O7" s="344" t="s">
        <v>20</v>
      </c>
      <c r="P7" s="349"/>
      <c r="Q7" s="349"/>
      <c r="R7" s="349"/>
      <c r="S7" s="349"/>
      <c r="V7" s="848" t="s">
        <v>503</v>
      </c>
      <c r="W7" s="858"/>
      <c r="X7" s="358"/>
      <c r="Y7" s="359"/>
      <c r="Z7" s="360"/>
      <c r="AA7" s="359"/>
      <c r="AB7" s="359"/>
      <c r="AC7" s="361"/>
      <c r="AD7" s="212"/>
      <c r="AE7" s="360"/>
      <c r="AF7" s="360"/>
      <c r="AG7" s="360"/>
      <c r="AH7" s="359"/>
      <c r="AI7" s="361"/>
    </row>
    <row r="8" spans="2:35" ht="30" customHeight="1">
      <c r="B8" s="344"/>
      <c r="I8" s="833"/>
      <c r="J8" s="834"/>
      <c r="K8" s="51"/>
      <c r="L8" s="51"/>
      <c r="M8" s="51"/>
      <c r="N8" s="357" t="s">
        <v>614</v>
      </c>
      <c r="O8" s="344" t="s">
        <v>35</v>
      </c>
      <c r="P8" s="349"/>
      <c r="Q8" s="349"/>
      <c r="R8" s="349"/>
      <c r="S8" s="349"/>
      <c r="V8" s="848"/>
      <c r="W8" s="858"/>
      <c r="X8" s="354"/>
      <c r="Y8" s="355"/>
      <c r="Z8" s="355"/>
      <c r="AA8" s="355"/>
      <c r="AB8" s="355"/>
      <c r="AC8" s="356"/>
      <c r="AD8" s="354"/>
      <c r="AE8" s="355"/>
      <c r="AF8" s="355"/>
      <c r="AG8" s="355"/>
      <c r="AH8" s="355"/>
      <c r="AI8" s="356"/>
    </row>
    <row r="9" spans="2:35" ht="30" customHeight="1">
      <c r="B9" s="187"/>
      <c r="E9" s="362"/>
      <c r="F9" s="363">
        <v>2</v>
      </c>
      <c r="G9" s="364"/>
      <c r="H9" s="364"/>
      <c r="I9" s="365"/>
      <c r="J9" s="347"/>
      <c r="K9" s="51"/>
      <c r="L9" s="51"/>
      <c r="M9" s="350">
        <v>1</v>
      </c>
      <c r="U9" s="792" t="s">
        <v>90</v>
      </c>
      <c r="V9" s="784">
        <v>0.3958333333333333</v>
      </c>
      <c r="W9" s="785"/>
      <c r="X9" s="793" t="s">
        <v>616</v>
      </c>
      <c r="Y9" s="794"/>
      <c r="Z9" s="802" t="s">
        <v>617</v>
      </c>
      <c r="AA9" s="802"/>
      <c r="AB9" s="794" t="s">
        <v>618</v>
      </c>
      <c r="AC9" s="800"/>
      <c r="AD9" s="793" t="s">
        <v>619</v>
      </c>
      <c r="AE9" s="794"/>
      <c r="AF9" s="802" t="s">
        <v>620</v>
      </c>
      <c r="AG9" s="802"/>
      <c r="AH9" s="794" t="s">
        <v>621</v>
      </c>
      <c r="AI9" s="800"/>
    </row>
    <row r="10" spans="2:35" ht="30" customHeight="1">
      <c r="B10" s="187"/>
      <c r="F10" s="366"/>
      <c r="I10" s="807" t="s">
        <v>622</v>
      </c>
      <c r="J10" s="825"/>
      <c r="K10" s="369"/>
      <c r="L10" s="369"/>
      <c r="M10" s="370"/>
      <c r="U10" s="792"/>
      <c r="V10" s="784"/>
      <c r="W10" s="785"/>
      <c r="X10" s="795"/>
      <c r="Y10" s="796"/>
      <c r="Z10" s="803"/>
      <c r="AA10" s="803"/>
      <c r="AB10" s="796"/>
      <c r="AC10" s="801"/>
      <c r="AD10" s="795"/>
      <c r="AE10" s="796"/>
      <c r="AF10" s="803"/>
      <c r="AG10" s="803"/>
      <c r="AH10" s="796"/>
      <c r="AI10" s="801"/>
    </row>
    <row r="11" spans="2:35" ht="30" customHeight="1">
      <c r="B11" s="187"/>
      <c r="F11" s="366"/>
      <c r="I11" s="807" t="s">
        <v>623</v>
      </c>
      <c r="J11" s="807"/>
      <c r="K11" s="51"/>
      <c r="L11" s="51"/>
      <c r="M11" s="371"/>
      <c r="N11" s="372"/>
      <c r="U11" s="792"/>
      <c r="V11" s="784"/>
      <c r="W11" s="785"/>
      <c r="X11" s="795" t="str">
        <f>B26</f>
        <v>明治</v>
      </c>
      <c r="Y11" s="796"/>
      <c r="Z11" s="803"/>
      <c r="AA11" s="803"/>
      <c r="AB11" s="796" t="str">
        <f>D26</f>
        <v>大分トリニータ</v>
      </c>
      <c r="AC11" s="801"/>
      <c r="AD11" s="795" t="str">
        <f>F26</f>
        <v>ＦＣ中津</v>
      </c>
      <c r="AE11" s="796"/>
      <c r="AF11" s="803"/>
      <c r="AG11" s="803"/>
      <c r="AH11" s="796" t="str">
        <f>H26</f>
        <v>ドリームキッズ</v>
      </c>
      <c r="AI11" s="801"/>
    </row>
    <row r="12" spans="2:35" ht="30" customHeight="1">
      <c r="B12" s="187"/>
      <c r="E12" s="805" t="s">
        <v>442</v>
      </c>
      <c r="F12" s="806"/>
      <c r="I12" s="367"/>
      <c r="J12" s="367"/>
      <c r="K12" s="51"/>
      <c r="L12" s="51"/>
      <c r="M12" s="805" t="s">
        <v>22</v>
      </c>
      <c r="N12" s="806"/>
      <c r="U12" s="792"/>
      <c r="V12" s="784"/>
      <c r="W12" s="785"/>
      <c r="X12" s="813"/>
      <c r="Y12" s="814"/>
      <c r="Z12" s="804"/>
      <c r="AA12" s="804"/>
      <c r="AB12" s="814"/>
      <c r="AC12" s="815"/>
      <c r="AD12" s="813"/>
      <c r="AE12" s="814"/>
      <c r="AF12" s="804"/>
      <c r="AG12" s="804"/>
      <c r="AH12" s="814"/>
      <c r="AI12" s="815"/>
    </row>
    <row r="13" spans="2:35" ht="30" customHeight="1">
      <c r="B13" s="187"/>
      <c r="E13" s="373"/>
      <c r="F13" s="374"/>
      <c r="I13" s="367"/>
      <c r="J13" s="367"/>
      <c r="K13" s="51"/>
      <c r="L13" s="51"/>
      <c r="M13" s="375"/>
      <c r="N13" s="376"/>
      <c r="U13" s="792" t="s">
        <v>92</v>
      </c>
      <c r="V13" s="784">
        <v>0.4305555555555556</v>
      </c>
      <c r="W13" s="785"/>
      <c r="X13" s="793" t="s">
        <v>624</v>
      </c>
      <c r="Y13" s="794"/>
      <c r="Z13" s="802" t="s">
        <v>625</v>
      </c>
      <c r="AA13" s="802"/>
      <c r="AB13" s="794" t="s">
        <v>626</v>
      </c>
      <c r="AC13" s="800"/>
      <c r="AD13" s="793" t="s">
        <v>627</v>
      </c>
      <c r="AE13" s="794"/>
      <c r="AF13" s="802" t="s">
        <v>628</v>
      </c>
      <c r="AG13" s="802"/>
      <c r="AH13" s="794" t="s">
        <v>629</v>
      </c>
      <c r="AI13" s="800"/>
    </row>
    <row r="14" spans="2:35" ht="30" customHeight="1">
      <c r="B14" s="187"/>
      <c r="E14" s="829" t="str">
        <f>AF17</f>
        <v>Match No：29
0　 前半 　0
0 　後半 　0
2   ＰＫ   0</v>
      </c>
      <c r="F14" s="830"/>
      <c r="I14" s="367"/>
      <c r="J14" s="367"/>
      <c r="K14" s="51"/>
      <c r="L14" s="51"/>
      <c r="M14" s="829" t="str">
        <f>AF21</f>
        <v>Match No：31
1　 前半 　0
0 　後半 　0</v>
      </c>
      <c r="N14" s="830"/>
      <c r="U14" s="792"/>
      <c r="V14" s="784"/>
      <c r="W14" s="785"/>
      <c r="X14" s="795"/>
      <c r="Y14" s="796"/>
      <c r="Z14" s="803"/>
      <c r="AA14" s="803"/>
      <c r="AB14" s="796"/>
      <c r="AC14" s="801"/>
      <c r="AD14" s="795"/>
      <c r="AE14" s="796"/>
      <c r="AF14" s="803"/>
      <c r="AG14" s="803"/>
      <c r="AH14" s="796"/>
      <c r="AI14" s="801"/>
    </row>
    <row r="15" spans="2:35" ht="30" customHeight="1">
      <c r="B15" s="187"/>
      <c r="E15" s="831"/>
      <c r="F15" s="832"/>
      <c r="I15" s="367"/>
      <c r="J15" s="367"/>
      <c r="K15" s="51"/>
      <c r="L15" s="51"/>
      <c r="M15" s="831"/>
      <c r="N15" s="832"/>
      <c r="U15" s="792"/>
      <c r="V15" s="784"/>
      <c r="W15" s="785"/>
      <c r="X15" s="795" t="str">
        <f>J26</f>
        <v>下毛ＦＣ</v>
      </c>
      <c r="Y15" s="796"/>
      <c r="Z15" s="803"/>
      <c r="AA15" s="803"/>
      <c r="AB15" s="796" t="str">
        <f>L26</f>
        <v>横瀬</v>
      </c>
      <c r="AC15" s="801"/>
      <c r="AD15" s="795" t="str">
        <f>N26</f>
        <v>ＫＩＮＧＳ</v>
      </c>
      <c r="AE15" s="796"/>
      <c r="AF15" s="803"/>
      <c r="AG15" s="803"/>
      <c r="AH15" s="796" t="str">
        <f>P26</f>
        <v>太陽ＳＣ大分西</v>
      </c>
      <c r="AI15" s="801"/>
    </row>
    <row r="16" spans="2:35" ht="30" customHeight="1">
      <c r="B16" s="187"/>
      <c r="E16" s="831"/>
      <c r="F16" s="832"/>
      <c r="I16" s="367"/>
      <c r="J16" s="367"/>
      <c r="K16" s="51"/>
      <c r="L16" s="51"/>
      <c r="M16" s="831"/>
      <c r="N16" s="832"/>
      <c r="U16" s="792"/>
      <c r="V16" s="784"/>
      <c r="W16" s="785"/>
      <c r="X16" s="813"/>
      <c r="Y16" s="814"/>
      <c r="Z16" s="804"/>
      <c r="AA16" s="804"/>
      <c r="AB16" s="814"/>
      <c r="AC16" s="815"/>
      <c r="AD16" s="813"/>
      <c r="AE16" s="814"/>
      <c r="AF16" s="804"/>
      <c r="AG16" s="804"/>
      <c r="AH16" s="814"/>
      <c r="AI16" s="815"/>
    </row>
    <row r="17" spans="2:35" ht="30" customHeight="1">
      <c r="B17" s="187"/>
      <c r="E17" s="833"/>
      <c r="F17" s="834"/>
      <c r="I17" s="367"/>
      <c r="J17" s="367"/>
      <c r="K17" s="51"/>
      <c r="L17" s="51"/>
      <c r="M17" s="833"/>
      <c r="N17" s="834"/>
      <c r="U17" s="792" t="s">
        <v>94</v>
      </c>
      <c r="V17" s="784">
        <v>0.46527777777777773</v>
      </c>
      <c r="W17" s="785"/>
      <c r="X17" s="793" t="s">
        <v>630</v>
      </c>
      <c r="Y17" s="794"/>
      <c r="Z17" s="802" t="s">
        <v>631</v>
      </c>
      <c r="AA17" s="802"/>
      <c r="AB17" s="794" t="s">
        <v>632</v>
      </c>
      <c r="AC17" s="800"/>
      <c r="AD17" s="793" t="s">
        <v>633</v>
      </c>
      <c r="AE17" s="794"/>
      <c r="AF17" s="802" t="s">
        <v>634</v>
      </c>
      <c r="AG17" s="802"/>
      <c r="AH17" s="794" t="s">
        <v>635</v>
      </c>
      <c r="AI17" s="800"/>
    </row>
    <row r="18" spans="3:35" ht="30" customHeight="1">
      <c r="C18" s="51"/>
      <c r="D18" s="363">
        <v>0</v>
      </c>
      <c r="E18" s="377" t="s">
        <v>636</v>
      </c>
      <c r="F18" s="378" t="s">
        <v>637</v>
      </c>
      <c r="G18" s="350">
        <v>0</v>
      </c>
      <c r="H18" s="367"/>
      <c r="I18" s="367"/>
      <c r="J18" s="367"/>
      <c r="K18" s="367"/>
      <c r="L18" s="363">
        <v>1</v>
      </c>
      <c r="M18" s="365"/>
      <c r="N18" s="379"/>
      <c r="O18" s="350">
        <v>0</v>
      </c>
      <c r="U18" s="792"/>
      <c r="V18" s="784"/>
      <c r="W18" s="785"/>
      <c r="X18" s="795"/>
      <c r="Y18" s="796"/>
      <c r="Z18" s="803"/>
      <c r="AA18" s="803"/>
      <c r="AB18" s="796"/>
      <c r="AC18" s="801"/>
      <c r="AD18" s="795"/>
      <c r="AE18" s="796"/>
      <c r="AF18" s="803"/>
      <c r="AG18" s="803"/>
      <c r="AH18" s="796"/>
      <c r="AI18" s="801"/>
    </row>
    <row r="19" spans="2:35" ht="30" customHeight="1">
      <c r="B19" s="380"/>
      <c r="C19" s="367"/>
      <c r="D19" s="381"/>
      <c r="E19" s="807" t="s">
        <v>638</v>
      </c>
      <c r="F19" s="825"/>
      <c r="G19" s="368"/>
      <c r="H19" s="381"/>
      <c r="I19" s="367"/>
      <c r="J19" s="380"/>
      <c r="K19" s="380"/>
      <c r="L19" s="381"/>
      <c r="M19" s="807" t="s">
        <v>639</v>
      </c>
      <c r="N19" s="825"/>
      <c r="O19" s="368"/>
      <c r="P19" s="381"/>
      <c r="Q19" s="380"/>
      <c r="U19" s="792"/>
      <c r="V19" s="784"/>
      <c r="W19" s="785"/>
      <c r="X19" s="795" t="str">
        <f>C28</f>
        <v>明治</v>
      </c>
      <c r="Y19" s="796"/>
      <c r="Z19" s="803"/>
      <c r="AA19" s="803"/>
      <c r="AB19" s="796" t="str">
        <f>G28</f>
        <v>ドリームキッズ</v>
      </c>
      <c r="AC19" s="801"/>
      <c r="AD19" s="795" t="str">
        <f>C21</f>
        <v>大分トリニータ</v>
      </c>
      <c r="AE19" s="796"/>
      <c r="AF19" s="803"/>
      <c r="AG19" s="803"/>
      <c r="AH19" s="796" t="str">
        <f>G21</f>
        <v>ＦＣ中津</v>
      </c>
      <c r="AI19" s="801"/>
    </row>
    <row r="20" spans="2:35" ht="30" customHeight="1">
      <c r="B20" s="380"/>
      <c r="C20" s="367"/>
      <c r="D20" s="381"/>
      <c r="E20" s="807" t="s">
        <v>640</v>
      </c>
      <c r="F20" s="807"/>
      <c r="G20" s="367"/>
      <c r="H20" s="381"/>
      <c r="I20" s="367"/>
      <c r="J20" s="380"/>
      <c r="K20" s="380"/>
      <c r="L20" s="381"/>
      <c r="M20" s="807" t="s">
        <v>641</v>
      </c>
      <c r="N20" s="807"/>
      <c r="O20" s="367"/>
      <c r="P20" s="381"/>
      <c r="Q20" s="380"/>
      <c r="U20" s="792"/>
      <c r="V20" s="784"/>
      <c r="W20" s="785"/>
      <c r="X20" s="813"/>
      <c r="Y20" s="814"/>
      <c r="Z20" s="804"/>
      <c r="AA20" s="804"/>
      <c r="AB20" s="814"/>
      <c r="AC20" s="815"/>
      <c r="AD20" s="813"/>
      <c r="AE20" s="814"/>
      <c r="AF20" s="804"/>
      <c r="AG20" s="804"/>
      <c r="AH20" s="814"/>
      <c r="AI20" s="815"/>
    </row>
    <row r="21" spans="3:35" ht="30" customHeight="1">
      <c r="C21" s="805" t="s">
        <v>442</v>
      </c>
      <c r="D21" s="806"/>
      <c r="E21" s="51"/>
      <c r="F21" s="51"/>
      <c r="G21" s="805" t="s">
        <v>463</v>
      </c>
      <c r="H21" s="806"/>
      <c r="I21" s="51"/>
      <c r="K21" s="805" t="s">
        <v>22</v>
      </c>
      <c r="L21" s="806"/>
      <c r="M21" s="51"/>
      <c r="N21" s="51"/>
      <c r="O21" s="805" t="s">
        <v>469</v>
      </c>
      <c r="P21" s="806"/>
      <c r="U21" s="792" t="s">
        <v>96</v>
      </c>
      <c r="V21" s="784">
        <v>0.5</v>
      </c>
      <c r="W21" s="785"/>
      <c r="X21" s="793" t="s">
        <v>642</v>
      </c>
      <c r="Y21" s="794"/>
      <c r="Z21" s="802" t="s">
        <v>643</v>
      </c>
      <c r="AA21" s="802"/>
      <c r="AB21" s="794" t="s">
        <v>644</v>
      </c>
      <c r="AC21" s="800"/>
      <c r="AD21" s="793" t="s">
        <v>645</v>
      </c>
      <c r="AE21" s="794"/>
      <c r="AF21" s="802" t="s">
        <v>646</v>
      </c>
      <c r="AG21" s="802"/>
      <c r="AH21" s="794" t="s">
        <v>647</v>
      </c>
      <c r="AI21" s="800"/>
    </row>
    <row r="22" spans="3:35" ht="30" customHeight="1">
      <c r="C22" s="362">
        <v>1</v>
      </c>
      <c r="D22" s="382">
        <v>4</v>
      </c>
      <c r="E22" s="350"/>
      <c r="F22" s="350"/>
      <c r="G22" s="363">
        <v>1</v>
      </c>
      <c r="H22" s="383">
        <v>0</v>
      </c>
      <c r="I22" s="384"/>
      <c r="J22" s="350"/>
      <c r="K22" s="363" t="s">
        <v>648</v>
      </c>
      <c r="L22" s="385" t="s">
        <v>649</v>
      </c>
      <c r="M22" s="350"/>
      <c r="N22" s="350"/>
      <c r="O22" s="362" t="s">
        <v>650</v>
      </c>
      <c r="P22" s="386" t="s">
        <v>520</v>
      </c>
      <c r="U22" s="792"/>
      <c r="V22" s="784"/>
      <c r="W22" s="785"/>
      <c r="X22" s="795"/>
      <c r="Y22" s="796"/>
      <c r="Z22" s="803"/>
      <c r="AA22" s="803"/>
      <c r="AB22" s="796"/>
      <c r="AC22" s="801"/>
      <c r="AD22" s="795"/>
      <c r="AE22" s="796"/>
      <c r="AF22" s="803"/>
      <c r="AG22" s="803"/>
      <c r="AH22" s="796"/>
      <c r="AI22" s="801"/>
    </row>
    <row r="23" spans="2:35" ht="30" customHeight="1">
      <c r="B23" s="380"/>
      <c r="C23" s="822" t="s">
        <v>651</v>
      </c>
      <c r="D23" s="807"/>
      <c r="E23" s="381"/>
      <c r="F23" s="380"/>
      <c r="G23" s="823" t="s">
        <v>652</v>
      </c>
      <c r="H23" s="824"/>
      <c r="I23" s="367"/>
      <c r="J23" s="380"/>
      <c r="K23" s="823" t="s">
        <v>653</v>
      </c>
      <c r="L23" s="825"/>
      <c r="M23" s="387"/>
      <c r="N23" s="367"/>
      <c r="O23" s="822" t="s">
        <v>654</v>
      </c>
      <c r="P23" s="807"/>
      <c r="Q23" s="381"/>
      <c r="U23" s="792"/>
      <c r="V23" s="784"/>
      <c r="W23" s="785"/>
      <c r="X23" s="795" t="str">
        <f>K28</f>
        <v>横瀬</v>
      </c>
      <c r="Y23" s="796"/>
      <c r="Z23" s="803"/>
      <c r="AA23" s="803"/>
      <c r="AB23" s="796" t="str">
        <f>O28</f>
        <v>ＫＩＮＧＳ</v>
      </c>
      <c r="AC23" s="801"/>
      <c r="AD23" s="795" t="str">
        <f>K21</f>
        <v>下毛ＦＣ</v>
      </c>
      <c r="AE23" s="796"/>
      <c r="AF23" s="803"/>
      <c r="AG23" s="803"/>
      <c r="AH23" s="796" t="str">
        <f>O21</f>
        <v>太陽ＳＣ大分西</v>
      </c>
      <c r="AI23" s="801"/>
    </row>
    <row r="24" spans="2:35" s="187" customFormat="1" ht="30" customHeight="1">
      <c r="B24" s="6"/>
      <c r="C24" s="826" t="s">
        <v>655</v>
      </c>
      <c r="D24" s="816"/>
      <c r="E24" s="388"/>
      <c r="F24" s="51"/>
      <c r="G24" s="827" t="s">
        <v>656</v>
      </c>
      <c r="H24" s="828"/>
      <c r="I24" s="389"/>
      <c r="J24" s="372"/>
      <c r="K24" s="827" t="s">
        <v>657</v>
      </c>
      <c r="L24" s="816"/>
      <c r="M24" s="390"/>
      <c r="N24" s="372"/>
      <c r="O24" s="826" t="s">
        <v>658</v>
      </c>
      <c r="P24" s="816"/>
      <c r="Q24" s="388"/>
      <c r="U24" s="792"/>
      <c r="V24" s="784"/>
      <c r="W24" s="785"/>
      <c r="X24" s="813"/>
      <c r="Y24" s="814"/>
      <c r="Z24" s="804"/>
      <c r="AA24" s="804"/>
      <c r="AB24" s="814"/>
      <c r="AC24" s="815"/>
      <c r="AD24" s="813"/>
      <c r="AE24" s="814"/>
      <c r="AF24" s="804"/>
      <c r="AG24" s="804"/>
      <c r="AH24" s="814"/>
      <c r="AI24" s="815"/>
    </row>
    <row r="25" spans="2:35" ht="30" customHeight="1">
      <c r="B25" s="819" t="s">
        <v>616</v>
      </c>
      <c r="C25" s="820"/>
      <c r="D25" s="819" t="s">
        <v>618</v>
      </c>
      <c r="E25" s="820"/>
      <c r="F25" s="819" t="s">
        <v>619</v>
      </c>
      <c r="G25" s="821"/>
      <c r="H25" s="819" t="s">
        <v>621</v>
      </c>
      <c r="I25" s="821"/>
      <c r="J25" s="819" t="s">
        <v>624</v>
      </c>
      <c r="K25" s="821"/>
      <c r="L25" s="819" t="s">
        <v>626</v>
      </c>
      <c r="M25" s="821"/>
      <c r="N25" s="819" t="s">
        <v>627</v>
      </c>
      <c r="O25" s="821"/>
      <c r="P25" s="819" t="s">
        <v>629</v>
      </c>
      <c r="Q25" s="821"/>
      <c r="V25" s="784">
        <v>0.5347222222222222</v>
      </c>
      <c r="W25" s="785"/>
      <c r="X25" s="786" t="s">
        <v>659</v>
      </c>
      <c r="Y25" s="787"/>
      <c r="Z25" s="787"/>
      <c r="AA25" s="787"/>
      <c r="AB25" s="787"/>
      <c r="AC25" s="787"/>
      <c r="AD25" s="787"/>
      <c r="AE25" s="787"/>
      <c r="AF25" s="787"/>
      <c r="AG25" s="787"/>
      <c r="AH25" s="787"/>
      <c r="AI25" s="788"/>
    </row>
    <row r="26" spans="2:35" ht="30" customHeight="1">
      <c r="B26" s="817" t="str">
        <f>'予選リーグ (2)'!A50</f>
        <v>明治</v>
      </c>
      <c r="C26" s="818"/>
      <c r="D26" s="817" t="str">
        <f>'予選リーグ (2)'!AC48</f>
        <v>大分トリニータ</v>
      </c>
      <c r="E26" s="818"/>
      <c r="F26" s="817" t="str">
        <f>'予選リーグ (2)'!A54</f>
        <v>ＦＣ中津</v>
      </c>
      <c r="G26" s="818"/>
      <c r="H26" s="817" t="str">
        <f>'予選リーグ (2)'!AC56</f>
        <v>ドリームキッズ</v>
      </c>
      <c r="I26" s="818"/>
      <c r="J26" s="817" t="str">
        <f>'予選リーグ (2)'!A66</f>
        <v>下毛ＦＣ</v>
      </c>
      <c r="K26" s="818"/>
      <c r="L26" s="817" t="str">
        <f>'予選リーグ (2)'!AC64</f>
        <v>横瀬</v>
      </c>
      <c r="M26" s="818"/>
      <c r="N26" s="817" t="str">
        <f>'予選リーグ (2)'!A72</f>
        <v>ＫＩＮＧＳ</v>
      </c>
      <c r="O26" s="818"/>
      <c r="P26" s="817" t="str">
        <f>'予選リーグ (2)'!AC74</f>
        <v>太陽ＳＣ大分西</v>
      </c>
      <c r="Q26" s="818"/>
      <c r="U26" s="187"/>
      <c r="V26" s="784"/>
      <c r="W26" s="785"/>
      <c r="X26" s="789"/>
      <c r="Y26" s="790"/>
      <c r="Z26" s="790"/>
      <c r="AA26" s="790"/>
      <c r="AB26" s="790"/>
      <c r="AC26" s="790"/>
      <c r="AD26" s="790"/>
      <c r="AE26" s="790"/>
      <c r="AF26" s="790"/>
      <c r="AG26" s="790"/>
      <c r="AH26" s="790"/>
      <c r="AI26" s="791"/>
    </row>
    <row r="27" spans="21:35" ht="30" customHeight="1">
      <c r="U27" s="792" t="s">
        <v>98</v>
      </c>
      <c r="V27" s="784">
        <v>0.5902777777777778</v>
      </c>
      <c r="W27" s="785"/>
      <c r="X27" s="793"/>
      <c r="Y27" s="794"/>
      <c r="Z27" s="797"/>
      <c r="AA27" s="797"/>
      <c r="AB27" s="794"/>
      <c r="AC27" s="800"/>
      <c r="AD27" s="793" t="s">
        <v>660</v>
      </c>
      <c r="AE27" s="794"/>
      <c r="AF27" s="802" t="s">
        <v>661</v>
      </c>
      <c r="AG27" s="802"/>
      <c r="AH27" s="794" t="s">
        <v>662</v>
      </c>
      <c r="AI27" s="800"/>
    </row>
    <row r="28" spans="2:35" ht="30" customHeight="1">
      <c r="B28" s="391"/>
      <c r="C28" s="805" t="s">
        <v>443</v>
      </c>
      <c r="D28" s="806"/>
      <c r="E28" s="51"/>
      <c r="F28" s="51"/>
      <c r="G28" s="805" t="s">
        <v>445</v>
      </c>
      <c r="H28" s="806"/>
      <c r="I28" s="51"/>
      <c r="K28" s="805" t="s">
        <v>434</v>
      </c>
      <c r="L28" s="806"/>
      <c r="M28" s="51"/>
      <c r="N28" s="51"/>
      <c r="O28" s="805" t="s">
        <v>436</v>
      </c>
      <c r="P28" s="806"/>
      <c r="Q28" s="51"/>
      <c r="U28" s="792"/>
      <c r="V28" s="784"/>
      <c r="W28" s="785"/>
      <c r="X28" s="795"/>
      <c r="Y28" s="796"/>
      <c r="Z28" s="798"/>
      <c r="AA28" s="798"/>
      <c r="AB28" s="796"/>
      <c r="AC28" s="801"/>
      <c r="AD28" s="795"/>
      <c r="AE28" s="796"/>
      <c r="AF28" s="803"/>
      <c r="AG28" s="803"/>
      <c r="AH28" s="796"/>
      <c r="AI28" s="801"/>
    </row>
    <row r="29" spans="4:35" ht="30" customHeight="1">
      <c r="D29" s="392"/>
      <c r="E29" s="807" t="s">
        <v>663</v>
      </c>
      <c r="F29" s="807"/>
      <c r="H29" s="366"/>
      <c r="L29" s="392"/>
      <c r="M29" s="807" t="s">
        <v>664</v>
      </c>
      <c r="N29" s="807"/>
      <c r="P29" s="366"/>
      <c r="U29" s="792"/>
      <c r="V29" s="784"/>
      <c r="W29" s="785"/>
      <c r="X29" s="808"/>
      <c r="Y29" s="792"/>
      <c r="Z29" s="798"/>
      <c r="AA29" s="798"/>
      <c r="AB29" s="792"/>
      <c r="AC29" s="811"/>
      <c r="AD29" s="795" t="str">
        <f>E12</f>
        <v>大分トリニータ</v>
      </c>
      <c r="AE29" s="796"/>
      <c r="AF29" s="803"/>
      <c r="AG29" s="803"/>
      <c r="AH29" s="796" t="str">
        <f>M12</f>
        <v>下毛ＦＣ</v>
      </c>
      <c r="AI29" s="801"/>
    </row>
    <row r="30" spans="4:35" ht="30" customHeight="1">
      <c r="D30" s="393"/>
      <c r="E30" s="816" t="s">
        <v>665</v>
      </c>
      <c r="F30" s="807"/>
      <c r="H30" s="366"/>
      <c r="L30" s="393"/>
      <c r="M30" s="816" t="s">
        <v>666</v>
      </c>
      <c r="N30" s="807"/>
      <c r="P30" s="366"/>
      <c r="U30" s="792"/>
      <c r="V30" s="784"/>
      <c r="W30" s="785"/>
      <c r="X30" s="809"/>
      <c r="Y30" s="810"/>
      <c r="Z30" s="799"/>
      <c r="AA30" s="799"/>
      <c r="AB30" s="810"/>
      <c r="AC30" s="812"/>
      <c r="AD30" s="813"/>
      <c r="AE30" s="814"/>
      <c r="AF30" s="804"/>
      <c r="AG30" s="804"/>
      <c r="AH30" s="814"/>
      <c r="AI30" s="815"/>
    </row>
    <row r="31" spans="4:35" ht="30" customHeight="1">
      <c r="D31" s="362">
        <v>1</v>
      </c>
      <c r="F31" s="394"/>
      <c r="G31" s="395">
        <v>2</v>
      </c>
      <c r="L31" s="362">
        <v>0</v>
      </c>
      <c r="N31" s="394"/>
      <c r="O31" s="395">
        <v>2</v>
      </c>
      <c r="V31" s="784">
        <v>0.625</v>
      </c>
      <c r="W31" s="785"/>
      <c r="X31" s="786" t="s">
        <v>667</v>
      </c>
      <c r="Y31" s="787"/>
      <c r="Z31" s="787"/>
      <c r="AA31" s="787"/>
      <c r="AB31" s="787"/>
      <c r="AC31" s="787"/>
      <c r="AD31" s="787"/>
      <c r="AE31" s="787"/>
      <c r="AF31" s="787"/>
      <c r="AG31" s="787"/>
      <c r="AH31" s="787"/>
      <c r="AI31" s="788"/>
    </row>
    <row r="32" spans="21:35" ht="30" customHeight="1">
      <c r="U32" s="51"/>
      <c r="V32" s="784"/>
      <c r="W32" s="785"/>
      <c r="X32" s="789"/>
      <c r="Y32" s="790"/>
      <c r="Z32" s="790"/>
      <c r="AA32" s="790"/>
      <c r="AB32" s="790"/>
      <c r="AC32" s="790"/>
      <c r="AD32" s="790"/>
      <c r="AE32" s="790"/>
      <c r="AF32" s="790"/>
      <c r="AG32" s="790"/>
      <c r="AH32" s="790"/>
      <c r="AI32" s="791"/>
    </row>
    <row r="38" spans="1:16" s="380" customFormat="1" ht="30" customHeight="1">
      <c r="A38" s="6"/>
      <c r="B38" s="6"/>
      <c r="C38" s="6"/>
      <c r="D38" s="6"/>
      <c r="E38" s="6"/>
      <c r="F38" s="6"/>
      <c r="G38" s="6"/>
      <c r="H38" s="6"/>
      <c r="I38" s="6"/>
      <c r="J38" s="6"/>
      <c r="K38" s="6"/>
      <c r="L38" s="6"/>
      <c r="M38" s="6"/>
      <c r="N38" s="6"/>
      <c r="O38" s="6"/>
      <c r="P38" s="6"/>
    </row>
    <row r="41" spans="1:16" s="380" customFormat="1" ht="30" customHeight="1">
      <c r="A41" s="6"/>
      <c r="B41" s="6"/>
      <c r="C41" s="6"/>
      <c r="D41" s="6"/>
      <c r="E41" s="6"/>
      <c r="F41" s="6"/>
      <c r="G41" s="6"/>
      <c r="H41" s="6"/>
      <c r="I41" s="6"/>
      <c r="J41" s="6"/>
      <c r="K41" s="6"/>
      <c r="L41" s="6"/>
      <c r="M41" s="6"/>
      <c r="N41" s="6"/>
      <c r="O41" s="6"/>
      <c r="P41" s="6"/>
    </row>
    <row r="43" spans="20:21" ht="30" customHeight="1">
      <c r="T43" s="187"/>
      <c r="U43" s="187"/>
    </row>
    <row r="52" spans="19:21" ht="30" customHeight="1">
      <c r="S52" s="191"/>
      <c r="T52" s="396"/>
      <c r="U52" s="396"/>
    </row>
    <row r="53" spans="19:21" ht="30" customHeight="1">
      <c r="S53" s="221"/>
      <c r="T53" s="345"/>
      <c r="U53" s="345"/>
    </row>
    <row r="54" spans="19:21" ht="30" customHeight="1">
      <c r="S54" s="351"/>
      <c r="T54" s="345"/>
      <c r="U54" s="345"/>
    </row>
    <row r="55" spans="19:21" ht="30" customHeight="1">
      <c r="S55" s="397"/>
      <c r="T55" s="397"/>
      <c r="U55" s="397"/>
    </row>
    <row r="56" spans="19:21" ht="30" customHeight="1">
      <c r="S56" s="51"/>
      <c r="T56" s="51"/>
      <c r="U56" s="51"/>
    </row>
    <row r="57" spans="19:21" ht="30" customHeight="1">
      <c r="S57" s="51"/>
      <c r="T57" s="51"/>
      <c r="U57" s="51"/>
    </row>
    <row r="58" spans="19:21" ht="30" customHeight="1">
      <c r="S58" s="51"/>
      <c r="T58" s="51"/>
      <c r="U58" s="51"/>
    </row>
    <row r="59" spans="19:21" ht="30" customHeight="1">
      <c r="S59" s="51"/>
      <c r="T59" s="51"/>
      <c r="U59" s="51"/>
    </row>
    <row r="60" spans="19:21" ht="30" customHeight="1">
      <c r="S60" s="51"/>
      <c r="T60" s="51"/>
      <c r="U60" s="51"/>
    </row>
    <row r="61" spans="19:21" ht="30" customHeight="1">
      <c r="S61" s="51"/>
      <c r="T61" s="51"/>
      <c r="U61" s="51"/>
    </row>
    <row r="62" spans="19:21" ht="30" customHeight="1">
      <c r="S62" s="51"/>
      <c r="T62" s="51"/>
      <c r="U62" s="51"/>
    </row>
  </sheetData>
  <mergeCells count="122">
    <mergeCell ref="AH9:AI10"/>
    <mergeCell ref="I10:J10"/>
    <mergeCell ref="I11:J11"/>
    <mergeCell ref="X11:Y12"/>
    <mergeCell ref="AB11:AC12"/>
    <mergeCell ref="AD11:AE12"/>
    <mergeCell ref="AH11:AI12"/>
    <mergeCell ref="X1:AI2"/>
    <mergeCell ref="E3:F3"/>
    <mergeCell ref="G3:L3"/>
    <mergeCell ref="N3:O3"/>
    <mergeCell ref="V3:W4"/>
    <mergeCell ref="X3:AC4"/>
    <mergeCell ref="AD3:AI4"/>
    <mergeCell ref="O4:P4"/>
    <mergeCell ref="I5:J8"/>
    <mergeCell ref="V5:W6"/>
    <mergeCell ref="N6:O6"/>
    <mergeCell ref="V7:W8"/>
    <mergeCell ref="E12:F12"/>
    <mergeCell ref="M12:N12"/>
    <mergeCell ref="U13:U16"/>
    <mergeCell ref="V13:W16"/>
    <mergeCell ref="X13:Y14"/>
    <mergeCell ref="Z13:AA16"/>
    <mergeCell ref="AB13:AC14"/>
    <mergeCell ref="AD13:AE14"/>
    <mergeCell ref="AF13:AG16"/>
    <mergeCell ref="U9:U12"/>
    <mergeCell ref="V9:W12"/>
    <mergeCell ref="X9:Y10"/>
    <mergeCell ref="Z9:AA12"/>
    <mergeCell ref="AB9:AC10"/>
    <mergeCell ref="AD9:AE10"/>
    <mergeCell ref="AF9:AG12"/>
    <mergeCell ref="AH13:AI14"/>
    <mergeCell ref="E14:F17"/>
    <mergeCell ref="M14:N17"/>
    <mergeCell ref="X15:Y16"/>
    <mergeCell ref="AB15:AC16"/>
    <mergeCell ref="AD15:AE16"/>
    <mergeCell ref="AH15:AI16"/>
    <mergeCell ref="U17:U20"/>
    <mergeCell ref="V17:W20"/>
    <mergeCell ref="X17:Y18"/>
    <mergeCell ref="Z17:AA20"/>
    <mergeCell ref="AB17:AC18"/>
    <mergeCell ref="AD17:AE18"/>
    <mergeCell ref="AF17:AG20"/>
    <mergeCell ref="AH17:AI18"/>
    <mergeCell ref="E19:F19"/>
    <mergeCell ref="M19:N19"/>
    <mergeCell ref="X19:Y20"/>
    <mergeCell ref="AB19:AC20"/>
    <mergeCell ref="AD19:AE20"/>
    <mergeCell ref="AH19:AI20"/>
    <mergeCell ref="E20:F20"/>
    <mergeCell ref="M20:N20"/>
    <mergeCell ref="AD21:AE22"/>
    <mergeCell ref="AF21:AG24"/>
    <mergeCell ref="AH21:AI22"/>
    <mergeCell ref="C23:D23"/>
    <mergeCell ref="G23:H23"/>
    <mergeCell ref="K23:L23"/>
    <mergeCell ref="O23:P23"/>
    <mergeCell ref="X23:Y24"/>
    <mergeCell ref="AB23:AC24"/>
    <mergeCell ref="AD23:AE24"/>
    <mergeCell ref="AH23:AI24"/>
    <mergeCell ref="C24:D24"/>
    <mergeCell ref="G24:H24"/>
    <mergeCell ref="K24:L24"/>
    <mergeCell ref="O24:P24"/>
    <mergeCell ref="C21:D21"/>
    <mergeCell ref="G21:H21"/>
    <mergeCell ref="K21:L21"/>
    <mergeCell ref="O21:P21"/>
    <mergeCell ref="U21:U24"/>
    <mergeCell ref="V21:W24"/>
    <mergeCell ref="X21:Y22"/>
    <mergeCell ref="Z21:AA24"/>
    <mergeCell ref="AB21:AC22"/>
    <mergeCell ref="X25:AI26"/>
    <mergeCell ref="B26:C26"/>
    <mergeCell ref="D26:E26"/>
    <mergeCell ref="F26:G26"/>
    <mergeCell ref="H26:I26"/>
    <mergeCell ref="J26:K26"/>
    <mergeCell ref="L26:M26"/>
    <mergeCell ref="N26:O26"/>
    <mergeCell ref="P26:Q26"/>
    <mergeCell ref="B25:C25"/>
    <mergeCell ref="D25:E25"/>
    <mergeCell ref="F25:G25"/>
    <mergeCell ref="H25:I25"/>
    <mergeCell ref="J25:K25"/>
    <mergeCell ref="L25:M25"/>
    <mergeCell ref="N25:O25"/>
    <mergeCell ref="P25:Q25"/>
    <mergeCell ref="V25:W26"/>
    <mergeCell ref="C28:D28"/>
    <mergeCell ref="G28:H28"/>
    <mergeCell ref="K28:L28"/>
    <mergeCell ref="O28:P28"/>
    <mergeCell ref="E29:F29"/>
    <mergeCell ref="M29:N29"/>
    <mergeCell ref="X29:Y30"/>
    <mergeCell ref="AB29:AC30"/>
    <mergeCell ref="AD29:AE30"/>
    <mergeCell ref="E30:F30"/>
    <mergeCell ref="M30:N30"/>
    <mergeCell ref="V31:W32"/>
    <mergeCell ref="X31:AI32"/>
    <mergeCell ref="U27:U30"/>
    <mergeCell ref="V27:W30"/>
    <mergeCell ref="X27:Y28"/>
    <mergeCell ref="Z27:AA30"/>
    <mergeCell ref="AB27:AC28"/>
    <mergeCell ref="AD27:AE28"/>
    <mergeCell ref="AF27:AG30"/>
    <mergeCell ref="AH27:AI28"/>
    <mergeCell ref="AH29:AI30"/>
  </mergeCells>
  <dataValidations count="1">
    <dataValidation type="list" allowBlank="1" showInputMessage="1" showErrorMessage="1" sqref="X1:AI2">
      <formula1>項目!$E$1:$E$4</formula1>
    </dataValidation>
  </dataValidations>
  <printOptions/>
  <pageMargins left="0" right="0" top="0" bottom="0" header="0.4330708661417323" footer="0.31496062992125984"/>
  <pageSetup fitToHeight="1" fitToWidth="1" horizontalDpi="600" verticalDpi="600" orientation="landscape" paperSize="9" scale="5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116"/>
  <sheetViews>
    <sheetView zoomScale="40" zoomScaleNormal="40" workbookViewId="0" topLeftCell="A1">
      <selection activeCell="A2" sqref="A2"/>
    </sheetView>
  </sheetViews>
  <sheetFormatPr defaultColWidth="9.00390625" defaultRowHeight="26.25" customHeight="1"/>
  <cols>
    <col min="1" max="1" width="12.125" style="303" customWidth="1"/>
    <col min="2" max="2" width="11.875" style="303" bestFit="1" customWidth="1"/>
    <col min="3" max="3" width="3.125" style="303" customWidth="1"/>
    <col min="4" max="4" width="6.75390625" style="303" bestFit="1" customWidth="1"/>
    <col min="5" max="5" width="10.125" style="303" bestFit="1" customWidth="1"/>
    <col min="6" max="6" width="20.625" style="303" customWidth="1"/>
    <col min="7" max="7" width="7.50390625" style="303" bestFit="1" customWidth="1"/>
    <col min="8" max="8" width="4.50390625" style="303" bestFit="1" customWidth="1"/>
    <col min="9" max="9" width="7.875" style="303" customWidth="1"/>
    <col min="10" max="10" width="5.25390625" style="303" customWidth="1"/>
    <col min="11" max="11" width="7.875" style="303" customWidth="1"/>
    <col min="12" max="12" width="4.50390625" style="303" bestFit="1" customWidth="1"/>
    <col min="13" max="13" width="7.50390625" style="303" bestFit="1" customWidth="1"/>
    <col min="14" max="14" width="20.625" style="303" customWidth="1"/>
    <col min="15" max="15" width="5.00390625" style="303" bestFit="1" customWidth="1"/>
    <col min="16" max="16" width="12.125" style="303" customWidth="1"/>
    <col min="17" max="17" width="11.875" style="303" bestFit="1" customWidth="1"/>
    <col min="18" max="18" width="3.125" style="303" customWidth="1"/>
    <col min="19" max="19" width="6.75390625" style="303" bestFit="1" customWidth="1"/>
    <col min="20" max="20" width="10.125" style="303" bestFit="1" customWidth="1"/>
    <col min="21" max="21" width="20.625" style="303" customWidth="1"/>
    <col min="22" max="22" width="7.50390625" style="303" bestFit="1" customWidth="1"/>
    <col min="23" max="23" width="4.50390625" style="303" bestFit="1" customWidth="1"/>
    <col min="24" max="24" width="7.875" style="303" customWidth="1"/>
    <col min="25" max="25" width="5.25390625" style="303" customWidth="1"/>
    <col min="26" max="26" width="7.875" style="303" customWidth="1"/>
    <col min="27" max="27" width="4.50390625" style="303" bestFit="1" customWidth="1"/>
    <col min="28" max="28" width="7.50390625" style="303" bestFit="1" customWidth="1"/>
    <col min="29" max="29" width="20.625" style="303" customWidth="1"/>
    <col min="30" max="16384" width="9.00390625" style="303" customWidth="1"/>
  </cols>
  <sheetData>
    <row r="1" spans="1:29" s="304" customFormat="1" ht="26.25" customHeight="1">
      <c r="A1" s="779" t="str">
        <f>'大会要項'!$B$3</f>
        <v>第11回 全日本不動産協会杯争奪U-12サッカー大会【ラビットカップ】大分県大会</v>
      </c>
      <c r="B1" s="779"/>
      <c r="C1" s="779"/>
      <c r="D1" s="779"/>
      <c r="E1" s="779"/>
      <c r="F1" s="779"/>
      <c r="G1" s="779"/>
      <c r="H1" s="779"/>
      <c r="I1" s="779"/>
      <c r="J1" s="779"/>
      <c r="K1" s="779" t="s">
        <v>668</v>
      </c>
      <c r="L1" s="779"/>
      <c r="M1" s="779"/>
      <c r="N1" s="779"/>
      <c r="O1" s="305"/>
      <c r="P1" s="779" t="str">
        <f>'大会要項'!$B$3</f>
        <v>第11回 全日本不動産協会杯争奪U-12サッカー大会【ラビットカップ】大分県大会</v>
      </c>
      <c r="Q1" s="779"/>
      <c r="R1" s="779"/>
      <c r="S1" s="779"/>
      <c r="T1" s="779"/>
      <c r="U1" s="779"/>
      <c r="V1" s="779"/>
      <c r="W1" s="779"/>
      <c r="X1" s="779"/>
      <c r="Y1" s="779"/>
      <c r="Z1" s="779" t="s">
        <v>668</v>
      </c>
      <c r="AA1" s="779"/>
      <c r="AB1" s="779"/>
      <c r="AC1" s="779"/>
    </row>
    <row r="2" spans="16:29" ht="26.25" customHeight="1">
      <c r="P2" s="306"/>
      <c r="Q2" s="306"/>
      <c r="R2" s="306"/>
      <c r="S2" s="306"/>
      <c r="T2" s="306"/>
      <c r="U2" s="306"/>
      <c r="V2" s="306"/>
      <c r="W2" s="306"/>
      <c r="X2" s="306"/>
      <c r="Y2" s="306"/>
      <c r="Z2" s="306"/>
      <c r="AA2" s="306"/>
      <c r="AB2" s="306"/>
      <c r="AC2" s="306"/>
    </row>
    <row r="3" spans="1:29" ht="20.25" customHeight="1">
      <c r="A3" s="303" t="s">
        <v>64</v>
      </c>
      <c r="B3" s="780" t="str">
        <f>'決勝トーナメント'!X1</f>
        <v>昭和電工ｻｯｶｰ･ﾗｸﾞﾋﾞｰ場　Bｺｰﾄ</v>
      </c>
      <c r="C3" s="780"/>
      <c r="D3" s="780"/>
      <c r="E3" s="780"/>
      <c r="F3" s="307" t="str">
        <f>'決勝トーナメント'!X3</f>
        <v>「南」コート</v>
      </c>
      <c r="H3" s="307"/>
      <c r="I3" s="307"/>
      <c r="J3" s="307"/>
      <c r="K3" s="307"/>
      <c r="L3" s="307"/>
      <c r="P3" s="303" t="s">
        <v>64</v>
      </c>
      <c r="Q3" s="780" t="str">
        <f>'決勝トーナメント'!X1</f>
        <v>昭和電工ｻｯｶｰ･ﾗｸﾞﾋﾞｰ場　Bｺｰﾄ</v>
      </c>
      <c r="R3" s="780"/>
      <c r="S3" s="780"/>
      <c r="T3" s="780"/>
      <c r="U3" s="308" t="str">
        <f>'決勝トーナメント'!AD3</f>
        <v>「北」コート</v>
      </c>
      <c r="W3" s="308"/>
      <c r="X3" s="308"/>
      <c r="Y3" s="308"/>
      <c r="Z3" s="308"/>
      <c r="AA3" s="308"/>
      <c r="AB3" s="308"/>
      <c r="AC3" s="308"/>
    </row>
    <row r="4" spans="2:29" ht="26.45" customHeight="1">
      <c r="B4" s="307"/>
      <c r="D4" s="307"/>
      <c r="E4" s="307"/>
      <c r="F4" s="307"/>
      <c r="G4" s="307"/>
      <c r="H4" s="307"/>
      <c r="I4" s="307"/>
      <c r="J4" s="307"/>
      <c r="K4" s="307"/>
      <c r="L4" s="307"/>
      <c r="Q4" s="307"/>
      <c r="S4" s="308"/>
      <c r="T4" s="308"/>
      <c r="U4" s="308"/>
      <c r="V4" s="308"/>
      <c r="W4" s="308"/>
      <c r="X4" s="308"/>
      <c r="Y4" s="308"/>
      <c r="Z4" s="308"/>
      <c r="AA4" s="308"/>
      <c r="AB4" s="308"/>
      <c r="AC4" s="308"/>
    </row>
    <row r="5" spans="2:17" ht="26.25" customHeight="1">
      <c r="B5" s="307" t="s">
        <v>669</v>
      </c>
      <c r="Q5" s="303" t="s">
        <v>670</v>
      </c>
    </row>
    <row r="6" spans="1:29" ht="27.4" customHeight="1">
      <c r="A6" s="312" t="s">
        <v>546</v>
      </c>
      <c r="B6" s="772" t="s">
        <v>572</v>
      </c>
      <c r="C6" s="773"/>
      <c r="D6" s="774"/>
      <c r="E6" s="756">
        <v>0.3958333333333333</v>
      </c>
      <c r="F6" s="863" t="str">
        <f>VLOOKUP('決勝トーナメント'!B26,'組合せ抽選用'!$S:$U,3,FALSE)</f>
        <v>明治サッカースポーツ少年団</v>
      </c>
      <c r="G6" s="762">
        <f>SUM(I6:I7)</f>
        <v>1</v>
      </c>
      <c r="H6" s="765" t="s">
        <v>294</v>
      </c>
      <c r="I6" s="398">
        <v>1</v>
      </c>
      <c r="J6" s="313" t="s">
        <v>548</v>
      </c>
      <c r="K6" s="313">
        <v>1</v>
      </c>
      <c r="L6" s="765" t="s">
        <v>549</v>
      </c>
      <c r="M6" s="762">
        <f>SUM(K6:K7)</f>
        <v>4</v>
      </c>
      <c r="N6" s="866" t="str">
        <f>VLOOKUP('決勝トーナメント'!D26,'組合せ抽選用'!$S:$U,3,FALSE)</f>
        <v>大分トリニータＵ－１２</v>
      </c>
      <c r="P6" s="312" t="s">
        <v>546</v>
      </c>
      <c r="Q6" s="772" t="s">
        <v>571</v>
      </c>
      <c r="R6" s="773"/>
      <c r="S6" s="774"/>
      <c r="T6" s="756">
        <v>0.3958333333333333</v>
      </c>
      <c r="U6" s="863" t="str">
        <f>VLOOKUP('決勝トーナメント'!F26,'組合せ抽選用'!$S:$U,3,FALSE)</f>
        <v>ＦＣ中津ジュニア</v>
      </c>
      <c r="V6" s="762">
        <f>SUM(X6:X7)</f>
        <v>1</v>
      </c>
      <c r="W6" s="765" t="s">
        <v>294</v>
      </c>
      <c r="X6" s="313">
        <v>0</v>
      </c>
      <c r="Y6" s="313" t="s">
        <v>548</v>
      </c>
      <c r="Z6" s="313">
        <v>0</v>
      </c>
      <c r="AA6" s="765" t="s">
        <v>549</v>
      </c>
      <c r="AB6" s="762">
        <f>SUM(Z6:Z7)</f>
        <v>0</v>
      </c>
      <c r="AC6" s="866" t="str">
        <f>VLOOKUP('決勝トーナメント'!H26,'組合せ抽選用'!$S:$U,3,FALSE)</f>
        <v>ドリームキッズフットボールクラブ</v>
      </c>
    </row>
    <row r="7" spans="1:29" ht="27.4" customHeight="1">
      <c r="A7" s="314" t="s">
        <v>551</v>
      </c>
      <c r="B7" s="771" t="s">
        <v>584</v>
      </c>
      <c r="C7" s="771"/>
      <c r="D7" s="772"/>
      <c r="E7" s="757"/>
      <c r="F7" s="864"/>
      <c r="G7" s="763"/>
      <c r="H7" s="766"/>
      <c r="I7" s="303">
        <v>0</v>
      </c>
      <c r="J7" s="303" t="s">
        <v>552</v>
      </c>
      <c r="K7" s="303">
        <v>3</v>
      </c>
      <c r="L7" s="766"/>
      <c r="M7" s="763"/>
      <c r="N7" s="867"/>
      <c r="P7" s="314" t="s">
        <v>551</v>
      </c>
      <c r="Q7" s="771" t="s">
        <v>550</v>
      </c>
      <c r="R7" s="771"/>
      <c r="S7" s="772"/>
      <c r="T7" s="757"/>
      <c r="U7" s="864"/>
      <c r="V7" s="763"/>
      <c r="W7" s="766"/>
      <c r="X7" s="303">
        <v>1</v>
      </c>
      <c r="Y7" s="303" t="s">
        <v>552</v>
      </c>
      <c r="Z7" s="303">
        <v>0</v>
      </c>
      <c r="AA7" s="766"/>
      <c r="AB7" s="763"/>
      <c r="AC7" s="867"/>
    </row>
    <row r="8" spans="1:29" ht="27.4" customHeight="1">
      <c r="A8" s="314" t="s">
        <v>553</v>
      </c>
      <c r="B8" s="771" t="s">
        <v>573</v>
      </c>
      <c r="C8" s="771"/>
      <c r="D8" s="772"/>
      <c r="E8" s="758"/>
      <c r="F8" s="865"/>
      <c r="G8" s="764"/>
      <c r="H8" s="767"/>
      <c r="I8" s="315"/>
      <c r="J8" s="315" t="s">
        <v>555</v>
      </c>
      <c r="K8" s="315"/>
      <c r="L8" s="767"/>
      <c r="M8" s="764"/>
      <c r="N8" s="868"/>
      <c r="P8" s="314" t="s">
        <v>553</v>
      </c>
      <c r="Q8" s="771" t="s">
        <v>554</v>
      </c>
      <c r="R8" s="771"/>
      <c r="S8" s="772"/>
      <c r="T8" s="758"/>
      <c r="U8" s="865"/>
      <c r="V8" s="764"/>
      <c r="W8" s="767"/>
      <c r="X8" s="315"/>
      <c r="Y8" s="315" t="s">
        <v>555</v>
      </c>
      <c r="Z8" s="315"/>
      <c r="AA8" s="767"/>
      <c r="AB8" s="764"/>
      <c r="AC8" s="868"/>
    </row>
    <row r="9" spans="5:29" ht="26.25" customHeight="1" hidden="1">
      <c r="E9" s="316"/>
      <c r="F9" s="317" t="s">
        <v>418</v>
      </c>
      <c r="G9" s="317" t="s">
        <v>557</v>
      </c>
      <c r="H9" s="317" t="s">
        <v>524</v>
      </c>
      <c r="I9" s="317"/>
      <c r="J9" s="399"/>
      <c r="K9" s="317"/>
      <c r="L9" s="317" t="s">
        <v>524</v>
      </c>
      <c r="M9" s="317" t="s">
        <v>557</v>
      </c>
      <c r="N9" s="319" t="s">
        <v>418</v>
      </c>
      <c r="T9" s="316"/>
      <c r="U9" s="317" t="s">
        <v>418</v>
      </c>
      <c r="V9" s="317" t="s">
        <v>557</v>
      </c>
      <c r="W9" s="317" t="s">
        <v>524</v>
      </c>
      <c r="X9" s="317"/>
      <c r="Y9" s="399"/>
      <c r="Z9" s="317"/>
      <c r="AA9" s="317" t="s">
        <v>524</v>
      </c>
      <c r="AB9" s="317" t="s">
        <v>557</v>
      </c>
      <c r="AC9" s="319" t="s">
        <v>418</v>
      </c>
    </row>
    <row r="10" spans="5:29" ht="26.25" customHeight="1" hidden="1">
      <c r="E10" s="333" t="s">
        <v>558</v>
      </c>
      <c r="F10" s="400" t="str">
        <f>IF(ISERROR(VLOOKUP(CONCATENATE($F$6,"_",G10),'選手名簿'!$A:$E,5,FALSE))=TRUE,"",VLOOKUP(CONCATENATE($F$6,"_",G10),'選手名簿'!$A:$E,5,FALSE))</f>
        <v/>
      </c>
      <c r="G10" s="335"/>
      <c r="H10" s="335"/>
      <c r="I10" s="335"/>
      <c r="J10" s="401"/>
      <c r="K10" s="335"/>
      <c r="L10" s="335"/>
      <c r="M10" s="335"/>
      <c r="N10" s="402" t="str">
        <f>IF(ISERROR(VLOOKUP(CONCATENATE($N$6,"_",M10),'選手名簿'!$A:$E,5,FALSE))=TRUE,"",VLOOKUP(CONCATENATE($N$6,"_",M10),'選手名簿'!$A:$E,5,FALSE))</f>
        <v/>
      </c>
      <c r="T10" s="333" t="s">
        <v>558</v>
      </c>
      <c r="U10" s="400" t="str">
        <f>IF(ISERROR(VLOOKUP(CONCATENATE($U$6,"_",V10),'選手名簿'!$A:$E,5,FALSE))=TRUE,"",VLOOKUP(CONCATENATE($U$6,"_",V10),'選手名簿'!$A:$E,5,FALSE))</f>
        <v/>
      </c>
      <c r="V10" s="335"/>
      <c r="W10" s="335"/>
      <c r="X10" s="335"/>
      <c r="Y10" s="401"/>
      <c r="Z10" s="335"/>
      <c r="AA10" s="335"/>
      <c r="AB10" s="335"/>
      <c r="AC10" s="402" t="str">
        <f>IF(ISERROR(VLOOKUP(CONCATENATE($AC$6,"_",AB10),'選手名簿'!$A:$E,5,FALSE))=TRUE,"",VLOOKUP(CONCATENATE($AC$6,"_",AB10),'選手名簿'!$A:$E,5,FALSE))</f>
        <v/>
      </c>
    </row>
    <row r="11" spans="5:29" ht="26.25" customHeight="1" hidden="1">
      <c r="E11" s="333" t="s">
        <v>558</v>
      </c>
      <c r="F11" s="321" t="str">
        <f>IF(ISERROR(VLOOKUP(CONCATENATE($F$6,"_",G11),'選手名簿'!$A:$E,5,FALSE))=TRUE,"",VLOOKUP(CONCATENATE($F$6,"_",G11),'選手名簿'!$A:$E,5,FALSE))</f>
        <v/>
      </c>
      <c r="G11" s="335"/>
      <c r="H11" s="335"/>
      <c r="I11" s="335"/>
      <c r="J11" s="401"/>
      <c r="K11" s="335"/>
      <c r="L11" s="335"/>
      <c r="M11" s="335"/>
      <c r="N11" s="402" t="str">
        <f>IF(ISERROR(VLOOKUP(CONCATENATE($N$6,"_",M11),'選手名簿'!$A:$E,5,FALSE))=TRUE,"",VLOOKUP(CONCATENATE($N$6,"_",M11),'選手名簿'!$A:$E,5,FALSE))</f>
        <v/>
      </c>
      <c r="T11" s="333" t="s">
        <v>558</v>
      </c>
      <c r="U11" s="321" t="str">
        <f>IF(ISERROR(VLOOKUP(CONCATENATE($U$6,"_",V11),'選手名簿'!$A:$E,5,FALSE))=TRUE,"",VLOOKUP(CONCATENATE($U$6,"_",V11),'選手名簿'!$A:$E,5,FALSE))</f>
        <v/>
      </c>
      <c r="V11" s="335"/>
      <c r="W11" s="335"/>
      <c r="X11" s="335"/>
      <c r="Y11" s="401"/>
      <c r="Z11" s="335"/>
      <c r="AA11" s="335"/>
      <c r="AB11" s="335"/>
      <c r="AC11" s="402" t="str">
        <f>IF(ISERROR(VLOOKUP(CONCATENATE($AC$6,"_",AB11),'選手名簿'!$A:$E,5,FALSE))=TRUE,"",VLOOKUP(CONCATENATE($AC$6,"_",AB11),'選手名簿'!$A:$E,5,FALSE))</f>
        <v/>
      </c>
    </row>
    <row r="12" spans="5:29" ht="26.25" customHeight="1" hidden="1">
      <c r="E12" s="333" t="s">
        <v>558</v>
      </c>
      <c r="F12" s="334" t="str">
        <f>IF(ISERROR(VLOOKUP(CONCATENATE($F$6,"_",G12),'選手名簿'!$A:$E,5,FALSE))=TRUE,"",VLOOKUP(CONCATENATE($F$6,"_",G12),'選手名簿'!$A:$E,5,FALSE))</f>
        <v/>
      </c>
      <c r="G12" s="335"/>
      <c r="H12" s="335"/>
      <c r="I12" s="335"/>
      <c r="J12" s="401"/>
      <c r="K12" s="335"/>
      <c r="L12" s="335"/>
      <c r="M12" s="335"/>
      <c r="N12" s="402" t="str">
        <f>IF(ISERROR(VLOOKUP(CONCATENATE($N$6,"_",M12),'選手名簿'!$A:$E,5,FALSE))=TRUE,"",VLOOKUP(CONCATENATE($N$6,"_",M12),'選手名簿'!$A:$E,5,FALSE))</f>
        <v/>
      </c>
      <c r="T12" s="333" t="s">
        <v>558</v>
      </c>
      <c r="U12" s="334" t="str">
        <f>IF(ISERROR(VLOOKUP(CONCATENATE($U$6,"_",V12),'選手名簿'!$A:$E,5,FALSE))=TRUE,"",VLOOKUP(CONCATENATE($U$6,"_",V12),'選手名簿'!$A:$E,5,FALSE))</f>
        <v/>
      </c>
      <c r="V12" s="335"/>
      <c r="W12" s="335"/>
      <c r="X12" s="335"/>
      <c r="Y12" s="401"/>
      <c r="Z12" s="335"/>
      <c r="AA12" s="335"/>
      <c r="AB12" s="335"/>
      <c r="AC12" s="402" t="str">
        <f>IF(ISERROR(VLOOKUP(CONCATENATE($AC$6,"_",AB12),'選手名簿'!$A:$E,5,FALSE))=TRUE,"",VLOOKUP(CONCATENATE($AC$6,"_",AB12),'選手名簿'!$A:$E,5,FALSE))</f>
        <v/>
      </c>
    </row>
    <row r="13" spans="5:29" ht="26.25" customHeight="1" hidden="1">
      <c r="E13" s="333" t="s">
        <v>558</v>
      </c>
      <c r="F13" s="334" t="str">
        <f>IF(ISERROR(VLOOKUP(CONCATENATE($F$6,"_",G13),'選手名簿'!$A:$E,5,FALSE))=TRUE,"",VLOOKUP(CONCATENATE($F$6,"_",G13),'選手名簿'!$A:$E,5,FALSE))</f>
        <v/>
      </c>
      <c r="G13" s="335"/>
      <c r="H13" s="335"/>
      <c r="I13" s="335"/>
      <c r="J13" s="401"/>
      <c r="K13" s="335"/>
      <c r="L13" s="335"/>
      <c r="M13" s="335"/>
      <c r="N13" s="402" t="str">
        <f>IF(ISERROR(VLOOKUP(CONCATENATE($N$6,"_",M13),'選手名簿'!$A:$E,5,FALSE))=TRUE,"",VLOOKUP(CONCATENATE($N$6,"_",M13),'選手名簿'!$A:$E,5,FALSE))</f>
        <v/>
      </c>
      <c r="T13" s="333" t="s">
        <v>558</v>
      </c>
      <c r="U13" s="334" t="str">
        <f>IF(ISERROR(VLOOKUP(CONCATENATE($U$6,"_",V13),'選手名簿'!$A:$E,5,FALSE))=TRUE,"",VLOOKUP(CONCATENATE($U$6,"_",V13),'選手名簿'!$A:$E,5,FALSE))</f>
        <v/>
      </c>
      <c r="V13" s="335"/>
      <c r="W13" s="335"/>
      <c r="X13" s="335"/>
      <c r="Y13" s="401"/>
      <c r="Z13" s="335"/>
      <c r="AA13" s="335"/>
      <c r="AB13" s="335"/>
      <c r="AC13" s="402" t="str">
        <f>IF(ISERROR(VLOOKUP(CONCATENATE($AC$6,"_",AB13),'選手名簿'!$A:$E,5,FALSE))=TRUE,"",VLOOKUP(CONCATENATE($AC$6,"_",AB13),'選手名簿'!$A:$E,5,FALSE))</f>
        <v/>
      </c>
    </row>
    <row r="14" spans="5:29" ht="26.25" customHeight="1" hidden="1">
      <c r="E14" s="333" t="s">
        <v>558</v>
      </c>
      <c r="F14" s="334" t="str">
        <f>IF(ISERROR(VLOOKUP(CONCATENATE($F$6,"_",G14),'選手名簿'!$A:$E,5,FALSE))=TRUE,"",VLOOKUP(CONCATENATE($F$6,"_",G14),'選手名簿'!$A:$E,5,FALSE))</f>
        <v/>
      </c>
      <c r="G14" s="335"/>
      <c r="H14" s="335"/>
      <c r="I14" s="335"/>
      <c r="J14" s="401"/>
      <c r="K14" s="335"/>
      <c r="L14" s="335"/>
      <c r="M14" s="335"/>
      <c r="N14" s="324" t="str">
        <f>IF(ISERROR(VLOOKUP(CONCATENATE($N$6,"_",M14),'選手名簿'!$A:$E,5,FALSE))=TRUE,"",VLOOKUP(CONCATENATE($N$6,"_",M14),'選手名簿'!$A:$E,5,FALSE))</f>
        <v/>
      </c>
      <c r="T14" s="333" t="s">
        <v>558</v>
      </c>
      <c r="U14" s="334" t="str">
        <f>IF(ISERROR(VLOOKUP(CONCATENATE($U$6,"_",V14),'選手名簿'!$A:$E,5,FALSE))=TRUE,"",VLOOKUP(CONCATENATE($U$6,"_",V14),'選手名簿'!$A:$E,5,FALSE))</f>
        <v/>
      </c>
      <c r="V14" s="335"/>
      <c r="W14" s="335"/>
      <c r="X14" s="335"/>
      <c r="Y14" s="401"/>
      <c r="Z14" s="335"/>
      <c r="AA14" s="335"/>
      <c r="AB14" s="335"/>
      <c r="AC14" s="324" t="str">
        <f>IF(ISERROR(VLOOKUP(CONCATENATE($AC$6,"_",AB14),'選手名簿'!$A:$E,5,FALSE))=TRUE,"",VLOOKUP(CONCATENATE($AC$6,"_",AB14),'選手名簿'!$A:$E,5,FALSE))</f>
        <v/>
      </c>
    </row>
    <row r="15" spans="5:29" ht="26.25" customHeight="1" hidden="1">
      <c r="E15" s="333" t="s">
        <v>558</v>
      </c>
      <c r="F15" s="334" t="str">
        <f>IF(ISERROR(VLOOKUP(CONCATENATE($F$6,"_",G15),'選手名簿'!$A:$E,5,FALSE))=TRUE,"",VLOOKUP(CONCATENATE($F$6,"_",G15),'選手名簿'!$A:$E,5,FALSE))</f>
        <v/>
      </c>
      <c r="G15" s="335"/>
      <c r="H15" s="335"/>
      <c r="I15" s="335"/>
      <c r="J15" s="401"/>
      <c r="K15" s="335"/>
      <c r="L15" s="335"/>
      <c r="M15" s="335"/>
      <c r="N15" s="336" t="str">
        <f>IF(ISERROR(VLOOKUP(CONCATENATE($N$6,"_",M15),'選手名簿'!$A:$E,5,FALSE))=TRUE,"",VLOOKUP(CONCATENATE($N$6,"_",M15),'選手名簿'!$A:$E,5,FALSE))</f>
        <v/>
      </c>
      <c r="T15" s="333" t="s">
        <v>558</v>
      </c>
      <c r="U15" s="334" t="str">
        <f>IF(ISERROR(VLOOKUP(CONCATENATE($U$6,"_",V15),'選手名簿'!$A:$E,5,FALSE))=TRUE,"",VLOOKUP(CONCATENATE($U$6,"_",V15),'選手名簿'!$A:$E,5,FALSE))</f>
        <v/>
      </c>
      <c r="V15" s="335"/>
      <c r="W15" s="335"/>
      <c r="X15" s="335"/>
      <c r="Y15" s="401"/>
      <c r="Z15" s="335"/>
      <c r="AA15" s="335"/>
      <c r="AB15" s="335"/>
      <c r="AC15" s="336" t="str">
        <f>IF(ISERROR(VLOOKUP(CONCATENATE($AC$6,"_",AB15),'選手名簿'!$A:$E,5,FALSE))=TRUE,"",VLOOKUP(CONCATENATE($AC$6,"_",AB15),'選手名簿'!$A:$E,5,FALSE))</f>
        <v/>
      </c>
    </row>
    <row r="16" spans="5:29" ht="26.25" customHeight="1" hidden="1">
      <c r="E16" s="333" t="s">
        <v>558</v>
      </c>
      <c r="F16" s="334" t="str">
        <f>IF(ISERROR(VLOOKUP(CONCATENATE($F$6,"_",G16),'選手名簿'!$A:$E,5,FALSE))=TRUE,"",VLOOKUP(CONCATENATE($F$6,"_",G16),'選手名簿'!$A:$E,5,FALSE))</f>
        <v/>
      </c>
      <c r="G16" s="335"/>
      <c r="H16" s="335"/>
      <c r="I16" s="335"/>
      <c r="J16" s="401"/>
      <c r="K16" s="335"/>
      <c r="L16" s="335"/>
      <c r="M16" s="335"/>
      <c r="N16" s="336" t="str">
        <f>IF(ISERROR(VLOOKUP(CONCATENATE($N$6,"_",M16),'選手名簿'!$A:$E,5,FALSE))=TRUE,"",VLOOKUP(CONCATENATE($N$6,"_",M16),'選手名簿'!$A:$E,5,FALSE))</f>
        <v/>
      </c>
      <c r="T16" s="333" t="s">
        <v>558</v>
      </c>
      <c r="U16" s="334" t="str">
        <f>IF(ISERROR(VLOOKUP(CONCATENATE($U$6,"_",V16),'選手名簿'!$A:$E,5,FALSE))=TRUE,"",VLOOKUP(CONCATENATE($U$6,"_",V16),'選手名簿'!$A:$E,5,FALSE))</f>
        <v/>
      </c>
      <c r="V16" s="335"/>
      <c r="W16" s="335"/>
      <c r="X16" s="335"/>
      <c r="Y16" s="401"/>
      <c r="Z16" s="335"/>
      <c r="AA16" s="335"/>
      <c r="AB16" s="335"/>
      <c r="AC16" s="336" t="str">
        <f>IF(ISERROR(VLOOKUP(CONCATENATE($AC$6,"_",AB16),'選手名簿'!$A:$E,5,FALSE))=TRUE,"",VLOOKUP(CONCATENATE($AC$6,"_",AB16),'選手名簿'!$A:$E,5,FALSE))</f>
        <v/>
      </c>
    </row>
    <row r="17" spans="5:29" ht="26.25" customHeight="1" hidden="1">
      <c r="E17" s="333" t="s">
        <v>558</v>
      </c>
      <c r="F17" s="334" t="str">
        <f>IF(ISERROR(VLOOKUP(CONCATENATE($F$6,"_",G17),'選手名簿'!$A:$E,5,FALSE))=TRUE,"",VLOOKUP(CONCATENATE($F$6,"_",G17),'選手名簿'!$A:$E,5,FALSE))</f>
        <v/>
      </c>
      <c r="G17" s="335"/>
      <c r="H17" s="335"/>
      <c r="I17" s="335"/>
      <c r="J17" s="401"/>
      <c r="K17" s="335"/>
      <c r="L17" s="335"/>
      <c r="M17" s="335"/>
      <c r="N17" s="336" t="str">
        <f>IF(ISERROR(VLOOKUP(CONCATENATE($N$6,"_",M17),'選手名簿'!$A:$E,5,FALSE))=TRUE,"",VLOOKUP(CONCATENATE($N$6,"_",M17),'選手名簿'!$A:$E,5,FALSE))</f>
        <v/>
      </c>
      <c r="T17" s="333" t="s">
        <v>558</v>
      </c>
      <c r="U17" s="334" t="str">
        <f>IF(ISERROR(VLOOKUP(CONCATENATE($U$6,"_",V17),'選手名簿'!$A:$E,5,FALSE))=TRUE,"",VLOOKUP(CONCATENATE($U$6,"_",V17),'選手名簿'!$A:$E,5,FALSE))</f>
        <v/>
      </c>
      <c r="V17" s="335"/>
      <c r="W17" s="335"/>
      <c r="X17" s="335"/>
      <c r="Y17" s="401"/>
      <c r="Z17" s="335"/>
      <c r="AA17" s="335"/>
      <c r="AB17" s="335"/>
      <c r="AC17" s="336" t="str">
        <f>IF(ISERROR(VLOOKUP(CONCATENATE($AC$6,"_",AB17),'選手名簿'!$A:$E,5,FALSE))=TRUE,"",VLOOKUP(CONCATENATE($AC$6,"_",AB17),'選手名簿'!$A:$E,5,FALSE))</f>
        <v/>
      </c>
    </row>
    <row r="18" spans="5:29" ht="26.25" customHeight="1" hidden="1">
      <c r="E18" s="333" t="s">
        <v>558</v>
      </c>
      <c r="F18" s="334" t="str">
        <f>IF(ISERROR(VLOOKUP(CONCATENATE($F$6,"_",G18),'選手名簿'!$A:$E,5,FALSE))=TRUE,"",VLOOKUP(CONCATENATE($F$6,"_",G18),'選手名簿'!$A:$E,5,FALSE))</f>
        <v/>
      </c>
      <c r="G18" s="335"/>
      <c r="H18" s="335"/>
      <c r="I18" s="335"/>
      <c r="J18" s="401"/>
      <c r="K18" s="335"/>
      <c r="L18" s="335"/>
      <c r="M18" s="335"/>
      <c r="N18" s="336" t="str">
        <f>IF(ISERROR(VLOOKUP(CONCATENATE($N$6,"_",M18),'選手名簿'!$A:$E,5,FALSE))=TRUE,"",VLOOKUP(CONCATENATE($N$6,"_",M18),'選手名簿'!$A:$E,5,FALSE))</f>
        <v/>
      </c>
      <c r="T18" s="333" t="s">
        <v>558</v>
      </c>
      <c r="U18" s="334" t="str">
        <f>IF(ISERROR(VLOOKUP(CONCATENATE($U$6,"_",V18),'選手名簿'!$A:$E,5,FALSE))=TRUE,"",VLOOKUP(CONCATENATE($U$6,"_",V18),'選手名簿'!$A:$E,5,FALSE))</f>
        <v/>
      </c>
      <c r="V18" s="335"/>
      <c r="W18" s="335"/>
      <c r="X18" s="335"/>
      <c r="Y18" s="401"/>
      <c r="Z18" s="335"/>
      <c r="AA18" s="335"/>
      <c r="AB18" s="335"/>
      <c r="AC18" s="336" t="str">
        <f>IF(ISERROR(VLOOKUP(CONCATENATE($AC$6,"_",AB18),'選手名簿'!$A:$E,5,FALSE))=TRUE,"",VLOOKUP(CONCATENATE($AC$6,"_",AB18),'選手名簿'!$A:$E,5,FALSE))</f>
        <v/>
      </c>
    </row>
    <row r="19" spans="5:29" ht="26.25" customHeight="1" hidden="1">
      <c r="E19" s="403" t="s">
        <v>558</v>
      </c>
      <c r="F19" s="404" t="str">
        <f>IF(ISERROR(VLOOKUP(CONCATENATE($F$6,"_",G19),'選手名簿'!$A:$E,5,FALSE))=TRUE,"",VLOOKUP(CONCATENATE($F$6,"_",G19),'選手名簿'!$A:$E,5,FALSE))</f>
        <v/>
      </c>
      <c r="G19" s="405"/>
      <c r="H19" s="405"/>
      <c r="I19" s="405"/>
      <c r="J19" s="406"/>
      <c r="K19" s="405"/>
      <c r="L19" s="405"/>
      <c r="M19" s="405"/>
      <c r="N19" s="407" t="str">
        <f>IF(ISERROR(VLOOKUP(CONCATENATE($N$6,"_",M19),'選手名簿'!$A:$E,5,FALSE))=TRUE,"",VLOOKUP(CONCATENATE($N$6,"_",M19),'選手名簿'!$A:$E,5,FALSE))</f>
        <v/>
      </c>
      <c r="T19" s="403" t="s">
        <v>558</v>
      </c>
      <c r="U19" s="404" t="str">
        <f>IF(ISERROR(VLOOKUP(CONCATENATE($U$6,"_",V19),'選手名簿'!$A:$E,5,FALSE))=TRUE,"",VLOOKUP(CONCATENATE($U$6,"_",V19),'選手名簿'!$A:$E,5,FALSE))</f>
        <v/>
      </c>
      <c r="V19" s="405"/>
      <c r="W19" s="405"/>
      <c r="X19" s="405"/>
      <c r="Y19" s="406"/>
      <c r="Z19" s="405"/>
      <c r="AA19" s="405"/>
      <c r="AB19" s="405"/>
      <c r="AC19" s="407" t="str">
        <f>IF(ISERROR(VLOOKUP(CONCATENATE($AC$6,"_",AB19),'選手名簿'!$A:$E,5,FALSE))=TRUE,"",VLOOKUP(CONCATENATE($AC$6,"_",AB19),'選手名簿'!$A:$E,5,FALSE))</f>
        <v/>
      </c>
    </row>
    <row r="20" spans="1:29" ht="26.25" customHeight="1">
      <c r="A20" s="754" t="s">
        <v>556</v>
      </c>
      <c r="B20" s="754"/>
      <c r="C20" s="754"/>
      <c r="D20" s="755"/>
      <c r="E20" s="316"/>
      <c r="F20" s="317" t="s">
        <v>418</v>
      </c>
      <c r="G20" s="317" t="s">
        <v>557</v>
      </c>
      <c r="H20" s="317" t="s">
        <v>524</v>
      </c>
      <c r="I20" s="317"/>
      <c r="J20" s="399"/>
      <c r="K20" s="317"/>
      <c r="L20" s="317" t="s">
        <v>524</v>
      </c>
      <c r="M20" s="317" t="s">
        <v>557</v>
      </c>
      <c r="N20" s="319" t="s">
        <v>418</v>
      </c>
      <c r="P20" s="754" t="s">
        <v>556</v>
      </c>
      <c r="Q20" s="754"/>
      <c r="R20" s="754"/>
      <c r="S20" s="755"/>
      <c r="T20" s="316"/>
      <c r="U20" s="317" t="s">
        <v>418</v>
      </c>
      <c r="V20" s="317" t="s">
        <v>557</v>
      </c>
      <c r="W20" s="317" t="s">
        <v>524</v>
      </c>
      <c r="X20" s="317"/>
      <c r="Y20" s="399"/>
      <c r="Z20" s="317"/>
      <c r="AA20" s="317" t="s">
        <v>524</v>
      </c>
      <c r="AB20" s="317" t="s">
        <v>557</v>
      </c>
      <c r="AC20" s="319" t="s">
        <v>418</v>
      </c>
    </row>
    <row r="21" spans="1:29" ht="26.25" customHeight="1">
      <c r="A21" s="330" t="s">
        <v>557</v>
      </c>
      <c r="B21" s="750" t="s">
        <v>586</v>
      </c>
      <c r="C21" s="750"/>
      <c r="D21" s="751"/>
      <c r="E21" s="333" t="s">
        <v>419</v>
      </c>
      <c r="F21" s="334" t="str">
        <f>IF(ISERROR(VLOOKUP(CONCATENATE($F$6,"_",G21),'選手名簿'!$A:$E,5,FALSE))=TRUE,"",VLOOKUP(CONCATENATE($F$6,"_",G21),'選手名簿'!$A:$E,5,FALSE))</f>
        <v/>
      </c>
      <c r="G21" s="335"/>
      <c r="H21" s="335"/>
      <c r="I21" s="335"/>
      <c r="J21" s="401"/>
      <c r="K21" s="335"/>
      <c r="L21" s="335"/>
      <c r="M21" s="335"/>
      <c r="N21" s="336" t="str">
        <f>IF(ISERROR(VLOOKUP(CONCATENATE($N$6,"_",M21),'選手名簿'!$A:$E,5,FALSE))=TRUE,"",VLOOKUP(CONCATENATE($N$6,"_",M21),'選手名簿'!$A:$E,5,FALSE))</f>
        <v/>
      </c>
      <c r="P21" s="330" t="s">
        <v>557</v>
      </c>
      <c r="Q21" s="750" t="s">
        <v>589</v>
      </c>
      <c r="R21" s="750"/>
      <c r="S21" s="751"/>
      <c r="T21" s="333" t="s">
        <v>419</v>
      </c>
      <c r="U21" s="334" t="str">
        <f>IF(ISERROR(VLOOKUP(CONCATENATE($U$6,"_",V21),'選手名簿'!$A:$E,5,FALSE))=TRUE,"",VLOOKUP(CONCATENATE($U$6,"_",V21),'選手名簿'!$A:$E,5,FALSE))</f>
        <v/>
      </c>
      <c r="V21" s="335"/>
      <c r="W21" s="335"/>
      <c r="X21" s="335"/>
      <c r="Y21" s="401"/>
      <c r="Z21" s="335"/>
      <c r="AA21" s="335"/>
      <c r="AB21" s="335"/>
      <c r="AC21" s="336" t="str">
        <f>IF(ISERROR(VLOOKUP(CONCATENATE($AC$6,"_",AB21),'選手名簿'!$A:$E,5,FALSE))=TRUE,"",VLOOKUP(CONCATENATE($AC$6,"_",AB21),'選手名簿'!$A:$E,5,FALSE))</f>
        <v/>
      </c>
    </row>
    <row r="22" spans="1:29" ht="26.25" customHeight="1">
      <c r="A22" s="330" t="s">
        <v>177</v>
      </c>
      <c r="B22" s="752" t="str">
        <f>IF(ISERROR(VLOOKUP(B21,'審判員'!$A:$C,2,FALSE))=TRUE,"",VLOOKUP(B21,'審判員'!$A:$C,2,FALSE))</f>
        <v>朝比奈　義行</v>
      </c>
      <c r="C22" s="753"/>
      <c r="D22" s="331" t="str">
        <f>IF(ISERROR(VLOOKUP(B21,'審判員'!$A:$C,3,FALSE))=TRUE,"",VLOOKUP(B21,'審判員'!$A:$C,3,FALSE))</f>
        <v>３級</v>
      </c>
      <c r="E22" s="333" t="s">
        <v>419</v>
      </c>
      <c r="F22" s="334" t="str">
        <f>IF(ISERROR(VLOOKUP(CONCATENATE($F$6,"_",G22),'選手名簿'!$A:$E,5,FALSE))=TRUE,"",VLOOKUP(CONCATENATE($F$6,"_",G22),'選手名簿'!$A:$E,5,FALSE))</f>
        <v/>
      </c>
      <c r="G22" s="335"/>
      <c r="H22" s="335"/>
      <c r="I22" s="335"/>
      <c r="J22" s="401"/>
      <c r="K22" s="335"/>
      <c r="L22" s="335"/>
      <c r="M22" s="335"/>
      <c r="N22" s="336" t="str">
        <f>IF(ISERROR(VLOOKUP(CONCATENATE($N$6,"_",M22),'選手名簿'!$A:$E,5,FALSE))=TRUE,"",VLOOKUP(CONCATENATE($N$6,"_",M22),'選手名簿'!$A:$E,5,FALSE))</f>
        <v/>
      </c>
      <c r="P22" s="330" t="s">
        <v>177</v>
      </c>
      <c r="Q22" s="752" t="str">
        <f>IF(ISERROR(VLOOKUP(Q21,'審判員'!$A:$C,2,FALSE))=TRUE,"",VLOOKUP(Q21,'審判員'!$A:$C,2,FALSE))</f>
        <v>柳元　哲哉</v>
      </c>
      <c r="R22" s="753"/>
      <c r="S22" s="331" t="str">
        <f>IF(ISERROR(VLOOKUP(Q21,'審判員'!$A:$C,3,FALSE))=TRUE,"",VLOOKUP(Q21,'審判員'!$A:$C,3,FALSE))</f>
        <v>３級</v>
      </c>
      <c r="T22" s="333" t="s">
        <v>419</v>
      </c>
      <c r="U22" s="334" t="str">
        <f>IF(ISERROR(VLOOKUP(CONCATENATE($U$6,"_",V22),'選手名簿'!$A:$E,5,FALSE))=TRUE,"",VLOOKUP(CONCATENATE($U$6,"_",V22),'選手名簿'!$A:$E,5,FALSE))</f>
        <v/>
      </c>
      <c r="V22" s="335"/>
      <c r="W22" s="335"/>
      <c r="X22" s="335"/>
      <c r="Y22" s="401"/>
      <c r="Z22" s="335"/>
      <c r="AA22" s="335"/>
      <c r="AB22" s="335"/>
      <c r="AC22" s="336" t="str">
        <f>IF(ISERROR(VLOOKUP(CONCATENATE($AC$6,"_",AB22),'選手名簿'!$A:$E,5,FALSE))=TRUE,"",VLOOKUP(CONCATENATE($AC$6,"_",AB22),'選手名簿'!$A:$E,5,FALSE))</f>
        <v/>
      </c>
    </row>
    <row r="23" spans="1:29" ht="26.25" customHeight="1">
      <c r="A23" s="330" t="s">
        <v>557</v>
      </c>
      <c r="B23" s="750" t="s">
        <v>605</v>
      </c>
      <c r="C23" s="750"/>
      <c r="D23" s="751"/>
      <c r="E23" s="333" t="s">
        <v>419</v>
      </c>
      <c r="F23" s="334" t="str">
        <f>IF(ISERROR(VLOOKUP(CONCATENATE($F$6,"_",G23),'選手名簿'!$A:$E,5,FALSE))=TRUE,"",VLOOKUP(CONCATENATE($F$6,"_",G23),'選手名簿'!$A:$E,5,FALSE))</f>
        <v/>
      </c>
      <c r="G23" s="335"/>
      <c r="H23" s="335"/>
      <c r="I23" s="335"/>
      <c r="J23" s="401"/>
      <c r="K23" s="335"/>
      <c r="L23" s="335"/>
      <c r="M23" s="335"/>
      <c r="N23" s="336" t="str">
        <f>IF(ISERROR(VLOOKUP(CONCATENATE($N$6,"_",M23),'選手名簿'!$A:$E,5,FALSE))=TRUE,"",VLOOKUP(CONCATENATE($N$6,"_",M23),'選手名簿'!$A:$E,5,FALSE))</f>
        <v/>
      </c>
      <c r="P23" s="330" t="s">
        <v>557</v>
      </c>
      <c r="Q23" s="750" t="s">
        <v>671</v>
      </c>
      <c r="R23" s="750"/>
      <c r="S23" s="751"/>
      <c r="T23" s="333" t="s">
        <v>419</v>
      </c>
      <c r="U23" s="334" t="str">
        <f>IF(ISERROR(VLOOKUP(CONCATENATE($U$6,"_",V23),'選手名簿'!$A:$E,5,FALSE))=TRUE,"",VLOOKUP(CONCATENATE($U$6,"_",V23),'選手名簿'!$A:$E,5,FALSE))</f>
        <v/>
      </c>
      <c r="V23" s="335"/>
      <c r="W23" s="335"/>
      <c r="X23" s="335"/>
      <c r="Y23" s="401"/>
      <c r="Z23" s="335"/>
      <c r="AA23" s="335"/>
      <c r="AB23" s="335"/>
      <c r="AC23" s="336" t="str">
        <f>IF(ISERROR(VLOOKUP(CONCATENATE($AC$6,"_",AB23),'選手名簿'!$A:$E,5,FALSE))=TRUE,"",VLOOKUP(CONCATENATE($AC$6,"_",AB23),'選手名簿'!$A:$E,5,FALSE))</f>
        <v/>
      </c>
    </row>
    <row r="24" spans="1:29" ht="26.25" customHeight="1">
      <c r="A24" s="330" t="s">
        <v>563</v>
      </c>
      <c r="B24" s="752" t="str">
        <f>IF(ISERROR(VLOOKUP(B23,'審判員'!$A:$C,2,FALSE))=TRUE,"",VLOOKUP(B23,'審判員'!$A:$C,2,FALSE))</f>
        <v>佐藤　慎二</v>
      </c>
      <c r="C24" s="753"/>
      <c r="D24" s="331" t="str">
        <f>IF(ISERROR(VLOOKUP(B23,'審判員'!$A:$C,3,FALSE))=TRUE,"",VLOOKUP(B23,'審判員'!$A:$C,3,FALSE))</f>
        <v>３級</v>
      </c>
      <c r="E24" s="333" t="s">
        <v>419</v>
      </c>
      <c r="F24" s="334" t="str">
        <f>IF(ISERROR(VLOOKUP(CONCATENATE($F$6,"_",G24),'選手名簿'!$A:$E,5,FALSE))=TRUE,"",VLOOKUP(CONCATENATE($F$6,"_",G24),'選手名簿'!$A:$E,5,FALSE))</f>
        <v/>
      </c>
      <c r="G24" s="335"/>
      <c r="H24" s="335"/>
      <c r="I24" s="335"/>
      <c r="J24" s="401"/>
      <c r="K24" s="335"/>
      <c r="L24" s="335"/>
      <c r="M24" s="335"/>
      <c r="N24" s="336" t="str">
        <f>IF(ISERROR(VLOOKUP(CONCATENATE($N$6,"_",M24),'選手名簿'!$A:$E,5,FALSE))=TRUE,"",VLOOKUP(CONCATENATE($N$6,"_",M24),'選手名簿'!$A:$E,5,FALSE))</f>
        <v/>
      </c>
      <c r="P24" s="330" t="s">
        <v>563</v>
      </c>
      <c r="Q24" s="752" t="str">
        <f>IF(ISERROR(VLOOKUP(Q23,'審判員'!$A:$C,2,FALSE))=TRUE,"",VLOOKUP(Q23,'審判員'!$A:$C,2,FALSE))</f>
        <v>宇髙　篤史</v>
      </c>
      <c r="R24" s="753"/>
      <c r="S24" s="331" t="str">
        <f>IF(ISERROR(VLOOKUP(Q23,'審判員'!$A:$C,3,FALSE))=TRUE,"",VLOOKUP(Q23,'審判員'!$A:$C,3,FALSE))</f>
        <v>３級</v>
      </c>
      <c r="T24" s="333" t="s">
        <v>419</v>
      </c>
      <c r="U24" s="334" t="str">
        <f>IF(ISERROR(VLOOKUP(CONCATENATE($U$6,"_",V24),'選手名簿'!$A:$E,5,FALSE))=TRUE,"",VLOOKUP(CONCATENATE($U$6,"_",V24),'選手名簿'!$A:$E,5,FALSE))</f>
        <v/>
      </c>
      <c r="V24" s="335"/>
      <c r="W24" s="335"/>
      <c r="X24" s="335"/>
      <c r="Y24" s="401"/>
      <c r="Z24" s="335"/>
      <c r="AA24" s="335"/>
      <c r="AB24" s="335"/>
      <c r="AC24" s="336" t="str">
        <f>IF(ISERROR(VLOOKUP(CONCATENATE($AC$6,"_",AB24),'選手名簿'!$A:$E,5,FALSE))=TRUE,"",VLOOKUP(CONCATENATE($AC$6,"_",AB24),'選手名簿'!$A:$E,5,FALSE))</f>
        <v/>
      </c>
    </row>
    <row r="25" spans="1:29" ht="26.25" customHeight="1">
      <c r="A25" s="330" t="s">
        <v>557</v>
      </c>
      <c r="B25" s="750" t="s">
        <v>592</v>
      </c>
      <c r="C25" s="750"/>
      <c r="D25" s="751"/>
      <c r="E25" s="333" t="s">
        <v>419</v>
      </c>
      <c r="F25" s="334" t="str">
        <f>IF(ISERROR(VLOOKUP(CONCATENATE($F$6,"_",G25),'選手名簿'!$A:$E,5,FALSE))=TRUE,"",VLOOKUP(CONCATENATE($F$6,"_",G25),'選手名簿'!$A:$E,5,FALSE))</f>
        <v/>
      </c>
      <c r="G25" s="335"/>
      <c r="H25" s="335"/>
      <c r="I25" s="335"/>
      <c r="J25" s="401"/>
      <c r="K25" s="335"/>
      <c r="L25" s="335"/>
      <c r="M25" s="335"/>
      <c r="N25" s="336" t="str">
        <f>IF(ISERROR(VLOOKUP(CONCATENATE($N$6,"_",M25),'選手名簿'!$A:$E,5,FALSE))=TRUE,"",VLOOKUP(CONCATENATE($N$6,"_",M25),'選手名簿'!$A:$E,5,FALSE))</f>
        <v/>
      </c>
      <c r="P25" s="330" t="s">
        <v>557</v>
      </c>
      <c r="Q25" s="750" t="s">
        <v>672</v>
      </c>
      <c r="R25" s="750"/>
      <c r="S25" s="751"/>
      <c r="T25" s="333" t="s">
        <v>419</v>
      </c>
      <c r="U25" s="334" t="str">
        <f>IF(ISERROR(VLOOKUP(CONCATENATE($U$6,"_",V25),'選手名簿'!$A:$E,5,FALSE))=TRUE,"",VLOOKUP(CONCATENATE($U$6,"_",V25),'選手名簿'!$A:$E,5,FALSE))</f>
        <v/>
      </c>
      <c r="V25" s="335"/>
      <c r="W25" s="335"/>
      <c r="X25" s="335"/>
      <c r="Y25" s="401"/>
      <c r="Z25" s="335"/>
      <c r="AA25" s="335"/>
      <c r="AB25" s="335"/>
      <c r="AC25" s="336" t="str">
        <f>IF(ISERROR(VLOOKUP(CONCATENATE($AC$6,"_",AB25),'選手名簿'!$A:$E,5,FALSE))=TRUE,"",VLOOKUP(CONCATENATE($AC$6,"_",AB25),'選手名簿'!$A:$E,5,FALSE))</f>
        <v/>
      </c>
    </row>
    <row r="26" spans="1:29" ht="26.25" customHeight="1">
      <c r="A26" s="330" t="s">
        <v>566</v>
      </c>
      <c r="B26" s="752" t="str">
        <f>IF(ISERROR(VLOOKUP(B25,'審判員'!$A:$C,2,FALSE))=TRUE,"",VLOOKUP(B25,'審判員'!$A:$C,2,FALSE))</f>
        <v>田尻　貴志</v>
      </c>
      <c r="C26" s="753"/>
      <c r="D26" s="331" t="str">
        <f>IF(ISERROR(VLOOKUP(B25,'審判員'!$A:$C,3,FALSE))=TRUE,"",VLOOKUP(B25,'審判員'!$A:$C,3,FALSE))</f>
        <v>３級</v>
      </c>
      <c r="E26" s="333" t="s">
        <v>419</v>
      </c>
      <c r="F26" s="334" t="str">
        <f>IF(ISERROR(VLOOKUP(CONCATENATE($F$6,"_",G26),'選手名簿'!$A:$E,5,FALSE))=TRUE,"",VLOOKUP(CONCATENATE($F$6,"_",G26),'選手名簿'!$A:$E,5,FALSE))</f>
        <v/>
      </c>
      <c r="G26" s="335"/>
      <c r="H26" s="335"/>
      <c r="I26" s="335"/>
      <c r="J26" s="401"/>
      <c r="K26" s="335"/>
      <c r="L26" s="335"/>
      <c r="M26" s="335"/>
      <c r="N26" s="336" t="str">
        <f>IF(ISERROR(VLOOKUP(CONCATENATE($N$6,"_",M26),'選手名簿'!$A:$E,5,FALSE))=TRUE,"",VLOOKUP(CONCATENATE($N$6,"_",M26),'選手名簿'!$A:$E,5,FALSE))</f>
        <v/>
      </c>
      <c r="P26" s="330" t="s">
        <v>566</v>
      </c>
      <c r="Q26" s="752" t="str">
        <f>IF(ISERROR(VLOOKUP(Q25,'審判員'!$A:$C,2,FALSE))=TRUE,"",VLOOKUP(Q25,'審判員'!$A:$C,2,FALSE))</f>
        <v>奥田　和彦</v>
      </c>
      <c r="R26" s="753"/>
      <c r="S26" s="331" t="str">
        <f>IF(ISERROR(VLOOKUP(Q25,'審判員'!$A:$C,3,FALSE))=TRUE,"",VLOOKUP(Q25,'審判員'!$A:$C,3,FALSE))</f>
        <v>３級</v>
      </c>
      <c r="T26" s="333" t="s">
        <v>419</v>
      </c>
      <c r="U26" s="334" t="str">
        <f>IF(ISERROR(VLOOKUP(CONCATENATE($U$6,"_",V26),'選手名簿'!$A:$E,5,FALSE))=TRUE,"",VLOOKUP(CONCATENATE($U$6,"_",V26),'選手名簿'!$A:$E,5,FALSE))</f>
        <v/>
      </c>
      <c r="V26" s="335"/>
      <c r="W26" s="335"/>
      <c r="X26" s="335"/>
      <c r="Y26" s="401"/>
      <c r="Z26" s="335"/>
      <c r="AA26" s="335"/>
      <c r="AB26" s="335"/>
      <c r="AC26" s="336" t="str">
        <f>IF(ISERROR(VLOOKUP(CONCATENATE($AC$6,"_",AB26),'選手名簿'!$A:$E,5,FALSE))=TRUE,"",VLOOKUP(CONCATENATE($AC$6,"_",AB26),'選手名簿'!$A:$E,5,FALSE))</f>
        <v/>
      </c>
    </row>
    <row r="27" spans="1:29" ht="26.25" customHeight="1">
      <c r="A27" s="330" t="s">
        <v>557</v>
      </c>
      <c r="B27" s="750" t="s">
        <v>673</v>
      </c>
      <c r="C27" s="750"/>
      <c r="D27" s="751"/>
      <c r="E27" s="333" t="s">
        <v>419</v>
      </c>
      <c r="F27" s="334" t="str">
        <f>IF(ISERROR(VLOOKUP(CONCATENATE($F$6,"_",G27),'選手名簿'!$A:$E,5,FALSE))=TRUE,"",VLOOKUP(CONCATENATE($F$6,"_",G27),'選手名簿'!$A:$E,5,FALSE))</f>
        <v/>
      </c>
      <c r="G27" s="335"/>
      <c r="H27" s="335"/>
      <c r="I27" s="335"/>
      <c r="J27" s="401"/>
      <c r="K27" s="335"/>
      <c r="L27" s="335"/>
      <c r="M27" s="335"/>
      <c r="N27" s="336" t="str">
        <f>IF(ISERROR(VLOOKUP(CONCATENATE($N$6,"_",M27),'選手名簿'!$A:$E,5,FALSE))=TRUE,"",VLOOKUP(CONCATENATE($N$6,"_",M27),'選手名簿'!$A:$E,5,FALSE))</f>
        <v/>
      </c>
      <c r="P27" s="330" t="s">
        <v>557</v>
      </c>
      <c r="Q27" s="750" t="s">
        <v>674</v>
      </c>
      <c r="R27" s="750"/>
      <c r="S27" s="751"/>
      <c r="T27" s="333" t="s">
        <v>419</v>
      </c>
      <c r="U27" s="334" t="str">
        <f>IF(ISERROR(VLOOKUP(CONCATENATE($U$6,"_",V27),'選手名簿'!$A:$E,5,FALSE))=TRUE,"",VLOOKUP(CONCATENATE($U$6,"_",V27),'選手名簿'!$A:$E,5,FALSE))</f>
        <v/>
      </c>
      <c r="V27" s="335"/>
      <c r="W27" s="335"/>
      <c r="X27" s="335"/>
      <c r="Y27" s="401"/>
      <c r="Z27" s="335"/>
      <c r="AA27" s="335"/>
      <c r="AB27" s="335"/>
      <c r="AC27" s="336" t="str">
        <f>IF(ISERROR(VLOOKUP(CONCATENATE($AC$6,"_",AB27),'選手名簿'!$A:$E,5,FALSE))=TRUE,"",VLOOKUP(CONCATENATE($AC$6,"_",AB27),'選手名簿'!$A:$E,5,FALSE))</f>
        <v/>
      </c>
    </row>
    <row r="28" spans="1:29" ht="26.25" customHeight="1">
      <c r="A28" s="330" t="s">
        <v>568</v>
      </c>
      <c r="B28" s="752" t="str">
        <f>IF(ISERROR(VLOOKUP(B27,'審判員'!$A:$C,2,FALSE))=TRUE,"",VLOOKUP(B27,'審判員'!$A:$C,2,FALSE))</f>
        <v>大塚　浩司</v>
      </c>
      <c r="C28" s="753"/>
      <c r="D28" s="331" t="str">
        <f>IF(ISERROR(VLOOKUP(B27,'審判員'!$A:$C,3,FALSE))=TRUE,"",VLOOKUP(B27,'審判員'!$A:$C,3,FALSE))</f>
        <v>３級</v>
      </c>
      <c r="E28" s="337" t="s">
        <v>419</v>
      </c>
      <c r="F28" s="338" t="str">
        <f>IF(ISERROR(VLOOKUP(CONCATENATE($F$6,"_",G28),'選手名簿'!$A:$E,5,FALSE))=TRUE,"",VLOOKUP(CONCATENATE($F$6,"_",G28),'選手名簿'!$A:$E,5,FALSE))</f>
        <v/>
      </c>
      <c r="G28" s="339"/>
      <c r="H28" s="339"/>
      <c r="I28" s="339"/>
      <c r="J28" s="408"/>
      <c r="K28" s="339"/>
      <c r="L28" s="339"/>
      <c r="M28" s="339"/>
      <c r="N28" s="340" t="str">
        <f>IF(ISERROR(VLOOKUP(CONCATENATE($N$6,"_",M28),'選手名簿'!$A:$E,5,FALSE))=TRUE,"",VLOOKUP(CONCATENATE($N$6,"_",M28),'選手名簿'!$A:$E,5,FALSE))</f>
        <v/>
      </c>
      <c r="P28" s="330" t="s">
        <v>568</v>
      </c>
      <c r="Q28" s="752" t="str">
        <f>IF(ISERROR(VLOOKUP(Q27,'審判員'!$A:$C,2,FALSE))=TRUE,"",VLOOKUP(Q27,'審判員'!$A:$C,2,FALSE))</f>
        <v>金田　智朗</v>
      </c>
      <c r="R28" s="753"/>
      <c r="S28" s="331" t="str">
        <f>IF(ISERROR(VLOOKUP(Q27,'審判員'!$A:$C,3,FALSE))=TRUE,"",VLOOKUP(Q27,'審判員'!$A:$C,3,FALSE))</f>
        <v>３級</v>
      </c>
      <c r="T28" s="337" t="s">
        <v>419</v>
      </c>
      <c r="U28" s="338" t="str">
        <f>IF(ISERROR(VLOOKUP(CONCATENATE($U$6,"_",V28),'選手名簿'!$A:$E,5,FALSE))=TRUE,"",VLOOKUP(CONCATENATE($U$6,"_",V28),'選手名簿'!$A:$E,5,FALSE))</f>
        <v/>
      </c>
      <c r="V28" s="339"/>
      <c r="W28" s="339"/>
      <c r="X28" s="339"/>
      <c r="Y28" s="408"/>
      <c r="Z28" s="339"/>
      <c r="AA28" s="339"/>
      <c r="AB28" s="339"/>
      <c r="AC28" s="340" t="str">
        <f>IF(ISERROR(VLOOKUP(CONCATENATE($AC$6,"_",AB28),'選手名簿'!$A:$E,5,FALSE))=TRUE,"",VLOOKUP(CONCATENATE($AC$6,"_",AB28),'選手名簿'!$A:$E,5,FALSE))</f>
        <v/>
      </c>
    </row>
    <row r="29" spans="5:20" ht="9.95" customHeight="1">
      <c r="E29" s="341"/>
      <c r="T29" s="341"/>
    </row>
    <row r="30" spans="5:20" ht="9.95" customHeight="1">
      <c r="E30" s="341"/>
      <c r="T30" s="341"/>
    </row>
    <row r="31" spans="5:20" ht="9.95" customHeight="1">
      <c r="E31" s="341"/>
      <c r="T31" s="341"/>
    </row>
    <row r="32" spans="5:20" ht="9.95" customHeight="1">
      <c r="E32" s="341"/>
      <c r="T32" s="341"/>
    </row>
    <row r="33" spans="2:20" ht="27.4" customHeight="1">
      <c r="B33" s="303" t="s">
        <v>675</v>
      </c>
      <c r="E33" s="341"/>
      <c r="Q33" s="303" t="s">
        <v>676</v>
      </c>
      <c r="T33" s="341"/>
    </row>
    <row r="34" spans="1:29" ht="27.4" customHeight="1">
      <c r="A34" s="312" t="s">
        <v>546</v>
      </c>
      <c r="B34" s="772" t="s">
        <v>596</v>
      </c>
      <c r="C34" s="773"/>
      <c r="D34" s="774"/>
      <c r="E34" s="756">
        <v>0.4305555555555556</v>
      </c>
      <c r="F34" s="863" t="str">
        <f>VLOOKUP('決勝トーナメント'!J26,'組合せ抽選用'!$S:$U,3,FALSE)</f>
        <v>下毛ＦＣ</v>
      </c>
      <c r="G34" s="762">
        <f>SUM(I34:I35)</f>
        <v>1</v>
      </c>
      <c r="H34" s="765" t="s">
        <v>294</v>
      </c>
      <c r="I34" s="398">
        <v>1</v>
      </c>
      <c r="J34" s="313" t="s">
        <v>548</v>
      </c>
      <c r="K34" s="313">
        <v>0</v>
      </c>
      <c r="L34" s="765" t="s">
        <v>549</v>
      </c>
      <c r="M34" s="762">
        <f>SUM(K34:K35)</f>
        <v>1</v>
      </c>
      <c r="N34" s="866" t="str">
        <f>VLOOKUP('決勝トーナメント'!L26,'組合せ抽選用'!$S:$U,3,FALSE)</f>
        <v>アトレチコエラン横瀬</v>
      </c>
      <c r="P34" s="312" t="s">
        <v>546</v>
      </c>
      <c r="Q34" s="772" t="s">
        <v>597</v>
      </c>
      <c r="R34" s="773"/>
      <c r="S34" s="774"/>
      <c r="T34" s="756">
        <v>0.4305555555555556</v>
      </c>
      <c r="U34" s="863" t="str">
        <f>VLOOKUP('決勝トーナメント'!N26,'組合せ抽選用'!$S:$U,3,FALSE)</f>
        <v>ＫＩＮＧＳ　ＦＯＯＴＢＡＬＬＣＬＵＢ　Ｕ－１２</v>
      </c>
      <c r="V34" s="762">
        <f>SUM(X34:X35)</f>
        <v>0</v>
      </c>
      <c r="W34" s="765" t="s">
        <v>294</v>
      </c>
      <c r="X34" s="313">
        <v>0</v>
      </c>
      <c r="Y34" s="313" t="s">
        <v>548</v>
      </c>
      <c r="Z34" s="398">
        <v>0</v>
      </c>
      <c r="AA34" s="765" t="s">
        <v>549</v>
      </c>
      <c r="AB34" s="762">
        <f>SUM(Z34:Z35)</f>
        <v>1</v>
      </c>
      <c r="AC34" s="866" t="str">
        <f>VLOOKUP('決勝トーナメント'!P26,'組合せ抽選用'!$S:$U,3,FALSE)</f>
        <v>太陽スポーツクラブ大分西</v>
      </c>
    </row>
    <row r="35" spans="1:29" ht="27.4" customHeight="1">
      <c r="A35" s="314" t="s">
        <v>551</v>
      </c>
      <c r="B35" s="771" t="s">
        <v>547</v>
      </c>
      <c r="C35" s="771"/>
      <c r="D35" s="772"/>
      <c r="E35" s="757"/>
      <c r="F35" s="864"/>
      <c r="G35" s="763"/>
      <c r="H35" s="766"/>
      <c r="I35" s="409">
        <v>0</v>
      </c>
      <c r="J35" s="303" t="s">
        <v>552</v>
      </c>
      <c r="K35" s="303">
        <v>1</v>
      </c>
      <c r="L35" s="766"/>
      <c r="M35" s="763"/>
      <c r="N35" s="867"/>
      <c r="P35" s="314" t="s">
        <v>551</v>
      </c>
      <c r="Q35" s="771" t="s">
        <v>677</v>
      </c>
      <c r="R35" s="771"/>
      <c r="S35" s="772"/>
      <c r="T35" s="757"/>
      <c r="U35" s="864"/>
      <c r="V35" s="763"/>
      <c r="W35" s="766"/>
      <c r="X35" s="303">
        <v>0</v>
      </c>
      <c r="Y35" s="303" t="s">
        <v>552</v>
      </c>
      <c r="Z35" s="303">
        <v>1</v>
      </c>
      <c r="AA35" s="766"/>
      <c r="AB35" s="763"/>
      <c r="AC35" s="867"/>
    </row>
    <row r="36" spans="1:29" ht="27.4" customHeight="1">
      <c r="A36" s="314" t="s">
        <v>553</v>
      </c>
      <c r="B36" s="771" t="s">
        <v>572</v>
      </c>
      <c r="C36" s="771"/>
      <c r="D36" s="772"/>
      <c r="E36" s="758"/>
      <c r="F36" s="865"/>
      <c r="G36" s="764"/>
      <c r="H36" s="767"/>
      <c r="I36" s="315">
        <v>2</v>
      </c>
      <c r="J36" s="315" t="s">
        <v>555</v>
      </c>
      <c r="K36" s="315">
        <v>1</v>
      </c>
      <c r="L36" s="767"/>
      <c r="M36" s="764"/>
      <c r="N36" s="868"/>
      <c r="P36" s="314" t="s">
        <v>553</v>
      </c>
      <c r="Q36" s="771" t="s">
        <v>571</v>
      </c>
      <c r="R36" s="771"/>
      <c r="S36" s="772"/>
      <c r="T36" s="758"/>
      <c r="U36" s="865"/>
      <c r="V36" s="764"/>
      <c r="W36" s="767"/>
      <c r="X36" s="315"/>
      <c r="Y36" s="315" t="s">
        <v>555</v>
      </c>
      <c r="Z36" s="315"/>
      <c r="AA36" s="767"/>
      <c r="AB36" s="764"/>
      <c r="AC36" s="868"/>
    </row>
    <row r="37" spans="5:29" ht="26.25" customHeight="1" hidden="1">
      <c r="E37" s="316"/>
      <c r="F37" s="317" t="s">
        <v>418</v>
      </c>
      <c r="G37" s="317" t="s">
        <v>557</v>
      </c>
      <c r="H37" s="317" t="s">
        <v>524</v>
      </c>
      <c r="I37" s="317"/>
      <c r="J37" s="399"/>
      <c r="K37" s="317"/>
      <c r="L37" s="317" t="s">
        <v>524</v>
      </c>
      <c r="M37" s="317" t="s">
        <v>557</v>
      </c>
      <c r="N37" s="319" t="s">
        <v>418</v>
      </c>
      <c r="T37" s="316"/>
      <c r="U37" s="317" t="s">
        <v>418</v>
      </c>
      <c r="V37" s="317" t="s">
        <v>557</v>
      </c>
      <c r="W37" s="317" t="s">
        <v>524</v>
      </c>
      <c r="X37" s="317"/>
      <c r="Y37" s="399"/>
      <c r="Z37" s="317"/>
      <c r="AA37" s="317" t="s">
        <v>524</v>
      </c>
      <c r="AB37" s="317" t="s">
        <v>557</v>
      </c>
      <c r="AC37" s="319" t="s">
        <v>418</v>
      </c>
    </row>
    <row r="38" spans="5:29" ht="26.25" customHeight="1" hidden="1">
      <c r="E38" s="333" t="s">
        <v>558</v>
      </c>
      <c r="F38" s="400" t="str">
        <f>IF(ISERROR(VLOOKUP(CONCATENATE($F$34,"_",G38),'選手名簿'!$A:$E,5,FALSE))=TRUE,"",VLOOKUP(CONCATENATE($F$34,"_",G38),'選手名簿'!$A:$E,5,FALSE))</f>
        <v/>
      </c>
      <c r="G38" s="335"/>
      <c r="H38" s="335"/>
      <c r="I38" s="335"/>
      <c r="J38" s="401"/>
      <c r="K38" s="335"/>
      <c r="L38" s="335"/>
      <c r="M38" s="335"/>
      <c r="N38" s="402" t="str">
        <f>IF(ISERROR(VLOOKUP(CONCATENATE($N$34,"_",M38),'選手名簿'!$A:$E,5,FALSE))=TRUE,"",VLOOKUP(CONCATENATE($N$34,"_",M38),'選手名簿'!$A:$E,5,FALSE))</f>
        <v/>
      </c>
      <c r="T38" s="333" t="s">
        <v>558</v>
      </c>
      <c r="U38" s="400" t="str">
        <f>IF(ISERROR(VLOOKUP(CONCATENATE($U$34,"_",V38),'選手名簿'!$A:$E,5,FALSE))=TRUE,"",VLOOKUP(CONCATENATE($U$34,"_",V38),'選手名簿'!$A:$E,5,FALSE))</f>
        <v/>
      </c>
      <c r="V38" s="335"/>
      <c r="W38" s="335"/>
      <c r="X38" s="335"/>
      <c r="Y38" s="401"/>
      <c r="Z38" s="335"/>
      <c r="AA38" s="335"/>
      <c r="AB38" s="335"/>
      <c r="AC38" s="402" t="str">
        <f>IF(ISERROR(VLOOKUP(CONCATENATE($AC$34,"_",AB38),'選手名簿'!$A:$E,5,FALSE))=TRUE,"",VLOOKUP(CONCATENATE($AC$34,"_",AB38),'選手名簿'!$A:$E,5,FALSE))</f>
        <v/>
      </c>
    </row>
    <row r="39" spans="5:29" ht="26.25" customHeight="1" hidden="1">
      <c r="E39" s="333" t="s">
        <v>558</v>
      </c>
      <c r="F39" s="321" t="str">
        <f>IF(ISERROR(VLOOKUP(CONCATENATE($F$34,"_",G39),'選手名簿'!$A:$E,5,FALSE))=TRUE,"",VLOOKUP(CONCATENATE($F$34,"_",G39),'選手名簿'!$A:$E,5,FALSE))</f>
        <v/>
      </c>
      <c r="G39" s="335"/>
      <c r="H39" s="335"/>
      <c r="I39" s="335"/>
      <c r="J39" s="401"/>
      <c r="K39" s="335"/>
      <c r="L39" s="335"/>
      <c r="M39" s="335"/>
      <c r="N39" s="402" t="str">
        <f>IF(ISERROR(VLOOKUP(CONCATENATE($N$34,"_",M39),'選手名簿'!$A:$E,5,FALSE))=TRUE,"",VLOOKUP(CONCATENATE($N$34,"_",M39),'選手名簿'!$A:$E,5,FALSE))</f>
        <v/>
      </c>
      <c r="T39" s="333" t="s">
        <v>558</v>
      </c>
      <c r="U39" s="321" t="str">
        <f>IF(ISERROR(VLOOKUP(CONCATENATE($U$34,"_",V39),'選手名簿'!$A:$E,5,FALSE))=TRUE,"",VLOOKUP(CONCATENATE($U$34,"_",V39),'選手名簿'!$A:$E,5,FALSE))</f>
        <v/>
      </c>
      <c r="V39" s="335"/>
      <c r="W39" s="335"/>
      <c r="X39" s="335"/>
      <c r="Y39" s="401"/>
      <c r="Z39" s="335"/>
      <c r="AA39" s="335"/>
      <c r="AB39" s="335"/>
      <c r="AC39" s="402" t="str">
        <f>IF(ISERROR(VLOOKUP(CONCATENATE($AC$34,"_",AB39),'選手名簿'!$A:$E,5,FALSE))=TRUE,"",VLOOKUP(CONCATENATE($AC$34,"_",AB39),'選手名簿'!$A:$E,5,FALSE))</f>
        <v/>
      </c>
    </row>
    <row r="40" spans="5:29" ht="26.25" customHeight="1" hidden="1">
      <c r="E40" s="333" t="s">
        <v>558</v>
      </c>
      <c r="F40" s="334" t="str">
        <f>IF(ISERROR(VLOOKUP(CONCATENATE($F$34,"_",G40),'選手名簿'!$A:$E,5,FALSE))=TRUE,"",VLOOKUP(CONCATENATE($F$34,"_",G40),'選手名簿'!$A:$E,5,FALSE))</f>
        <v/>
      </c>
      <c r="G40" s="335"/>
      <c r="H40" s="335"/>
      <c r="I40" s="335"/>
      <c r="J40" s="401"/>
      <c r="K40" s="335"/>
      <c r="L40" s="335"/>
      <c r="M40" s="335"/>
      <c r="N40" s="402" t="str">
        <f>IF(ISERROR(VLOOKUP(CONCATENATE($N$34,"_",M40),'選手名簿'!$A:$E,5,FALSE))=TRUE,"",VLOOKUP(CONCATENATE($N$34,"_",M40),'選手名簿'!$A:$E,5,FALSE))</f>
        <v/>
      </c>
      <c r="T40" s="333" t="s">
        <v>558</v>
      </c>
      <c r="U40" s="334" t="str">
        <f>IF(ISERROR(VLOOKUP(CONCATENATE($U$34,"_",V40),'選手名簿'!$A:$E,5,FALSE))=TRUE,"",VLOOKUP(CONCATENATE($U$34,"_",V40),'選手名簿'!$A:$E,5,FALSE))</f>
        <v/>
      </c>
      <c r="V40" s="335"/>
      <c r="W40" s="335"/>
      <c r="X40" s="335"/>
      <c r="Y40" s="401"/>
      <c r="Z40" s="335"/>
      <c r="AA40" s="335"/>
      <c r="AB40" s="335"/>
      <c r="AC40" s="402" t="str">
        <f>IF(ISERROR(VLOOKUP(CONCATENATE($AC$34,"_",AB40),'選手名簿'!$A:$E,5,FALSE))=TRUE,"",VLOOKUP(CONCATENATE($AC$34,"_",AB40),'選手名簿'!$A:$E,5,FALSE))</f>
        <v/>
      </c>
    </row>
    <row r="41" spans="5:29" ht="26.25" customHeight="1" hidden="1">
      <c r="E41" s="333" t="s">
        <v>558</v>
      </c>
      <c r="F41" s="334" t="str">
        <f>IF(ISERROR(VLOOKUP(CONCATENATE($F$34,"_",G41),'選手名簿'!$A:$E,5,FALSE))=TRUE,"",VLOOKUP(CONCATENATE($F$34,"_",G41),'選手名簿'!$A:$E,5,FALSE))</f>
        <v/>
      </c>
      <c r="G41" s="335"/>
      <c r="H41" s="335"/>
      <c r="I41" s="335"/>
      <c r="J41" s="401"/>
      <c r="K41" s="335"/>
      <c r="L41" s="335"/>
      <c r="M41" s="335"/>
      <c r="N41" s="402" t="str">
        <f>IF(ISERROR(VLOOKUP(CONCATENATE($N$34,"_",M41),'選手名簿'!$A:$E,5,FALSE))=TRUE,"",VLOOKUP(CONCATENATE($N$34,"_",M41),'選手名簿'!$A:$E,5,FALSE))</f>
        <v/>
      </c>
      <c r="T41" s="333" t="s">
        <v>558</v>
      </c>
      <c r="U41" s="334" t="str">
        <f>IF(ISERROR(VLOOKUP(CONCATENATE($U$34,"_",V41),'選手名簿'!$A:$E,5,FALSE))=TRUE,"",VLOOKUP(CONCATENATE($U$34,"_",V41),'選手名簿'!$A:$E,5,FALSE))</f>
        <v/>
      </c>
      <c r="V41" s="335"/>
      <c r="W41" s="335"/>
      <c r="X41" s="335"/>
      <c r="Y41" s="401"/>
      <c r="Z41" s="335"/>
      <c r="AA41" s="335"/>
      <c r="AB41" s="335"/>
      <c r="AC41" s="402" t="str">
        <f>IF(ISERROR(VLOOKUP(CONCATENATE($AC$34,"_",AB41),'選手名簿'!$A:$E,5,FALSE))=TRUE,"",VLOOKUP(CONCATENATE($AC$34,"_",AB41),'選手名簿'!$A:$E,5,FALSE))</f>
        <v/>
      </c>
    </row>
    <row r="42" spans="5:29" ht="26.25" customHeight="1" hidden="1">
      <c r="E42" s="333" t="s">
        <v>558</v>
      </c>
      <c r="F42" s="334" t="str">
        <f>IF(ISERROR(VLOOKUP(CONCATENATE($F$34,"_",G42),'選手名簿'!$A:$E,5,FALSE))=TRUE,"",VLOOKUP(CONCATENATE($F$34,"_",G42),'選手名簿'!$A:$E,5,FALSE))</f>
        <v/>
      </c>
      <c r="G42" s="335"/>
      <c r="H42" s="335"/>
      <c r="I42" s="335"/>
      <c r="J42" s="401"/>
      <c r="K42" s="335"/>
      <c r="L42" s="335"/>
      <c r="M42" s="335"/>
      <c r="N42" s="324" t="str">
        <f>IF(ISERROR(VLOOKUP(CONCATENATE($N$34,"_",M42),'選手名簿'!$A:$E,5,FALSE))=TRUE,"",VLOOKUP(CONCATENATE($N$34,"_",M42),'選手名簿'!$A:$E,5,FALSE))</f>
        <v/>
      </c>
      <c r="T42" s="333" t="s">
        <v>558</v>
      </c>
      <c r="U42" s="334" t="str">
        <f>IF(ISERROR(VLOOKUP(CONCATENATE($U$34,"_",V42),'選手名簿'!$A:$E,5,FALSE))=TRUE,"",VLOOKUP(CONCATENATE($U$34,"_",V42),'選手名簿'!$A:$E,5,FALSE))</f>
        <v/>
      </c>
      <c r="V42" s="335"/>
      <c r="W42" s="335"/>
      <c r="X42" s="335"/>
      <c r="Y42" s="401"/>
      <c r="Z42" s="335"/>
      <c r="AA42" s="335"/>
      <c r="AB42" s="335"/>
      <c r="AC42" s="324" t="str">
        <f>IF(ISERROR(VLOOKUP(CONCATENATE($AC$34,"_",AB42),'選手名簿'!$A:$E,5,FALSE))=TRUE,"",VLOOKUP(CONCATENATE($AC$34,"_",AB42),'選手名簿'!$A:$E,5,FALSE))</f>
        <v/>
      </c>
    </row>
    <row r="43" spans="5:29" ht="26.25" customHeight="1" hidden="1">
      <c r="E43" s="333" t="s">
        <v>558</v>
      </c>
      <c r="F43" s="334" t="str">
        <f>IF(ISERROR(VLOOKUP(CONCATENATE($F$34,"_",G43),'選手名簿'!$A:$E,5,FALSE))=TRUE,"",VLOOKUP(CONCATENATE($F$34,"_",G43),'選手名簿'!$A:$E,5,FALSE))</f>
        <v/>
      </c>
      <c r="G43" s="335"/>
      <c r="H43" s="335"/>
      <c r="I43" s="335"/>
      <c r="J43" s="401"/>
      <c r="K43" s="335"/>
      <c r="L43" s="335"/>
      <c r="M43" s="335"/>
      <c r="N43" s="336" t="str">
        <f>IF(ISERROR(VLOOKUP(CONCATENATE($N$34,"_",M43),'選手名簿'!$A:$E,5,FALSE))=TRUE,"",VLOOKUP(CONCATENATE($N$34,"_",M43),'選手名簿'!$A:$E,5,FALSE))</f>
        <v/>
      </c>
      <c r="T43" s="333" t="s">
        <v>558</v>
      </c>
      <c r="U43" s="334" t="str">
        <f>IF(ISERROR(VLOOKUP(CONCATENATE($U$34,"_",V43),'選手名簿'!$A:$E,5,FALSE))=TRUE,"",VLOOKUP(CONCATENATE($U$34,"_",V43),'選手名簿'!$A:$E,5,FALSE))</f>
        <v/>
      </c>
      <c r="V43" s="335"/>
      <c r="W43" s="335"/>
      <c r="X43" s="335"/>
      <c r="Y43" s="401"/>
      <c r="Z43" s="335"/>
      <c r="AA43" s="335"/>
      <c r="AB43" s="335"/>
      <c r="AC43" s="336" t="str">
        <f>IF(ISERROR(VLOOKUP(CONCATENATE($AC$34,"_",AB43),'選手名簿'!$A:$E,5,FALSE))=TRUE,"",VLOOKUP(CONCATENATE($AC$34,"_",AB43),'選手名簿'!$A:$E,5,FALSE))</f>
        <v/>
      </c>
    </row>
    <row r="44" spans="5:29" ht="26.25" customHeight="1" hidden="1">
      <c r="E44" s="333" t="s">
        <v>558</v>
      </c>
      <c r="F44" s="334" t="str">
        <f>IF(ISERROR(VLOOKUP(CONCATENATE($F$34,"_",G44),'選手名簿'!$A:$E,5,FALSE))=TRUE,"",VLOOKUP(CONCATENATE($F$34,"_",G44),'選手名簿'!$A:$E,5,FALSE))</f>
        <v/>
      </c>
      <c r="G44" s="335"/>
      <c r="H44" s="335"/>
      <c r="I44" s="335"/>
      <c r="J44" s="401"/>
      <c r="K44" s="335"/>
      <c r="L44" s="335"/>
      <c r="M44" s="335"/>
      <c r="N44" s="336" t="str">
        <f>IF(ISERROR(VLOOKUP(CONCATENATE($N$34,"_",M44),'選手名簿'!$A:$E,5,FALSE))=TRUE,"",VLOOKUP(CONCATENATE($N$34,"_",M44),'選手名簿'!$A:$E,5,FALSE))</f>
        <v/>
      </c>
      <c r="T44" s="333" t="s">
        <v>558</v>
      </c>
      <c r="U44" s="334" t="str">
        <f>IF(ISERROR(VLOOKUP(CONCATENATE($U$34,"_",V44),'選手名簿'!$A:$E,5,FALSE))=TRUE,"",VLOOKUP(CONCATENATE($U$34,"_",V44),'選手名簿'!$A:$E,5,FALSE))</f>
        <v/>
      </c>
      <c r="V44" s="335"/>
      <c r="W44" s="335"/>
      <c r="X44" s="335"/>
      <c r="Y44" s="401"/>
      <c r="Z44" s="335"/>
      <c r="AA44" s="335"/>
      <c r="AB44" s="335"/>
      <c r="AC44" s="336" t="str">
        <f>IF(ISERROR(VLOOKUP(CONCATENATE($AC$34,"_",AB44),'選手名簿'!$A:$E,5,FALSE))=TRUE,"",VLOOKUP(CONCATENATE($AC$34,"_",AB44),'選手名簿'!$A:$E,5,FALSE))</f>
        <v/>
      </c>
    </row>
    <row r="45" spans="5:29" ht="26.25" customHeight="1" hidden="1">
      <c r="E45" s="333" t="s">
        <v>558</v>
      </c>
      <c r="F45" s="334" t="str">
        <f>IF(ISERROR(VLOOKUP(CONCATENATE($F$34,"_",G45),'選手名簿'!$A:$E,5,FALSE))=TRUE,"",VLOOKUP(CONCATENATE($F$34,"_",G45),'選手名簿'!$A:$E,5,FALSE))</f>
        <v/>
      </c>
      <c r="G45" s="335"/>
      <c r="H45" s="335"/>
      <c r="I45" s="335"/>
      <c r="J45" s="401"/>
      <c r="K45" s="335"/>
      <c r="L45" s="335"/>
      <c r="M45" s="335"/>
      <c r="N45" s="336" t="str">
        <f>IF(ISERROR(VLOOKUP(CONCATENATE($N$34,"_",M45),'選手名簿'!$A:$E,5,FALSE))=TRUE,"",VLOOKUP(CONCATENATE($N$34,"_",M45),'選手名簿'!$A:$E,5,FALSE))</f>
        <v/>
      </c>
      <c r="T45" s="333" t="s">
        <v>558</v>
      </c>
      <c r="U45" s="334" t="str">
        <f>IF(ISERROR(VLOOKUP(CONCATENATE($U$34,"_",V45),'選手名簿'!$A:$E,5,FALSE))=TRUE,"",VLOOKUP(CONCATENATE($U$34,"_",V45),'選手名簿'!$A:$E,5,FALSE))</f>
        <v/>
      </c>
      <c r="V45" s="335"/>
      <c r="W45" s="335"/>
      <c r="X45" s="335"/>
      <c r="Y45" s="401"/>
      <c r="Z45" s="335"/>
      <c r="AA45" s="335"/>
      <c r="AB45" s="335"/>
      <c r="AC45" s="336" t="str">
        <f>IF(ISERROR(VLOOKUP(CONCATENATE($AC$34,"_",AB45),'選手名簿'!$A:$E,5,FALSE))=TRUE,"",VLOOKUP(CONCATENATE($AC$34,"_",AB45),'選手名簿'!$A:$E,5,FALSE))</f>
        <v/>
      </c>
    </row>
    <row r="46" spans="5:29" ht="26.25" customHeight="1" hidden="1">
      <c r="E46" s="333" t="s">
        <v>558</v>
      </c>
      <c r="F46" s="334" t="str">
        <f>IF(ISERROR(VLOOKUP(CONCATENATE($F$34,"_",G46),'選手名簿'!$A:$E,5,FALSE))=TRUE,"",VLOOKUP(CONCATENATE($F$34,"_",G46),'選手名簿'!$A:$E,5,FALSE))</f>
        <v/>
      </c>
      <c r="G46" s="335"/>
      <c r="H46" s="335"/>
      <c r="I46" s="335"/>
      <c r="J46" s="401"/>
      <c r="K46" s="335"/>
      <c r="L46" s="335"/>
      <c r="M46" s="335"/>
      <c r="N46" s="336" t="str">
        <f>IF(ISERROR(VLOOKUP(CONCATENATE($N$34,"_",M46),'選手名簿'!$A:$E,5,FALSE))=TRUE,"",VLOOKUP(CONCATENATE($N$34,"_",M46),'選手名簿'!$A:$E,5,FALSE))</f>
        <v/>
      </c>
      <c r="T46" s="333" t="s">
        <v>558</v>
      </c>
      <c r="U46" s="334" t="str">
        <f>IF(ISERROR(VLOOKUP(CONCATENATE($U$34,"_",V46),'選手名簿'!$A:$E,5,FALSE))=TRUE,"",VLOOKUP(CONCATENATE($U$34,"_",V46),'選手名簿'!$A:$E,5,FALSE))</f>
        <v/>
      </c>
      <c r="V46" s="335"/>
      <c r="W46" s="335"/>
      <c r="X46" s="335"/>
      <c r="Y46" s="401"/>
      <c r="Z46" s="335"/>
      <c r="AA46" s="335"/>
      <c r="AB46" s="335"/>
      <c r="AC46" s="336" t="str">
        <f>IF(ISERROR(VLOOKUP(CONCATENATE($AC$34,"_",AB46),'選手名簿'!$A:$E,5,FALSE))=TRUE,"",VLOOKUP(CONCATENATE($AC$34,"_",AB46),'選手名簿'!$A:$E,5,FALSE))</f>
        <v/>
      </c>
    </row>
    <row r="47" spans="5:29" ht="26.25" customHeight="1" hidden="1">
      <c r="E47" s="403" t="s">
        <v>558</v>
      </c>
      <c r="F47" s="404" t="str">
        <f>IF(ISERROR(VLOOKUP(CONCATENATE($F$34,"_",G47),'選手名簿'!$A:$E,5,FALSE))=TRUE,"",VLOOKUP(CONCATENATE($F$34,"_",G47),'選手名簿'!$A:$E,5,FALSE))</f>
        <v/>
      </c>
      <c r="G47" s="405"/>
      <c r="H47" s="405"/>
      <c r="I47" s="405"/>
      <c r="J47" s="406"/>
      <c r="K47" s="405"/>
      <c r="L47" s="405"/>
      <c r="M47" s="405"/>
      <c r="N47" s="407" t="str">
        <f>IF(ISERROR(VLOOKUP(CONCATENATE($N$34,"_",M47),'選手名簿'!$A:$E,5,FALSE))=TRUE,"",VLOOKUP(CONCATENATE($N$34,"_",M47),'選手名簿'!$A:$E,5,FALSE))</f>
        <v/>
      </c>
      <c r="T47" s="403" t="s">
        <v>558</v>
      </c>
      <c r="U47" s="404" t="str">
        <f>IF(ISERROR(VLOOKUP(CONCATENATE($U$34,"_",V47),'選手名簿'!$A:$E,5,FALSE))=TRUE,"",VLOOKUP(CONCATENATE($U$34,"_",V47),'選手名簿'!$A:$E,5,FALSE))</f>
        <v/>
      </c>
      <c r="V47" s="405"/>
      <c r="W47" s="405"/>
      <c r="X47" s="405"/>
      <c r="Y47" s="406"/>
      <c r="Z47" s="405"/>
      <c r="AA47" s="405"/>
      <c r="AB47" s="405"/>
      <c r="AC47" s="407" t="str">
        <f>IF(ISERROR(VLOOKUP(CONCATENATE($AC$34,"_",AB47),'選手名簿'!$A:$E,5,FALSE))=TRUE,"",VLOOKUP(CONCATENATE($AC$34,"_",AB47),'選手名簿'!$A:$E,5,FALSE))</f>
        <v/>
      </c>
    </row>
    <row r="48" spans="1:29" ht="26.25" customHeight="1">
      <c r="A48" s="754" t="s">
        <v>556</v>
      </c>
      <c r="B48" s="754"/>
      <c r="C48" s="754"/>
      <c r="D48" s="755"/>
      <c r="E48" s="316"/>
      <c r="F48" s="317" t="s">
        <v>418</v>
      </c>
      <c r="G48" s="317" t="s">
        <v>557</v>
      </c>
      <c r="H48" s="317" t="s">
        <v>524</v>
      </c>
      <c r="I48" s="317"/>
      <c r="J48" s="399"/>
      <c r="K48" s="317"/>
      <c r="L48" s="317" t="s">
        <v>524</v>
      </c>
      <c r="M48" s="317" t="s">
        <v>557</v>
      </c>
      <c r="N48" s="319" t="s">
        <v>418</v>
      </c>
      <c r="P48" s="754" t="s">
        <v>556</v>
      </c>
      <c r="Q48" s="754"/>
      <c r="R48" s="754"/>
      <c r="S48" s="755"/>
      <c r="T48" s="316"/>
      <c r="U48" s="317" t="s">
        <v>418</v>
      </c>
      <c r="V48" s="317" t="s">
        <v>557</v>
      </c>
      <c r="W48" s="317" t="s">
        <v>524</v>
      </c>
      <c r="X48" s="317"/>
      <c r="Y48" s="399"/>
      <c r="Z48" s="317"/>
      <c r="AA48" s="317" t="s">
        <v>524</v>
      </c>
      <c r="AB48" s="317" t="s">
        <v>557</v>
      </c>
      <c r="AC48" s="319" t="s">
        <v>418</v>
      </c>
    </row>
    <row r="49" spans="1:29" ht="26.25" customHeight="1">
      <c r="A49" s="330" t="s">
        <v>557</v>
      </c>
      <c r="B49" s="750" t="s">
        <v>678</v>
      </c>
      <c r="C49" s="750"/>
      <c r="D49" s="751"/>
      <c r="E49" s="333" t="s">
        <v>419</v>
      </c>
      <c r="F49" s="334" t="str">
        <f>IF(ISERROR(VLOOKUP(CONCATENATE($F$34,"_",G49),'選手名簿'!$A:$E,5,FALSE))=TRUE,"",VLOOKUP(CONCATENATE($F$34,"_",G49),'選手名簿'!$A:$E,5,FALSE))</f>
        <v/>
      </c>
      <c r="G49" s="335"/>
      <c r="H49" s="335"/>
      <c r="I49" s="335"/>
      <c r="J49" s="401"/>
      <c r="K49" s="335"/>
      <c r="L49" s="335"/>
      <c r="M49" s="335"/>
      <c r="N49" s="336" t="str">
        <f>IF(ISERROR(VLOOKUP(CONCATENATE($N$34,"_",M49),'選手名簿'!$A:$E,5,FALSE))=TRUE,"",VLOOKUP(CONCATENATE($N$34,"_",M49),'選手名簿'!$A:$E,5,FALSE))</f>
        <v/>
      </c>
      <c r="P49" s="330" t="s">
        <v>557</v>
      </c>
      <c r="Q49" s="750" t="s">
        <v>679</v>
      </c>
      <c r="R49" s="750"/>
      <c r="S49" s="751"/>
      <c r="T49" s="410" t="s">
        <v>419</v>
      </c>
      <c r="U49" s="334" t="str">
        <f>IF(ISERROR(VLOOKUP(CONCATENATE($U$34,"_",V49),'選手名簿'!$A:$E,5,FALSE))=TRUE,"",VLOOKUP(CONCATENATE($U$34,"_",V49),'選手名簿'!$A:$E,5,FALSE))</f>
        <v/>
      </c>
      <c r="V49" s="335"/>
      <c r="W49" s="335"/>
      <c r="X49" s="335"/>
      <c r="Y49" s="401"/>
      <c r="Z49" s="411" t="s">
        <v>423</v>
      </c>
      <c r="AA49" s="335">
        <v>7</v>
      </c>
      <c r="AB49" s="335">
        <v>5</v>
      </c>
      <c r="AC49" s="336" t="str">
        <f>IF(ISERROR(VLOOKUP(CONCATENATE($AC$34,"_",AB49),'選手名簿'!$A:$E,5,FALSE))=TRUE,"",VLOOKUP(CONCATENATE($AC$34,"_",AB49),'選手名簿'!$A:$E,5,FALSE))</f>
        <v>矢幡　陸</v>
      </c>
    </row>
    <row r="50" spans="1:29" ht="26.25" customHeight="1">
      <c r="A50" s="330" t="s">
        <v>177</v>
      </c>
      <c r="B50" s="752" t="str">
        <f>IF(ISERROR(VLOOKUP(B49,'審判員'!$A:$C,2,FALSE))=TRUE,"",VLOOKUP(B49,'審判員'!$A:$C,2,FALSE))</f>
        <v>矢羽田　崇</v>
      </c>
      <c r="C50" s="753"/>
      <c r="D50" s="331" t="str">
        <f>IF(ISERROR(VLOOKUP(B49,'審判員'!$A:$C,3,FALSE))=TRUE,"",VLOOKUP(B49,'審判員'!$A:$C,3,FALSE))</f>
        <v>２級</v>
      </c>
      <c r="E50" s="333" t="s">
        <v>419</v>
      </c>
      <c r="F50" s="334" t="str">
        <f>IF(ISERROR(VLOOKUP(CONCATENATE($F$34,"_",G50),'選手名簿'!$A:$E,5,FALSE))=TRUE,"",VLOOKUP(CONCATENATE($F$34,"_",G50),'選手名簿'!$A:$E,5,FALSE))</f>
        <v/>
      </c>
      <c r="G50" s="335"/>
      <c r="H50" s="335"/>
      <c r="I50" s="335"/>
      <c r="J50" s="401"/>
      <c r="K50" s="335"/>
      <c r="L50" s="335"/>
      <c r="M50" s="335"/>
      <c r="N50" s="336" t="str">
        <f>IF(ISERROR(VLOOKUP(CONCATENATE($N$34,"_",M50),'選手名簿'!$A:$E,5,FALSE))=TRUE,"",VLOOKUP(CONCATENATE($N$34,"_",M50),'選手名簿'!$A:$E,5,FALSE))</f>
        <v/>
      </c>
      <c r="P50" s="330" t="s">
        <v>177</v>
      </c>
      <c r="Q50" s="752" t="str">
        <f>IF(ISERROR(VLOOKUP(Q49,'審判員'!$A:$C,2,FALSE))=TRUE,"",VLOOKUP(Q49,'審判員'!$A:$C,2,FALSE))</f>
        <v>菊地　謙一</v>
      </c>
      <c r="R50" s="753"/>
      <c r="S50" s="331" t="str">
        <f>IF(ISERROR(VLOOKUP(Q49,'審判員'!$A:$C,3,FALSE))=TRUE,"",VLOOKUP(Q49,'審判員'!$A:$C,3,FALSE))</f>
        <v>３級</v>
      </c>
      <c r="T50" s="333" t="s">
        <v>419</v>
      </c>
      <c r="U50" s="334" t="str">
        <f>IF(ISERROR(VLOOKUP(CONCATENATE($U$34,"_",V50),'選手名簿'!$A:$E,5,FALSE))=TRUE,"",VLOOKUP(CONCATENATE($U$34,"_",V50),'選手名簿'!$A:$E,5,FALSE))</f>
        <v/>
      </c>
      <c r="V50" s="335"/>
      <c r="W50" s="335"/>
      <c r="X50" s="335"/>
      <c r="Y50" s="401"/>
      <c r="Z50" s="335"/>
      <c r="AA50" s="335"/>
      <c r="AB50" s="335"/>
      <c r="AC50" s="336" t="str">
        <f>IF(ISERROR(VLOOKUP(CONCATENATE($AC$34,"_",AB50),'選手名簿'!$A:$E,5,FALSE))=TRUE,"",VLOOKUP(CONCATENATE($AC$34,"_",AB50),'選手名簿'!$A:$E,5,FALSE))</f>
        <v/>
      </c>
    </row>
    <row r="51" spans="1:29" ht="26.25" customHeight="1">
      <c r="A51" s="330" t="s">
        <v>557</v>
      </c>
      <c r="B51" s="750" t="s">
        <v>680</v>
      </c>
      <c r="C51" s="750"/>
      <c r="D51" s="751"/>
      <c r="E51" s="333" t="s">
        <v>419</v>
      </c>
      <c r="F51" s="334" t="str">
        <f>IF(ISERROR(VLOOKUP(CONCATENATE($F$34,"_",G51),'選手名簿'!$A:$E,5,FALSE))=TRUE,"",VLOOKUP(CONCATENATE($F$34,"_",G51),'選手名簿'!$A:$E,5,FALSE))</f>
        <v/>
      </c>
      <c r="G51" s="335"/>
      <c r="H51" s="335"/>
      <c r="I51" s="335"/>
      <c r="J51" s="401"/>
      <c r="K51" s="335"/>
      <c r="L51" s="335"/>
      <c r="M51" s="335"/>
      <c r="N51" s="336" t="str">
        <f>IF(ISERROR(VLOOKUP(CONCATENATE($N$34,"_",M51),'選手名簿'!$A:$E,5,FALSE))=TRUE,"",VLOOKUP(CONCATENATE($N$34,"_",M51),'選手名簿'!$A:$E,5,FALSE))</f>
        <v/>
      </c>
      <c r="P51" s="330" t="s">
        <v>557</v>
      </c>
      <c r="Q51" s="750" t="s">
        <v>559</v>
      </c>
      <c r="R51" s="750"/>
      <c r="S51" s="751"/>
      <c r="T51" s="333" t="s">
        <v>419</v>
      </c>
      <c r="U51" s="334" t="str">
        <f>IF(ISERROR(VLOOKUP(CONCATENATE($U$34,"_",V51),'選手名簿'!$A:$E,5,FALSE))=TRUE,"",VLOOKUP(CONCATENATE($U$34,"_",V51),'選手名簿'!$A:$E,5,FALSE))</f>
        <v/>
      </c>
      <c r="V51" s="335"/>
      <c r="W51" s="335"/>
      <c r="X51" s="335"/>
      <c r="Y51" s="401"/>
      <c r="Z51" s="335"/>
      <c r="AA51" s="335"/>
      <c r="AB51" s="335"/>
      <c r="AC51" s="336" t="str">
        <f>IF(ISERROR(VLOOKUP(CONCATENATE($AC$34,"_",AB51),'選手名簿'!$A:$E,5,FALSE))=TRUE,"",VLOOKUP(CONCATENATE($AC$34,"_",AB51),'選手名簿'!$A:$E,5,FALSE))</f>
        <v/>
      </c>
    </row>
    <row r="52" spans="1:29" ht="26.25" customHeight="1">
      <c r="A52" s="330" t="s">
        <v>563</v>
      </c>
      <c r="B52" s="752" t="str">
        <f>IF(ISERROR(VLOOKUP(B51,'審判員'!$A:$C,2,FALSE))=TRUE,"",VLOOKUP(B51,'審判員'!$A:$C,2,FALSE))</f>
        <v>清家　大介</v>
      </c>
      <c r="C52" s="753"/>
      <c r="D52" s="331" t="str">
        <f>IF(ISERROR(VLOOKUP(B51,'審判員'!$A:$C,3,FALSE))=TRUE,"",VLOOKUP(B51,'審判員'!$A:$C,3,FALSE))</f>
        <v>３級</v>
      </c>
      <c r="E52" s="333" t="s">
        <v>419</v>
      </c>
      <c r="F52" s="334" t="str">
        <f>IF(ISERROR(VLOOKUP(CONCATENATE($F$34,"_",G52),'選手名簿'!$A:$E,5,FALSE))=TRUE,"",VLOOKUP(CONCATENATE($F$34,"_",G52),'選手名簿'!$A:$E,5,FALSE))</f>
        <v/>
      </c>
      <c r="G52" s="335"/>
      <c r="H52" s="335"/>
      <c r="I52" s="335"/>
      <c r="J52" s="401"/>
      <c r="K52" s="335"/>
      <c r="L52" s="335"/>
      <c r="M52" s="335"/>
      <c r="N52" s="336" t="str">
        <f>IF(ISERROR(VLOOKUP(CONCATENATE($N$34,"_",M52),'選手名簿'!$A:$E,5,FALSE))=TRUE,"",VLOOKUP(CONCATENATE($N$34,"_",M52),'選手名簿'!$A:$E,5,FALSE))</f>
        <v/>
      </c>
      <c r="P52" s="330" t="s">
        <v>563</v>
      </c>
      <c r="Q52" s="752" t="str">
        <f>IF(ISERROR(VLOOKUP(Q51,'審判員'!$A:$C,2,FALSE))=TRUE,"",VLOOKUP(Q51,'審判員'!$A:$C,2,FALSE))</f>
        <v>小石川　悟</v>
      </c>
      <c r="R52" s="753"/>
      <c r="S52" s="331" t="str">
        <f>IF(ISERROR(VLOOKUP(Q51,'審判員'!$A:$C,3,FALSE))=TRUE,"",VLOOKUP(Q51,'審判員'!$A:$C,3,FALSE))</f>
        <v>３級</v>
      </c>
      <c r="T52" s="333" t="s">
        <v>419</v>
      </c>
      <c r="U52" s="334" t="str">
        <f>IF(ISERROR(VLOOKUP(CONCATENATE($U$34,"_",V52),'選手名簿'!$A:$E,5,FALSE))=TRUE,"",VLOOKUP(CONCATENATE($U$34,"_",V52),'選手名簿'!$A:$E,5,FALSE))</f>
        <v/>
      </c>
      <c r="V52" s="335"/>
      <c r="W52" s="335"/>
      <c r="X52" s="335"/>
      <c r="Y52" s="401"/>
      <c r="Z52" s="335"/>
      <c r="AA52" s="335"/>
      <c r="AB52" s="335"/>
      <c r="AC52" s="336" t="str">
        <f>IF(ISERROR(VLOOKUP(CONCATENATE($AC$34,"_",AB52),'選手名簿'!$A:$E,5,FALSE))=TRUE,"",VLOOKUP(CONCATENATE($AC$34,"_",AB52),'選手名簿'!$A:$E,5,FALSE))</f>
        <v/>
      </c>
    </row>
    <row r="53" spans="1:29" ht="26.25" customHeight="1">
      <c r="A53" s="330" t="s">
        <v>557</v>
      </c>
      <c r="B53" s="750" t="s">
        <v>681</v>
      </c>
      <c r="C53" s="750"/>
      <c r="D53" s="751"/>
      <c r="E53" s="333" t="s">
        <v>419</v>
      </c>
      <c r="F53" s="334" t="str">
        <f>IF(ISERROR(VLOOKUP(CONCATENATE($F$34,"_",G53),'選手名簿'!$A:$E,5,FALSE))=TRUE,"",VLOOKUP(CONCATENATE($F$34,"_",G53),'選手名簿'!$A:$E,5,FALSE))</f>
        <v/>
      </c>
      <c r="G53" s="335"/>
      <c r="H53" s="335"/>
      <c r="I53" s="335"/>
      <c r="J53" s="401"/>
      <c r="K53" s="335"/>
      <c r="L53" s="335"/>
      <c r="M53" s="335"/>
      <c r="N53" s="336" t="str">
        <f>IF(ISERROR(VLOOKUP(CONCATENATE($N$34,"_",M53),'選手名簿'!$A:$E,5,FALSE))=TRUE,"",VLOOKUP(CONCATENATE($N$34,"_",M53),'選手名簿'!$A:$E,5,FALSE))</f>
        <v/>
      </c>
      <c r="P53" s="330" t="s">
        <v>557</v>
      </c>
      <c r="Q53" s="750" t="s">
        <v>682</v>
      </c>
      <c r="R53" s="750"/>
      <c r="S53" s="751"/>
      <c r="T53" s="333" t="s">
        <v>419</v>
      </c>
      <c r="U53" s="334" t="str">
        <f>IF(ISERROR(VLOOKUP(CONCATENATE($U$34,"_",V53),'選手名簿'!$A:$E,5,FALSE))=TRUE,"",VLOOKUP(CONCATENATE($U$34,"_",V53),'選手名簿'!$A:$E,5,FALSE))</f>
        <v/>
      </c>
      <c r="V53" s="335"/>
      <c r="W53" s="335"/>
      <c r="X53" s="335"/>
      <c r="Y53" s="401"/>
      <c r="Z53" s="335"/>
      <c r="AA53" s="335"/>
      <c r="AB53" s="335"/>
      <c r="AC53" s="336" t="str">
        <f>IF(ISERROR(VLOOKUP(CONCATENATE($AC$34,"_",AB53),'選手名簿'!$A:$E,5,FALSE))=TRUE,"",VLOOKUP(CONCATENATE($AC$34,"_",AB53),'選手名簿'!$A:$E,5,FALSE))</f>
        <v/>
      </c>
    </row>
    <row r="54" spans="1:29" ht="26.25" customHeight="1">
      <c r="A54" s="330" t="s">
        <v>566</v>
      </c>
      <c r="B54" s="752" t="str">
        <f>IF(ISERROR(VLOOKUP(B53,'審判員'!$A:$C,2,FALSE))=TRUE,"",VLOOKUP(B53,'審判員'!$A:$C,2,FALSE))</f>
        <v>恵美　圭介</v>
      </c>
      <c r="C54" s="753"/>
      <c r="D54" s="331" t="str">
        <f>IF(ISERROR(VLOOKUP(B53,'審判員'!$A:$C,3,FALSE))=TRUE,"",VLOOKUP(B53,'審判員'!$A:$C,3,FALSE))</f>
        <v>３級</v>
      </c>
      <c r="E54" s="333" t="s">
        <v>419</v>
      </c>
      <c r="F54" s="334" t="str">
        <f>IF(ISERROR(VLOOKUP(CONCATENATE($F$34,"_",G54),'選手名簿'!$A:$E,5,FALSE))=TRUE,"",VLOOKUP(CONCATENATE($F$34,"_",G54),'選手名簿'!$A:$E,5,FALSE))</f>
        <v/>
      </c>
      <c r="G54" s="335"/>
      <c r="H54" s="335"/>
      <c r="I54" s="335"/>
      <c r="J54" s="401"/>
      <c r="K54" s="335"/>
      <c r="L54" s="335"/>
      <c r="M54" s="335"/>
      <c r="N54" s="336" t="str">
        <f>IF(ISERROR(VLOOKUP(CONCATENATE($N$34,"_",M54),'選手名簿'!$A:$E,5,FALSE))=TRUE,"",VLOOKUP(CONCATENATE($N$34,"_",M54),'選手名簿'!$A:$E,5,FALSE))</f>
        <v/>
      </c>
      <c r="P54" s="330" t="s">
        <v>566</v>
      </c>
      <c r="Q54" s="752" t="str">
        <f>IF(ISERROR(VLOOKUP(Q53,'審判員'!$A:$C,2,FALSE))=TRUE,"",VLOOKUP(Q53,'審判員'!$A:$C,2,FALSE))</f>
        <v>野中　裕介</v>
      </c>
      <c r="R54" s="753"/>
      <c r="S54" s="331" t="str">
        <f>IF(ISERROR(VLOOKUP(Q53,'審判員'!$A:$C,3,FALSE))=TRUE,"",VLOOKUP(Q53,'審判員'!$A:$C,3,FALSE))</f>
        <v>３級</v>
      </c>
      <c r="T54" s="333" t="s">
        <v>419</v>
      </c>
      <c r="U54" s="334" t="str">
        <f>IF(ISERROR(VLOOKUP(CONCATENATE($U$34,"_",V54),'選手名簿'!$A:$E,5,FALSE))=TRUE,"",VLOOKUP(CONCATENATE($U$34,"_",V54),'選手名簿'!$A:$E,5,FALSE))</f>
        <v/>
      </c>
      <c r="V54" s="335"/>
      <c r="W54" s="335"/>
      <c r="X54" s="335"/>
      <c r="Y54" s="401"/>
      <c r="Z54" s="335"/>
      <c r="AA54" s="335"/>
      <c r="AB54" s="335"/>
      <c r="AC54" s="336" t="str">
        <f>IF(ISERROR(VLOOKUP(CONCATENATE($AC$34,"_",AB54),'選手名簿'!$A:$E,5,FALSE))=TRUE,"",VLOOKUP(CONCATENATE($AC$34,"_",AB54),'選手名簿'!$A:$E,5,FALSE))</f>
        <v/>
      </c>
    </row>
    <row r="55" spans="1:29" ht="26.25" customHeight="1">
      <c r="A55" s="330" t="s">
        <v>557</v>
      </c>
      <c r="B55" s="750" t="s">
        <v>673</v>
      </c>
      <c r="C55" s="750"/>
      <c r="D55" s="751"/>
      <c r="E55" s="333" t="s">
        <v>419</v>
      </c>
      <c r="F55" s="334" t="str">
        <f>IF(ISERROR(VLOOKUP(CONCATENATE($F$34,"_",G55),'選手名簿'!$A:$E,5,FALSE))=TRUE,"",VLOOKUP(CONCATENATE($F$34,"_",G55),'選手名簿'!$A:$E,5,FALSE))</f>
        <v/>
      </c>
      <c r="G55" s="335"/>
      <c r="H55" s="335"/>
      <c r="I55" s="335"/>
      <c r="J55" s="401"/>
      <c r="K55" s="335"/>
      <c r="L55" s="335"/>
      <c r="M55" s="335"/>
      <c r="N55" s="336" t="str">
        <f>IF(ISERROR(VLOOKUP(CONCATENATE($N$34,"_",M55),'選手名簿'!$A:$E,5,FALSE))=TRUE,"",VLOOKUP(CONCATENATE($N$34,"_",M55),'選手名簿'!$A:$E,5,FALSE))</f>
        <v/>
      </c>
      <c r="P55" s="330" t="s">
        <v>557</v>
      </c>
      <c r="Q55" s="750" t="s">
        <v>674</v>
      </c>
      <c r="R55" s="750"/>
      <c r="S55" s="751"/>
      <c r="T55" s="333" t="s">
        <v>419</v>
      </c>
      <c r="U55" s="334" t="str">
        <f>IF(ISERROR(VLOOKUP(CONCATENATE($U$34,"_",V55),'選手名簿'!$A:$E,5,FALSE))=TRUE,"",VLOOKUP(CONCATENATE($U$34,"_",V55),'選手名簿'!$A:$E,5,FALSE))</f>
        <v/>
      </c>
      <c r="V55" s="335"/>
      <c r="W55" s="335"/>
      <c r="X55" s="335"/>
      <c r="Y55" s="401"/>
      <c r="Z55" s="335"/>
      <c r="AA55" s="335"/>
      <c r="AB55" s="335"/>
      <c r="AC55" s="336" t="str">
        <f>IF(ISERROR(VLOOKUP(CONCATENATE($AC$34,"_",AB55),'選手名簿'!$A:$E,5,FALSE))=TRUE,"",VLOOKUP(CONCATENATE($AC$34,"_",AB55),'選手名簿'!$A:$E,5,FALSE))</f>
        <v/>
      </c>
    </row>
    <row r="56" spans="1:29" ht="26.25" customHeight="1">
      <c r="A56" s="330" t="s">
        <v>568</v>
      </c>
      <c r="B56" s="752" t="str">
        <f>IF(ISERROR(VLOOKUP(B55,'審判員'!$A:$C,2,FALSE))=TRUE,"",VLOOKUP(B55,'審判員'!$A:$C,2,FALSE))</f>
        <v>大塚　浩司</v>
      </c>
      <c r="C56" s="753"/>
      <c r="D56" s="331" t="str">
        <f>IF(ISERROR(VLOOKUP(B55,'審判員'!$A:$C,3,FALSE))=TRUE,"",VLOOKUP(B55,'審判員'!$A:$C,3,FALSE))</f>
        <v>３級</v>
      </c>
      <c r="E56" s="337" t="s">
        <v>419</v>
      </c>
      <c r="F56" s="338" t="str">
        <f>IF(ISERROR(VLOOKUP(CONCATENATE($F$34,"_",G56),'選手名簿'!$A:$E,5,FALSE))=TRUE,"",VLOOKUP(CONCATENATE($F$34,"_",G56),'選手名簿'!$A:$E,5,FALSE))</f>
        <v/>
      </c>
      <c r="G56" s="339"/>
      <c r="H56" s="339"/>
      <c r="I56" s="339"/>
      <c r="J56" s="408"/>
      <c r="K56" s="339"/>
      <c r="L56" s="339"/>
      <c r="M56" s="339"/>
      <c r="N56" s="340" t="str">
        <f>IF(ISERROR(VLOOKUP(CONCATENATE($N$34,"_",M56),'選手名簿'!$A:$E,5,FALSE))=TRUE,"",VLOOKUP(CONCATENATE($N$34,"_",M56),'選手名簿'!$A:$E,5,FALSE))</f>
        <v/>
      </c>
      <c r="P56" s="330" t="s">
        <v>568</v>
      </c>
      <c r="Q56" s="752" t="str">
        <f>IF(ISERROR(VLOOKUP(Q55,'審判員'!$A:$C,2,FALSE))=TRUE,"",VLOOKUP(Q55,'審判員'!$A:$C,2,FALSE))</f>
        <v>金田　智朗</v>
      </c>
      <c r="R56" s="753"/>
      <c r="S56" s="331" t="str">
        <f>IF(ISERROR(VLOOKUP(Q55,'審判員'!$A:$C,3,FALSE))=TRUE,"",VLOOKUP(Q55,'審判員'!$A:$C,3,FALSE))</f>
        <v>３級</v>
      </c>
      <c r="T56" s="337" t="s">
        <v>419</v>
      </c>
      <c r="U56" s="338" t="str">
        <f>IF(ISERROR(VLOOKUP(CONCATENATE($U$34,"_",V56),'選手名簿'!$A:$E,5,FALSE))=TRUE,"",VLOOKUP(CONCATENATE($U$34,"_",V56),'選手名簿'!$A:$E,5,FALSE))</f>
        <v/>
      </c>
      <c r="V56" s="339"/>
      <c r="W56" s="339"/>
      <c r="X56" s="339"/>
      <c r="Y56" s="408"/>
      <c r="Z56" s="339"/>
      <c r="AA56" s="339"/>
      <c r="AB56" s="339"/>
      <c r="AC56" s="340" t="str">
        <f>IF(ISERROR(VLOOKUP(CONCATENATE($AC$34,"_",AB56),'選手名簿'!$A:$E,5,FALSE))=TRUE,"",VLOOKUP(CONCATENATE($AC$34,"_",AB56),'選手名簿'!$A:$E,5,FALSE))</f>
        <v/>
      </c>
    </row>
    <row r="57" spans="5:20" ht="9.95" customHeight="1">
      <c r="E57" s="341"/>
      <c r="T57" s="341"/>
    </row>
    <row r="58" spans="5:20" ht="9.95" customHeight="1">
      <c r="E58" s="341"/>
      <c r="T58" s="341"/>
    </row>
    <row r="59" spans="5:20" ht="9.95" customHeight="1">
      <c r="E59" s="341"/>
      <c r="T59" s="341"/>
    </row>
    <row r="60" spans="5:20" ht="9.95" customHeight="1">
      <c r="E60" s="341"/>
      <c r="T60" s="341"/>
    </row>
    <row r="61" spans="2:20" ht="27.4" customHeight="1">
      <c r="B61" s="303" t="s">
        <v>683</v>
      </c>
      <c r="E61" s="341"/>
      <c r="Q61" s="303" t="s">
        <v>684</v>
      </c>
      <c r="T61" s="341"/>
    </row>
    <row r="62" spans="1:29" ht="27.4" customHeight="1">
      <c r="A62" s="312" t="s">
        <v>546</v>
      </c>
      <c r="B62" s="772" t="s">
        <v>584</v>
      </c>
      <c r="C62" s="773"/>
      <c r="D62" s="774"/>
      <c r="E62" s="756">
        <v>0.46527777777777773</v>
      </c>
      <c r="F62" s="863" t="str">
        <f>VLOOKUP('決勝トーナメント'!C28,'組合せ抽選用'!$S:$U,3,FALSE)</f>
        <v>明治サッカースポーツ少年団</v>
      </c>
      <c r="G62" s="762">
        <f>SUM(I62:I63)</f>
        <v>1</v>
      </c>
      <c r="H62" s="765" t="s">
        <v>294</v>
      </c>
      <c r="I62" s="313">
        <v>0</v>
      </c>
      <c r="J62" s="313" t="s">
        <v>548</v>
      </c>
      <c r="K62" s="313">
        <v>0</v>
      </c>
      <c r="L62" s="765" t="s">
        <v>549</v>
      </c>
      <c r="M62" s="762">
        <f>SUM(K62:K63)</f>
        <v>2</v>
      </c>
      <c r="N62" s="866" t="str">
        <f>VLOOKUP('決勝トーナメント'!G28,'組合せ抽選用'!$S:$U,3,FALSE)</f>
        <v>ドリームキッズフットボールクラブ</v>
      </c>
      <c r="P62" s="312" t="s">
        <v>546</v>
      </c>
      <c r="Q62" s="772" t="s">
        <v>573</v>
      </c>
      <c r="R62" s="773"/>
      <c r="S62" s="774"/>
      <c r="T62" s="756">
        <v>0.46527777777777773</v>
      </c>
      <c r="U62" s="863" t="str">
        <f>VLOOKUP('決勝トーナメント'!C21,'組合せ抽選用'!$S:$U,3,FALSE)</f>
        <v>大分トリニータＵ－１２</v>
      </c>
      <c r="V62" s="762">
        <f>SUM(X62:X63)</f>
        <v>0</v>
      </c>
      <c r="W62" s="765" t="s">
        <v>294</v>
      </c>
      <c r="X62" s="313">
        <v>0</v>
      </c>
      <c r="Y62" s="313" t="s">
        <v>548</v>
      </c>
      <c r="Z62" s="313">
        <v>0</v>
      </c>
      <c r="AA62" s="765" t="s">
        <v>549</v>
      </c>
      <c r="AB62" s="762">
        <f>SUM(Z62:Z63)</f>
        <v>0</v>
      </c>
      <c r="AC62" s="866" t="str">
        <f>VLOOKUP('決勝トーナメント'!G21,'組合せ抽選用'!$S:$U,3,FALSE)</f>
        <v>ＦＣ中津ジュニア</v>
      </c>
    </row>
    <row r="63" spans="1:29" ht="27.4" customHeight="1">
      <c r="A63" s="314" t="s">
        <v>551</v>
      </c>
      <c r="B63" s="771" t="s">
        <v>16</v>
      </c>
      <c r="C63" s="771"/>
      <c r="D63" s="772"/>
      <c r="E63" s="757"/>
      <c r="F63" s="864"/>
      <c r="G63" s="763"/>
      <c r="H63" s="766"/>
      <c r="I63" s="303">
        <v>1</v>
      </c>
      <c r="J63" s="303" t="s">
        <v>552</v>
      </c>
      <c r="K63" s="303">
        <v>2</v>
      </c>
      <c r="L63" s="766"/>
      <c r="M63" s="763"/>
      <c r="N63" s="867"/>
      <c r="P63" s="314" t="s">
        <v>551</v>
      </c>
      <c r="Q63" s="771" t="s">
        <v>554</v>
      </c>
      <c r="R63" s="771"/>
      <c r="S63" s="772"/>
      <c r="T63" s="757"/>
      <c r="U63" s="864"/>
      <c r="V63" s="763"/>
      <c r="W63" s="766"/>
      <c r="X63" s="303">
        <v>0</v>
      </c>
      <c r="Y63" s="303" t="s">
        <v>552</v>
      </c>
      <c r="Z63" s="303">
        <v>0</v>
      </c>
      <c r="AA63" s="766"/>
      <c r="AB63" s="763"/>
      <c r="AC63" s="867"/>
    </row>
    <row r="64" spans="1:29" ht="27.4" customHeight="1">
      <c r="A64" s="314" t="s">
        <v>553</v>
      </c>
      <c r="B64" s="771" t="s">
        <v>597</v>
      </c>
      <c r="C64" s="771"/>
      <c r="D64" s="772"/>
      <c r="E64" s="758"/>
      <c r="F64" s="865"/>
      <c r="G64" s="764"/>
      <c r="H64" s="767"/>
      <c r="I64" s="315"/>
      <c r="J64" s="315" t="s">
        <v>555</v>
      </c>
      <c r="K64" s="315"/>
      <c r="L64" s="767"/>
      <c r="M64" s="764"/>
      <c r="N64" s="868"/>
      <c r="P64" s="314" t="s">
        <v>553</v>
      </c>
      <c r="Q64" s="771" t="s">
        <v>596</v>
      </c>
      <c r="R64" s="771"/>
      <c r="S64" s="772"/>
      <c r="T64" s="758"/>
      <c r="U64" s="865"/>
      <c r="V64" s="764"/>
      <c r="W64" s="767"/>
      <c r="X64" s="315">
        <v>2</v>
      </c>
      <c r="Y64" s="315" t="s">
        <v>555</v>
      </c>
      <c r="Z64" s="315">
        <v>0</v>
      </c>
      <c r="AA64" s="767"/>
      <c r="AB64" s="764"/>
      <c r="AC64" s="868"/>
    </row>
    <row r="65" spans="5:29" ht="26.25" customHeight="1" hidden="1">
      <c r="E65" s="316"/>
      <c r="F65" s="317" t="s">
        <v>418</v>
      </c>
      <c r="G65" s="317" t="s">
        <v>557</v>
      </c>
      <c r="H65" s="317" t="s">
        <v>524</v>
      </c>
      <c r="I65" s="317"/>
      <c r="J65" s="399"/>
      <c r="K65" s="317"/>
      <c r="L65" s="317" t="s">
        <v>524</v>
      </c>
      <c r="M65" s="317" t="s">
        <v>557</v>
      </c>
      <c r="N65" s="319" t="s">
        <v>418</v>
      </c>
      <c r="T65" s="316"/>
      <c r="U65" s="317" t="s">
        <v>418</v>
      </c>
      <c r="V65" s="317" t="s">
        <v>557</v>
      </c>
      <c r="W65" s="317" t="s">
        <v>524</v>
      </c>
      <c r="X65" s="317"/>
      <c r="Y65" s="399"/>
      <c r="Z65" s="317"/>
      <c r="AA65" s="317" t="s">
        <v>524</v>
      </c>
      <c r="AB65" s="317" t="s">
        <v>557</v>
      </c>
      <c r="AC65" s="319" t="s">
        <v>418</v>
      </c>
    </row>
    <row r="66" spans="5:29" ht="26.25" customHeight="1" hidden="1">
      <c r="E66" s="333" t="s">
        <v>558</v>
      </c>
      <c r="F66" s="400" t="str">
        <f>IF(ISERROR(VLOOKUP(CONCATENATE($F$62,"_",G66),'選手名簿'!$A:$E,5,FALSE))=TRUE,"",VLOOKUP(CONCATENATE($F$62,"_",G66),'選手名簿'!$A:$E,5,FALSE))</f>
        <v/>
      </c>
      <c r="G66" s="335"/>
      <c r="H66" s="335"/>
      <c r="I66" s="335"/>
      <c r="J66" s="401"/>
      <c r="K66" s="335"/>
      <c r="L66" s="335"/>
      <c r="M66" s="335"/>
      <c r="N66" s="402" t="str">
        <f>IF(ISERROR(VLOOKUP(CONCATENATE($N$62,"_",M66),'選手名簿'!$A:$E,5,FALSE))=TRUE,"",VLOOKUP(CONCATENATE($N$62,"_",M66),'選手名簿'!$A:$E,5,FALSE))</f>
        <v/>
      </c>
      <c r="T66" s="333" t="s">
        <v>558</v>
      </c>
      <c r="U66" s="400" t="str">
        <f>IF(ISERROR(VLOOKUP(CONCATENATE($U$62,"_",V66),'選手名簿'!$A:$E,5,FALSE))=TRUE,"",VLOOKUP(CONCATENATE($U$62,"_",V66),'選手名簿'!$A:$E,5,FALSE))</f>
        <v/>
      </c>
      <c r="V66" s="335"/>
      <c r="W66" s="335"/>
      <c r="X66" s="335"/>
      <c r="Y66" s="401"/>
      <c r="Z66" s="335"/>
      <c r="AA66" s="335"/>
      <c r="AB66" s="335"/>
      <c r="AC66" s="402" t="str">
        <f>IF(ISERROR(VLOOKUP(CONCATENATE($AC$62,"_",AB66),'選手名簿'!$A:$E,5,FALSE))=TRUE,"",VLOOKUP(CONCATENATE($AC$62,"_",AB66),'選手名簿'!$A:$E,5,FALSE))</f>
        <v/>
      </c>
    </row>
    <row r="67" spans="5:29" ht="26.25" customHeight="1" hidden="1">
      <c r="E67" s="333" t="s">
        <v>558</v>
      </c>
      <c r="F67" s="321" t="str">
        <f>IF(ISERROR(VLOOKUP(CONCATENATE($F$62,"_",G67),'選手名簿'!$A:$E,5,FALSE))=TRUE,"",VLOOKUP(CONCATENATE($F$62,"_",G67),'選手名簿'!$A:$E,5,FALSE))</f>
        <v/>
      </c>
      <c r="G67" s="335"/>
      <c r="H67" s="335"/>
      <c r="I67" s="335"/>
      <c r="J67" s="401"/>
      <c r="K67" s="335"/>
      <c r="L67" s="335"/>
      <c r="M67" s="335"/>
      <c r="N67" s="402" t="str">
        <f>IF(ISERROR(VLOOKUP(CONCATENATE($N$62,"_",M67),'選手名簿'!$A:$E,5,FALSE))=TRUE,"",VLOOKUP(CONCATENATE($N$62,"_",M67),'選手名簿'!$A:$E,5,FALSE))</f>
        <v/>
      </c>
      <c r="T67" s="333" t="s">
        <v>558</v>
      </c>
      <c r="U67" s="321" t="str">
        <f>IF(ISERROR(VLOOKUP(CONCATENATE($U$62,"_",V67),'選手名簿'!$A:$E,5,FALSE))=TRUE,"",VLOOKUP(CONCATENATE($U$62,"_",V67),'選手名簿'!$A:$E,5,FALSE))</f>
        <v/>
      </c>
      <c r="V67" s="335"/>
      <c r="W67" s="335"/>
      <c r="X67" s="335"/>
      <c r="Y67" s="401"/>
      <c r="Z67" s="335"/>
      <c r="AA67" s="335"/>
      <c r="AB67" s="335"/>
      <c r="AC67" s="402" t="str">
        <f>IF(ISERROR(VLOOKUP(CONCATENATE($AC$62,"_",AB67),'選手名簿'!$A:$E,5,FALSE))=TRUE,"",VLOOKUP(CONCATENATE($AC$62,"_",AB67),'選手名簿'!$A:$E,5,FALSE))</f>
        <v/>
      </c>
    </row>
    <row r="68" spans="5:29" ht="26.25" customHeight="1" hidden="1">
      <c r="E68" s="333" t="s">
        <v>558</v>
      </c>
      <c r="F68" s="400" t="str">
        <f>IF(ISERROR(VLOOKUP(CONCATENATE($F$62,"_",G68),'選手名簿'!$A:$E,5,FALSE))=TRUE,"",VLOOKUP(CONCATENATE($F$62,"_",G68),'選手名簿'!$A:$E,5,FALSE))</f>
        <v/>
      </c>
      <c r="G68" s="335"/>
      <c r="H68" s="335"/>
      <c r="I68" s="335"/>
      <c r="J68" s="401"/>
      <c r="K68" s="335"/>
      <c r="L68" s="335"/>
      <c r="M68" s="335"/>
      <c r="N68" s="402" t="str">
        <f>IF(ISERROR(VLOOKUP(CONCATENATE($N$62,"_",M68),'選手名簿'!$A:$E,5,FALSE))=TRUE,"",VLOOKUP(CONCATENATE($N$62,"_",M68),'選手名簿'!$A:$E,5,FALSE))</f>
        <v/>
      </c>
      <c r="T68" s="333" t="s">
        <v>558</v>
      </c>
      <c r="U68" s="400" t="str">
        <f>IF(ISERROR(VLOOKUP(CONCATENATE($U$62,"_",V68),'選手名簿'!$A:$E,5,FALSE))=TRUE,"",VLOOKUP(CONCATENATE($U$62,"_",V68),'選手名簿'!$A:$E,5,FALSE))</f>
        <v/>
      </c>
      <c r="V68" s="335"/>
      <c r="W68" s="335"/>
      <c r="X68" s="335"/>
      <c r="Y68" s="401"/>
      <c r="Z68" s="335"/>
      <c r="AA68" s="335"/>
      <c r="AB68" s="335"/>
      <c r="AC68" s="402" t="str">
        <f>IF(ISERROR(VLOOKUP(CONCATENATE($AC$62,"_",AB68),'選手名簿'!$A:$E,5,FALSE))=TRUE,"",VLOOKUP(CONCATENATE($AC$62,"_",AB68),'選手名簿'!$A:$E,5,FALSE))</f>
        <v/>
      </c>
    </row>
    <row r="69" spans="5:29" ht="26.25" customHeight="1" hidden="1">
      <c r="E69" s="333" t="s">
        <v>558</v>
      </c>
      <c r="F69" s="321" t="str">
        <f>IF(ISERROR(VLOOKUP(CONCATENATE($F$62,"_",G69),'選手名簿'!$A:$E,5,FALSE))=TRUE,"",VLOOKUP(CONCATENATE($F$62,"_",G69),'選手名簿'!$A:$E,5,FALSE))</f>
        <v/>
      </c>
      <c r="G69" s="335"/>
      <c r="H69" s="335"/>
      <c r="I69" s="335"/>
      <c r="J69" s="401"/>
      <c r="K69" s="335"/>
      <c r="L69" s="335"/>
      <c r="M69" s="335"/>
      <c r="N69" s="402" t="str">
        <f>IF(ISERROR(VLOOKUP(CONCATENATE($N$62,"_",M69),'選手名簿'!$A:$E,5,FALSE))=TRUE,"",VLOOKUP(CONCATENATE($N$62,"_",M69),'選手名簿'!$A:$E,5,FALSE))</f>
        <v/>
      </c>
      <c r="T69" s="333" t="s">
        <v>558</v>
      </c>
      <c r="U69" s="321" t="str">
        <f>IF(ISERROR(VLOOKUP(CONCATENATE($U$62,"_",V69),'選手名簿'!$A:$E,5,FALSE))=TRUE,"",VLOOKUP(CONCATENATE($U$62,"_",V69),'選手名簿'!$A:$E,5,FALSE))</f>
        <v/>
      </c>
      <c r="V69" s="335"/>
      <c r="W69" s="335"/>
      <c r="X69" s="335"/>
      <c r="Y69" s="401"/>
      <c r="Z69" s="335"/>
      <c r="AA69" s="335"/>
      <c r="AB69" s="335"/>
      <c r="AC69" s="402" t="str">
        <f>IF(ISERROR(VLOOKUP(CONCATENATE($AC$62,"_",AB69),'選手名簿'!$A:$E,5,FALSE))=TRUE,"",VLOOKUP(CONCATENATE($AC$62,"_",AB69),'選手名簿'!$A:$E,5,FALSE))</f>
        <v/>
      </c>
    </row>
    <row r="70" spans="5:29" ht="26.25" customHeight="1" hidden="1">
      <c r="E70" s="333" t="s">
        <v>558</v>
      </c>
      <c r="F70" s="334" t="str">
        <f>IF(ISERROR(VLOOKUP(CONCATENATE($F$62,"_",G70),'選手名簿'!$A:$E,5,FALSE))=TRUE,"",VLOOKUP(CONCATENATE($F$62,"_",G70),'選手名簿'!$A:$E,5,FALSE))</f>
        <v/>
      </c>
      <c r="G70" s="335"/>
      <c r="H70" s="335"/>
      <c r="I70" s="335"/>
      <c r="J70" s="401"/>
      <c r="K70" s="335"/>
      <c r="L70" s="335"/>
      <c r="M70" s="335"/>
      <c r="N70" s="402" t="str">
        <f>IF(ISERROR(VLOOKUP(CONCATENATE($N$62,"_",M70),'選手名簿'!$A:$E,5,FALSE))=TRUE,"",VLOOKUP(CONCATENATE($N$62,"_",M70),'選手名簿'!$A:$E,5,FALSE))</f>
        <v/>
      </c>
      <c r="T70" s="333" t="s">
        <v>558</v>
      </c>
      <c r="U70" s="334" t="str">
        <f>IF(ISERROR(VLOOKUP(CONCATENATE($U$62,"_",V70),'選手名簿'!$A:$E,5,FALSE))=TRUE,"",VLOOKUP(CONCATENATE($U$62,"_",V70),'選手名簿'!$A:$E,5,FALSE))</f>
        <v/>
      </c>
      <c r="V70" s="335"/>
      <c r="W70" s="335"/>
      <c r="X70" s="335"/>
      <c r="Y70" s="401"/>
      <c r="Z70" s="335"/>
      <c r="AA70" s="335"/>
      <c r="AB70" s="335"/>
      <c r="AC70" s="402" t="str">
        <f>IF(ISERROR(VLOOKUP(CONCATENATE($AC$62,"_",AB70),'選手名簿'!$A:$E,5,FALSE))=TRUE,"",VLOOKUP(CONCATENATE($AC$62,"_",AB70),'選手名簿'!$A:$E,5,FALSE))</f>
        <v/>
      </c>
    </row>
    <row r="71" spans="5:29" ht="26.25" customHeight="1" hidden="1">
      <c r="E71" s="333" t="s">
        <v>558</v>
      </c>
      <c r="F71" s="334" t="str">
        <f>IF(ISERROR(VLOOKUP(CONCATENATE($F$62,"_",G71),'選手名簿'!$A:$E,5,FALSE))=TRUE,"",VLOOKUP(CONCATENATE($F$62,"_",G71),'選手名簿'!$A:$E,5,FALSE))</f>
        <v/>
      </c>
      <c r="G71" s="335"/>
      <c r="H71" s="335"/>
      <c r="I71" s="335"/>
      <c r="J71" s="401"/>
      <c r="K71" s="335"/>
      <c r="L71" s="335"/>
      <c r="M71" s="335"/>
      <c r="N71" s="402" t="str">
        <f>IF(ISERROR(VLOOKUP(CONCATENATE($N$62,"_",M71),'選手名簿'!$A:$E,5,FALSE))=TRUE,"",VLOOKUP(CONCATENATE($N$62,"_",M71),'選手名簿'!$A:$E,5,FALSE))</f>
        <v/>
      </c>
      <c r="T71" s="333" t="s">
        <v>558</v>
      </c>
      <c r="U71" s="334" t="str">
        <f>IF(ISERROR(VLOOKUP(CONCATENATE($U$62,"_",V71),'選手名簿'!$A:$E,5,FALSE))=TRUE,"",VLOOKUP(CONCATENATE($U$62,"_",V71),'選手名簿'!$A:$E,5,FALSE))</f>
        <v/>
      </c>
      <c r="V71" s="335"/>
      <c r="W71" s="335"/>
      <c r="X71" s="335"/>
      <c r="Y71" s="401"/>
      <c r="Z71" s="335"/>
      <c r="AA71" s="335"/>
      <c r="AB71" s="335"/>
      <c r="AC71" s="402" t="str">
        <f>IF(ISERROR(VLOOKUP(CONCATENATE($AC$62,"_",AB71),'選手名簿'!$A:$E,5,FALSE))=TRUE,"",VLOOKUP(CONCATENATE($AC$62,"_",AB71),'選手名簿'!$A:$E,5,FALSE))</f>
        <v/>
      </c>
    </row>
    <row r="72" spans="5:29" ht="26.25" customHeight="1" hidden="1">
      <c r="E72" s="333" t="s">
        <v>558</v>
      </c>
      <c r="F72" s="334" t="str">
        <f>IF(ISERROR(VLOOKUP(CONCATENATE($F$62,"_",G72),'選手名簿'!$A:$E,5,FALSE))=TRUE,"",VLOOKUP(CONCATENATE($F$62,"_",G72),'選手名簿'!$A:$E,5,FALSE))</f>
        <v/>
      </c>
      <c r="G72" s="335"/>
      <c r="H72" s="335"/>
      <c r="I72" s="335"/>
      <c r="J72" s="401"/>
      <c r="K72" s="335"/>
      <c r="L72" s="335"/>
      <c r="M72" s="335"/>
      <c r="N72" s="324" t="str">
        <f>IF(ISERROR(VLOOKUP(CONCATENATE($N$62,"_",M72),'選手名簿'!$A:$E,5,FALSE))=TRUE,"",VLOOKUP(CONCATENATE($N$62,"_",M72),'選手名簿'!$A:$E,5,FALSE))</f>
        <v/>
      </c>
      <c r="T72" s="333" t="s">
        <v>558</v>
      </c>
      <c r="U72" s="334" t="str">
        <f>IF(ISERROR(VLOOKUP(CONCATENATE($U$62,"_",V72),'選手名簿'!$A:$E,5,FALSE))=TRUE,"",VLOOKUP(CONCATENATE($U$62,"_",V72),'選手名簿'!$A:$E,5,FALSE))</f>
        <v/>
      </c>
      <c r="V72" s="335"/>
      <c r="W72" s="335"/>
      <c r="X72" s="335"/>
      <c r="Y72" s="401"/>
      <c r="Z72" s="335"/>
      <c r="AA72" s="335"/>
      <c r="AB72" s="335"/>
      <c r="AC72" s="324" t="str">
        <f>IF(ISERROR(VLOOKUP(CONCATENATE($AC$62,"_",AB72),'選手名簿'!$A:$E,5,FALSE))=TRUE,"",VLOOKUP(CONCATENATE($AC$62,"_",AB72),'選手名簿'!$A:$E,5,FALSE))</f>
        <v/>
      </c>
    </row>
    <row r="73" spans="5:29" ht="26.25" customHeight="1" hidden="1">
      <c r="E73" s="333" t="s">
        <v>558</v>
      </c>
      <c r="F73" s="334" t="str">
        <f>IF(ISERROR(VLOOKUP(CONCATENATE($F$62,"_",G73),'選手名簿'!$A:$E,5,FALSE))=TRUE,"",VLOOKUP(CONCATENATE($F$62,"_",G73),'選手名簿'!$A:$E,5,FALSE))</f>
        <v/>
      </c>
      <c r="G73" s="335"/>
      <c r="H73" s="335"/>
      <c r="I73" s="335"/>
      <c r="J73" s="401"/>
      <c r="K73" s="335"/>
      <c r="L73" s="335"/>
      <c r="M73" s="335"/>
      <c r="N73" s="336" t="str">
        <f>IF(ISERROR(VLOOKUP(CONCATENATE($N$62,"_",M73),'選手名簿'!$A:$E,5,FALSE))=TRUE,"",VLOOKUP(CONCATENATE($N$62,"_",M73),'選手名簿'!$A:$E,5,FALSE))</f>
        <v/>
      </c>
      <c r="T73" s="333" t="s">
        <v>558</v>
      </c>
      <c r="U73" s="334" t="str">
        <f>IF(ISERROR(VLOOKUP(CONCATENATE($U$62,"_",V73),'選手名簿'!$A:$E,5,FALSE))=TRUE,"",VLOOKUP(CONCATENATE($U$62,"_",V73),'選手名簿'!$A:$E,5,FALSE))</f>
        <v/>
      </c>
      <c r="V73" s="335"/>
      <c r="W73" s="335"/>
      <c r="X73" s="335"/>
      <c r="Y73" s="401"/>
      <c r="Z73" s="335"/>
      <c r="AA73" s="335"/>
      <c r="AB73" s="335"/>
      <c r="AC73" s="336" t="str">
        <f>IF(ISERROR(VLOOKUP(CONCATENATE($AC$62,"_",AB73),'選手名簿'!$A:$E,5,FALSE))=TRUE,"",VLOOKUP(CONCATENATE($AC$62,"_",AB73),'選手名簿'!$A:$E,5,FALSE))</f>
        <v/>
      </c>
    </row>
    <row r="74" spans="5:29" ht="26.25" customHeight="1" hidden="1">
      <c r="E74" s="333" t="s">
        <v>558</v>
      </c>
      <c r="F74" s="334" t="str">
        <f>IF(ISERROR(VLOOKUP(CONCATENATE($F$62,"_",G74),'選手名簿'!$A:$E,5,FALSE))=TRUE,"",VLOOKUP(CONCATENATE($F$62,"_",G74),'選手名簿'!$A:$E,5,FALSE))</f>
        <v/>
      </c>
      <c r="G74" s="335"/>
      <c r="H74" s="335"/>
      <c r="I74" s="335"/>
      <c r="J74" s="401"/>
      <c r="K74" s="335"/>
      <c r="L74" s="335"/>
      <c r="M74" s="335"/>
      <c r="N74" s="336" t="str">
        <f>IF(ISERROR(VLOOKUP(CONCATENATE($N$62,"_",M74),'選手名簿'!$A:$E,5,FALSE))=TRUE,"",VLOOKUP(CONCATENATE($N$62,"_",M74),'選手名簿'!$A:$E,5,FALSE))</f>
        <v/>
      </c>
      <c r="T74" s="333" t="s">
        <v>558</v>
      </c>
      <c r="U74" s="334" t="str">
        <f>IF(ISERROR(VLOOKUP(CONCATENATE($U$62,"_",V74),'選手名簿'!$A:$E,5,FALSE))=TRUE,"",VLOOKUP(CONCATENATE($U$62,"_",V74),'選手名簿'!$A:$E,5,FALSE))</f>
        <v/>
      </c>
      <c r="V74" s="335"/>
      <c r="W74" s="335"/>
      <c r="X74" s="335"/>
      <c r="Y74" s="401"/>
      <c r="Z74" s="335"/>
      <c r="AA74" s="335"/>
      <c r="AB74" s="335"/>
      <c r="AC74" s="336" t="str">
        <f>IF(ISERROR(VLOOKUP(CONCATENATE($AC$62,"_",AB74),'選手名簿'!$A:$E,5,FALSE))=TRUE,"",VLOOKUP(CONCATENATE($AC$62,"_",AB74),'選手名簿'!$A:$E,5,FALSE))</f>
        <v/>
      </c>
    </row>
    <row r="75" spans="5:29" ht="26.25" customHeight="1" hidden="1">
      <c r="E75" s="333" t="s">
        <v>558</v>
      </c>
      <c r="F75" s="334" t="str">
        <f>IF(ISERROR(VLOOKUP(CONCATENATE($F$62,"_",G75),'選手名簿'!$A:$E,5,FALSE))=TRUE,"",VLOOKUP(CONCATENATE($F$62,"_",G75),'選手名簿'!$A:$E,5,FALSE))</f>
        <v/>
      </c>
      <c r="G75" s="335"/>
      <c r="H75" s="335"/>
      <c r="I75" s="335"/>
      <c r="J75" s="401"/>
      <c r="K75" s="335"/>
      <c r="L75" s="335"/>
      <c r="M75" s="335"/>
      <c r="N75" s="336" t="str">
        <f>IF(ISERROR(VLOOKUP(CONCATENATE($N$62,"_",M75),'選手名簿'!$A:$E,5,FALSE))=TRUE,"",VLOOKUP(CONCATENATE($N$62,"_",M75),'選手名簿'!$A:$E,5,FALSE))</f>
        <v/>
      </c>
      <c r="T75" s="333" t="s">
        <v>558</v>
      </c>
      <c r="U75" s="334" t="str">
        <f>IF(ISERROR(VLOOKUP(CONCATENATE($U$62,"_",V75),'選手名簿'!$A:$E,5,FALSE))=TRUE,"",VLOOKUP(CONCATENATE($U$62,"_",V75),'選手名簿'!$A:$E,5,FALSE))</f>
        <v/>
      </c>
      <c r="V75" s="335"/>
      <c r="W75" s="335"/>
      <c r="X75" s="335"/>
      <c r="Y75" s="401"/>
      <c r="Z75" s="335"/>
      <c r="AA75" s="335"/>
      <c r="AB75" s="335"/>
      <c r="AC75" s="336" t="str">
        <f>IF(ISERROR(VLOOKUP(CONCATENATE($AC$62,"_",AB75),'選手名簿'!$A:$E,5,FALSE))=TRUE,"",VLOOKUP(CONCATENATE($AC$62,"_",AB75),'選手名簿'!$A:$E,5,FALSE))</f>
        <v/>
      </c>
    </row>
    <row r="76" spans="5:29" ht="26.25" customHeight="1" hidden="1">
      <c r="E76" s="333" t="s">
        <v>558</v>
      </c>
      <c r="F76" s="334" t="str">
        <f>IF(ISERROR(VLOOKUP(CONCATENATE($F$62,"_",G76),'選手名簿'!$A:$E,5,FALSE))=TRUE,"",VLOOKUP(CONCATENATE($F$62,"_",G76),'選手名簿'!$A:$E,5,FALSE))</f>
        <v/>
      </c>
      <c r="G76" s="335"/>
      <c r="H76" s="335"/>
      <c r="I76" s="335"/>
      <c r="J76" s="401"/>
      <c r="K76" s="335"/>
      <c r="L76" s="335"/>
      <c r="M76" s="335"/>
      <c r="N76" s="336" t="str">
        <f>IF(ISERROR(VLOOKUP(CONCATENATE($N$62,"_",M76),'選手名簿'!$A:$E,5,FALSE))=TRUE,"",VLOOKUP(CONCATENATE($N$62,"_",M76),'選手名簿'!$A:$E,5,FALSE))</f>
        <v/>
      </c>
      <c r="T76" s="333" t="s">
        <v>558</v>
      </c>
      <c r="U76" s="334" t="str">
        <f>IF(ISERROR(VLOOKUP(CONCATENATE($U$62,"_",V76),'選手名簿'!$A:$E,5,FALSE))=TRUE,"",VLOOKUP(CONCATENATE($U$62,"_",V76),'選手名簿'!$A:$E,5,FALSE))</f>
        <v/>
      </c>
      <c r="V76" s="335"/>
      <c r="W76" s="335"/>
      <c r="X76" s="335"/>
      <c r="Y76" s="401"/>
      <c r="Z76" s="335"/>
      <c r="AA76" s="335"/>
      <c r="AB76" s="335"/>
      <c r="AC76" s="336" t="str">
        <f>IF(ISERROR(VLOOKUP(CONCATENATE($AC$62,"_",AB76),'選手名簿'!$A:$E,5,FALSE))=TRUE,"",VLOOKUP(CONCATENATE($AC$62,"_",AB76),'選手名簿'!$A:$E,5,FALSE))</f>
        <v/>
      </c>
    </row>
    <row r="77" spans="5:29" ht="26.25" customHeight="1" hidden="1">
      <c r="E77" s="403" t="s">
        <v>558</v>
      </c>
      <c r="F77" s="404" t="str">
        <f>IF(ISERROR(VLOOKUP(CONCATENATE($F$62,"_",G77),'選手名簿'!$A:$E,5,FALSE))=TRUE,"",VLOOKUP(CONCATENATE($F$62,"_",G77),'選手名簿'!$A:$E,5,FALSE))</f>
        <v/>
      </c>
      <c r="G77" s="405"/>
      <c r="H77" s="405"/>
      <c r="I77" s="405"/>
      <c r="J77" s="406"/>
      <c r="K77" s="405"/>
      <c r="L77" s="405"/>
      <c r="M77" s="405"/>
      <c r="N77" s="407" t="str">
        <f>IF(ISERROR(VLOOKUP(CONCATENATE($N$62,"_",M77),'選手名簿'!$A:$E,5,FALSE))=TRUE,"",VLOOKUP(CONCATENATE($N$62,"_",M77),'選手名簿'!$A:$E,5,FALSE))</f>
        <v/>
      </c>
      <c r="T77" s="403" t="s">
        <v>558</v>
      </c>
      <c r="U77" s="404" t="str">
        <f>IF(ISERROR(VLOOKUP(CONCATENATE($U$62,"_",V77),'選手名簿'!$A:$E,5,FALSE))=TRUE,"",VLOOKUP(CONCATENATE($U$62,"_",V77),'選手名簿'!$A:$E,5,FALSE))</f>
        <v/>
      </c>
      <c r="V77" s="405"/>
      <c r="W77" s="405"/>
      <c r="X77" s="405"/>
      <c r="Y77" s="406"/>
      <c r="Z77" s="405"/>
      <c r="AA77" s="405"/>
      <c r="AB77" s="405"/>
      <c r="AC77" s="407" t="str">
        <f>IF(ISERROR(VLOOKUP(CONCATENATE($AC$62,"_",AB77),'選手名簿'!$A:$E,5,FALSE))=TRUE,"",VLOOKUP(CONCATENATE($AC$62,"_",AB77),'選手名簿'!$A:$E,5,FALSE))</f>
        <v/>
      </c>
    </row>
    <row r="78" spans="1:29" ht="26.25" customHeight="1">
      <c r="A78" s="754" t="s">
        <v>556</v>
      </c>
      <c r="B78" s="754"/>
      <c r="C78" s="754"/>
      <c r="D78" s="755"/>
      <c r="E78" s="316"/>
      <c r="F78" s="317" t="s">
        <v>418</v>
      </c>
      <c r="G78" s="317" t="s">
        <v>557</v>
      </c>
      <c r="H78" s="317" t="s">
        <v>524</v>
      </c>
      <c r="I78" s="317"/>
      <c r="J78" s="399"/>
      <c r="K78" s="317"/>
      <c r="L78" s="317" t="s">
        <v>524</v>
      </c>
      <c r="M78" s="317" t="s">
        <v>557</v>
      </c>
      <c r="N78" s="319" t="s">
        <v>418</v>
      </c>
      <c r="P78" s="754" t="s">
        <v>556</v>
      </c>
      <c r="Q78" s="754"/>
      <c r="R78" s="754"/>
      <c r="S78" s="755"/>
      <c r="T78" s="316"/>
      <c r="U78" s="317" t="s">
        <v>418</v>
      </c>
      <c r="V78" s="317" t="s">
        <v>557</v>
      </c>
      <c r="W78" s="317" t="s">
        <v>524</v>
      </c>
      <c r="X78" s="317"/>
      <c r="Y78" s="399"/>
      <c r="Z78" s="317"/>
      <c r="AA78" s="317" t="s">
        <v>524</v>
      </c>
      <c r="AB78" s="317" t="s">
        <v>557</v>
      </c>
      <c r="AC78" s="319" t="s">
        <v>418</v>
      </c>
    </row>
    <row r="79" spans="1:29" ht="26.25" customHeight="1">
      <c r="A79" s="330" t="s">
        <v>557</v>
      </c>
      <c r="B79" s="750" t="s">
        <v>671</v>
      </c>
      <c r="C79" s="750"/>
      <c r="D79" s="751"/>
      <c r="E79" s="333" t="s">
        <v>419</v>
      </c>
      <c r="F79" s="334" t="str">
        <f>IF(ISERROR(VLOOKUP(CONCATENATE($F$62,"_",G79),'選手名簿'!$A:$E,5,FALSE))=TRUE,"",VLOOKUP(CONCATENATE($F$62,"_",G79),'選手名簿'!$A:$E,5,FALSE))</f>
        <v/>
      </c>
      <c r="G79" s="335"/>
      <c r="H79" s="335"/>
      <c r="I79" s="335"/>
      <c r="J79" s="401"/>
      <c r="K79" s="335"/>
      <c r="L79" s="335"/>
      <c r="M79" s="335"/>
      <c r="N79" s="336" t="str">
        <f>IF(ISERROR(VLOOKUP(CONCATENATE($N$62,"_",M79),'選手名簿'!$A:$E,5,FALSE))=TRUE,"",VLOOKUP(CONCATENATE($N$62,"_",M79),'選手名簿'!$A:$E,5,FALSE))</f>
        <v/>
      </c>
      <c r="P79" s="330" t="s">
        <v>557</v>
      </c>
      <c r="Q79" s="750" t="s">
        <v>605</v>
      </c>
      <c r="R79" s="750"/>
      <c r="S79" s="751"/>
      <c r="T79" s="333" t="s">
        <v>419</v>
      </c>
      <c r="U79" s="334" t="str">
        <f>IF(ISERROR(VLOOKUP(CONCATENATE($U$62,"_",V79),'選手名簿'!$A:$E,5,FALSE))=TRUE,"",VLOOKUP(CONCATENATE($U$62,"_",V79),'選手名簿'!$A:$E,5,FALSE))</f>
        <v/>
      </c>
      <c r="V79" s="335"/>
      <c r="W79" s="335"/>
      <c r="X79" s="335"/>
      <c r="Y79" s="401"/>
      <c r="Z79" s="335"/>
      <c r="AA79" s="335"/>
      <c r="AB79" s="335"/>
      <c r="AC79" s="336" t="str">
        <f>IF(ISERROR(VLOOKUP(CONCATENATE($AC$62,"_",AB79),'選手名簿'!$A:$E,5,FALSE))=TRUE,"",VLOOKUP(CONCATENATE($AC$62,"_",AB79),'選手名簿'!$A:$E,5,FALSE))</f>
        <v/>
      </c>
    </row>
    <row r="80" spans="1:29" ht="26.25" customHeight="1">
      <c r="A80" s="330" t="s">
        <v>177</v>
      </c>
      <c r="B80" s="752" t="str">
        <f>IF(ISERROR(VLOOKUP(B79,'審判員'!$A:$C,2,FALSE))=TRUE,"",VLOOKUP(B79,'審判員'!$A:$C,2,FALSE))</f>
        <v>宇髙　篤史</v>
      </c>
      <c r="C80" s="753"/>
      <c r="D80" s="331" t="str">
        <f>IF(ISERROR(VLOOKUP(B79,'審判員'!$A:$C,3,FALSE))=TRUE,"",VLOOKUP(B79,'審判員'!$A:$C,3,FALSE))</f>
        <v>３級</v>
      </c>
      <c r="E80" s="333" t="s">
        <v>419</v>
      </c>
      <c r="F80" s="334" t="str">
        <f>IF(ISERROR(VLOOKUP(CONCATENATE($F$62,"_",G80),'選手名簿'!$A:$E,5,FALSE))=TRUE,"",VLOOKUP(CONCATENATE($F$62,"_",G80),'選手名簿'!$A:$E,5,FALSE))</f>
        <v/>
      </c>
      <c r="G80" s="335"/>
      <c r="H80" s="335"/>
      <c r="I80" s="335"/>
      <c r="J80" s="401"/>
      <c r="K80" s="335"/>
      <c r="L80" s="335"/>
      <c r="M80" s="335"/>
      <c r="N80" s="336" t="str">
        <f>IF(ISERROR(VLOOKUP(CONCATENATE($N$62,"_",M80),'選手名簿'!$A:$E,5,FALSE))=TRUE,"",VLOOKUP(CONCATENATE($N$62,"_",M80),'選手名簿'!$A:$E,5,FALSE))</f>
        <v/>
      </c>
      <c r="P80" s="330" t="s">
        <v>177</v>
      </c>
      <c r="Q80" s="752" t="str">
        <f>IF(ISERROR(VLOOKUP(Q79,'審判員'!$A:$C,2,FALSE))=TRUE,"",VLOOKUP(Q79,'審判員'!$A:$C,2,FALSE))</f>
        <v>佐藤　慎二</v>
      </c>
      <c r="R80" s="753"/>
      <c r="S80" s="331" t="str">
        <f>IF(ISERROR(VLOOKUP(Q79,'審判員'!$A:$C,3,FALSE))=TRUE,"",VLOOKUP(Q79,'審判員'!$A:$C,3,FALSE))</f>
        <v>３級</v>
      </c>
      <c r="T80" s="333" t="s">
        <v>419</v>
      </c>
      <c r="U80" s="334" t="str">
        <f>IF(ISERROR(VLOOKUP(CONCATENATE($U$62,"_",V80),'選手名簿'!$A:$E,5,FALSE))=TRUE,"",VLOOKUP(CONCATENATE($U$62,"_",V80),'選手名簿'!$A:$E,5,FALSE))</f>
        <v/>
      </c>
      <c r="V80" s="335"/>
      <c r="W80" s="335"/>
      <c r="X80" s="335"/>
      <c r="Y80" s="401"/>
      <c r="Z80" s="335"/>
      <c r="AA80" s="335"/>
      <c r="AB80" s="335"/>
      <c r="AC80" s="336" t="str">
        <f>IF(ISERROR(VLOOKUP(CONCATENATE($AC$62,"_",AB80),'選手名簿'!$A:$E,5,FALSE))=TRUE,"",VLOOKUP(CONCATENATE($AC$62,"_",AB80),'選手名簿'!$A:$E,5,FALSE))</f>
        <v/>
      </c>
    </row>
    <row r="81" spans="1:29" ht="26.25" customHeight="1">
      <c r="A81" s="412" t="s">
        <v>557</v>
      </c>
      <c r="B81" s="859"/>
      <c r="C81" s="859"/>
      <c r="D81" s="860"/>
      <c r="E81" s="333" t="s">
        <v>419</v>
      </c>
      <c r="F81" s="334" t="str">
        <f>IF(ISERROR(VLOOKUP(CONCATENATE($F$62,"_",G81),'選手名簿'!$A:$E,5,FALSE))=TRUE,"",VLOOKUP(CONCATENATE($F$62,"_",G81),'選手名簿'!$A:$E,5,FALSE))</f>
        <v/>
      </c>
      <c r="G81" s="335"/>
      <c r="H81" s="335"/>
      <c r="I81" s="335"/>
      <c r="J81" s="401"/>
      <c r="K81" s="335"/>
      <c r="L81" s="335"/>
      <c r="M81" s="335"/>
      <c r="N81" s="336" t="str">
        <f>IF(ISERROR(VLOOKUP(CONCATENATE($N$62,"_",M81),'選手名簿'!$A:$E,5,FALSE))=TRUE,"",VLOOKUP(CONCATENATE($N$62,"_",M81),'選手名簿'!$A:$E,5,FALSE))</f>
        <v/>
      </c>
      <c r="P81" s="330" t="s">
        <v>557</v>
      </c>
      <c r="Q81" s="750" t="s">
        <v>592</v>
      </c>
      <c r="R81" s="750"/>
      <c r="S81" s="751"/>
      <c r="T81" s="333" t="s">
        <v>419</v>
      </c>
      <c r="U81" s="334" t="str">
        <f>IF(ISERROR(VLOOKUP(CONCATENATE($U$62,"_",V81),'選手名簿'!$A:$E,5,FALSE))=TRUE,"",VLOOKUP(CONCATENATE($U$62,"_",V81),'選手名簿'!$A:$E,5,FALSE))</f>
        <v/>
      </c>
      <c r="V81" s="335"/>
      <c r="W81" s="335"/>
      <c r="X81" s="335"/>
      <c r="Y81" s="401"/>
      <c r="Z81" s="335"/>
      <c r="AA81" s="335"/>
      <c r="AB81" s="335"/>
      <c r="AC81" s="336" t="str">
        <f>IF(ISERROR(VLOOKUP(CONCATENATE($AC$62,"_",AB81),'選手名簿'!$A:$E,5,FALSE))=TRUE,"",VLOOKUP(CONCATENATE($AC$62,"_",AB81),'選手名簿'!$A:$E,5,FALSE))</f>
        <v/>
      </c>
    </row>
    <row r="82" spans="1:29" ht="26.25" customHeight="1">
      <c r="A82" s="412" t="s">
        <v>563</v>
      </c>
      <c r="B82" s="861" t="str">
        <f>IF(ISERROR(VLOOKUP(B81,'審判員'!$A:$C,2,FALSE))=TRUE,"",VLOOKUP(B81,'審判員'!$A:$C,2,FALSE))</f>
        <v/>
      </c>
      <c r="C82" s="862"/>
      <c r="D82" s="412" t="str">
        <f>IF(ISERROR(VLOOKUP(B81,'審判員'!$A:$C,3,FALSE))=TRUE,"",VLOOKUP(B81,'審判員'!$A:$C,3,FALSE))</f>
        <v/>
      </c>
      <c r="E82" s="333" t="s">
        <v>419</v>
      </c>
      <c r="F82" s="334" t="str">
        <f>IF(ISERROR(VLOOKUP(CONCATENATE($F$62,"_",G82),'選手名簿'!$A:$E,5,FALSE))=TRUE,"",VLOOKUP(CONCATENATE($F$62,"_",G82),'選手名簿'!$A:$E,5,FALSE))</f>
        <v/>
      </c>
      <c r="G82" s="335"/>
      <c r="H82" s="335"/>
      <c r="I82" s="335"/>
      <c r="J82" s="401"/>
      <c r="K82" s="335"/>
      <c r="L82" s="335"/>
      <c r="M82" s="335"/>
      <c r="N82" s="336" t="str">
        <f>IF(ISERROR(VLOOKUP(CONCATENATE($N$62,"_",M82),'選手名簿'!$A:$E,5,FALSE))=TRUE,"",VLOOKUP(CONCATENATE($N$62,"_",M82),'選手名簿'!$A:$E,5,FALSE))</f>
        <v/>
      </c>
      <c r="P82" s="330" t="s">
        <v>563</v>
      </c>
      <c r="Q82" s="752" t="str">
        <f>IF(ISERROR(VLOOKUP(Q81,'審判員'!$A:$C,2,FALSE))=TRUE,"",VLOOKUP(Q81,'審判員'!$A:$C,2,FALSE))</f>
        <v>田尻　貴志</v>
      </c>
      <c r="R82" s="753"/>
      <c r="S82" s="331" t="str">
        <f>IF(ISERROR(VLOOKUP(Q81,'審判員'!$A:$C,3,FALSE))=TRUE,"",VLOOKUP(Q81,'審判員'!$A:$C,3,FALSE))</f>
        <v>３級</v>
      </c>
      <c r="T82" s="333" t="s">
        <v>419</v>
      </c>
      <c r="U82" s="334" t="str">
        <f>IF(ISERROR(VLOOKUP(CONCATENATE($U$62,"_",V82),'選手名簿'!$A:$E,5,FALSE))=TRUE,"",VLOOKUP(CONCATENATE($U$62,"_",V82),'選手名簿'!$A:$E,5,FALSE))</f>
        <v/>
      </c>
      <c r="V82" s="335"/>
      <c r="W82" s="335"/>
      <c r="X82" s="335"/>
      <c r="Y82" s="401"/>
      <c r="Z82" s="335"/>
      <c r="AA82" s="335"/>
      <c r="AB82" s="335"/>
      <c r="AC82" s="336" t="str">
        <f>IF(ISERROR(VLOOKUP(CONCATENATE($AC$62,"_",AB82),'選手名簿'!$A:$E,5,FALSE))=TRUE,"",VLOOKUP(CONCATENATE($AC$62,"_",AB82),'選手名簿'!$A:$E,5,FALSE))</f>
        <v/>
      </c>
    </row>
    <row r="83" spans="1:29" ht="26.25" customHeight="1">
      <c r="A83" s="412" t="s">
        <v>557</v>
      </c>
      <c r="B83" s="859"/>
      <c r="C83" s="859"/>
      <c r="D83" s="860"/>
      <c r="E83" s="333" t="s">
        <v>419</v>
      </c>
      <c r="F83" s="334" t="str">
        <f>IF(ISERROR(VLOOKUP(CONCATENATE($F$62,"_",G83),'選手名簿'!$A:$E,5,FALSE))=TRUE,"",VLOOKUP(CONCATENATE($F$62,"_",G83),'選手名簿'!$A:$E,5,FALSE))</f>
        <v/>
      </c>
      <c r="G83" s="335"/>
      <c r="H83" s="335"/>
      <c r="I83" s="335"/>
      <c r="J83" s="401"/>
      <c r="K83" s="335"/>
      <c r="L83" s="335"/>
      <c r="M83" s="335"/>
      <c r="N83" s="336" t="str">
        <f>IF(ISERROR(VLOOKUP(CONCATENATE($N$62,"_",M83),'選手名簿'!$A:$E,5,FALSE))=TRUE,"",VLOOKUP(CONCATENATE($N$62,"_",M83),'選手名簿'!$A:$E,5,FALSE))</f>
        <v/>
      </c>
      <c r="P83" s="330" t="s">
        <v>557</v>
      </c>
      <c r="Q83" s="750" t="s">
        <v>567</v>
      </c>
      <c r="R83" s="750"/>
      <c r="S83" s="751"/>
      <c r="T83" s="333" t="s">
        <v>419</v>
      </c>
      <c r="U83" s="334" t="str">
        <f>IF(ISERROR(VLOOKUP(CONCATENATE($U$62,"_",V83),'選手名簿'!$A:$E,5,FALSE))=TRUE,"",VLOOKUP(CONCATENATE($U$62,"_",V83),'選手名簿'!$A:$E,5,FALSE))</f>
        <v/>
      </c>
      <c r="V83" s="335"/>
      <c r="W83" s="335"/>
      <c r="X83" s="335"/>
      <c r="Y83" s="401"/>
      <c r="Z83" s="335"/>
      <c r="AA83" s="335"/>
      <c r="AB83" s="335"/>
      <c r="AC83" s="336" t="str">
        <f>IF(ISERROR(VLOOKUP(CONCATENATE($AC$62,"_",AB83),'選手名簿'!$A:$E,5,FALSE))=TRUE,"",VLOOKUP(CONCATENATE($AC$62,"_",AB83),'選手名簿'!$A:$E,5,FALSE))</f>
        <v/>
      </c>
    </row>
    <row r="84" spans="1:29" ht="26.25" customHeight="1">
      <c r="A84" s="412" t="s">
        <v>566</v>
      </c>
      <c r="B84" s="861" t="str">
        <f>IF(ISERROR(VLOOKUP(B83,'審判員'!$A:$C,2,FALSE))=TRUE,"",VLOOKUP(B83,'審判員'!$A:$C,2,FALSE))</f>
        <v/>
      </c>
      <c r="C84" s="862"/>
      <c r="D84" s="412" t="str">
        <f>IF(ISERROR(VLOOKUP(B83,'審判員'!$A:$C,3,FALSE))=TRUE,"",VLOOKUP(B83,'審判員'!$A:$C,3,FALSE))</f>
        <v/>
      </c>
      <c r="E84" s="333" t="s">
        <v>419</v>
      </c>
      <c r="F84" s="334" t="str">
        <f>IF(ISERROR(VLOOKUP(CONCATENATE($F$62,"_",G84),'選手名簿'!$A:$E,5,FALSE))=TRUE,"",VLOOKUP(CONCATENATE($F$62,"_",G84),'選手名簿'!$A:$E,5,FALSE))</f>
        <v/>
      </c>
      <c r="G84" s="335"/>
      <c r="H84" s="335"/>
      <c r="I84" s="335"/>
      <c r="J84" s="401"/>
      <c r="K84" s="335"/>
      <c r="L84" s="335"/>
      <c r="M84" s="335"/>
      <c r="N84" s="336" t="str">
        <f>IF(ISERROR(VLOOKUP(CONCATENATE($N$62,"_",M84),'選手名簿'!$A:$E,5,FALSE))=TRUE,"",VLOOKUP(CONCATENATE($N$62,"_",M84),'選手名簿'!$A:$E,5,FALSE))</f>
        <v/>
      </c>
      <c r="P84" s="330" t="s">
        <v>566</v>
      </c>
      <c r="Q84" s="752" t="str">
        <f>IF(ISERROR(VLOOKUP(Q83,'審判員'!$A:$C,2,FALSE))=TRUE,"",VLOOKUP(Q83,'審判員'!$A:$C,2,FALSE))</f>
        <v>内藤　翔悟</v>
      </c>
      <c r="R84" s="753"/>
      <c r="S84" s="331" t="str">
        <f>IF(ISERROR(VLOOKUP(Q83,'審判員'!$A:$C,3,FALSE))=TRUE,"",VLOOKUP(Q83,'審判員'!$A:$C,3,FALSE))</f>
        <v>３級</v>
      </c>
      <c r="T84" s="333" t="s">
        <v>419</v>
      </c>
      <c r="U84" s="334" t="str">
        <f>IF(ISERROR(VLOOKUP(CONCATENATE($U$62,"_",V84),'選手名簿'!$A:$E,5,FALSE))=TRUE,"",VLOOKUP(CONCATENATE($U$62,"_",V84),'選手名簿'!$A:$E,5,FALSE))</f>
        <v/>
      </c>
      <c r="V84" s="335"/>
      <c r="W84" s="335"/>
      <c r="X84" s="335"/>
      <c r="Y84" s="401"/>
      <c r="Z84" s="335"/>
      <c r="AA84" s="335"/>
      <c r="AB84" s="335"/>
      <c r="AC84" s="336" t="str">
        <f>IF(ISERROR(VLOOKUP(CONCATENATE($AC$62,"_",AB84),'選手名簿'!$A:$E,5,FALSE))=TRUE,"",VLOOKUP(CONCATENATE($AC$62,"_",AB84),'選手名簿'!$A:$E,5,FALSE))</f>
        <v/>
      </c>
    </row>
    <row r="85" spans="1:29" ht="26.25" customHeight="1">
      <c r="A85" s="330" t="s">
        <v>557</v>
      </c>
      <c r="B85" s="750" t="s">
        <v>586</v>
      </c>
      <c r="C85" s="750"/>
      <c r="D85" s="751"/>
      <c r="E85" s="333" t="s">
        <v>419</v>
      </c>
      <c r="F85" s="334" t="str">
        <f>IF(ISERROR(VLOOKUP(CONCATENATE($F$62,"_",G85),'選手名簿'!$A:$E,5,FALSE))=TRUE,"",VLOOKUP(CONCATENATE($F$62,"_",G85),'選手名簿'!$A:$E,5,FALSE))</f>
        <v/>
      </c>
      <c r="G85" s="335"/>
      <c r="H85" s="335"/>
      <c r="I85" s="335"/>
      <c r="J85" s="401"/>
      <c r="K85" s="335"/>
      <c r="L85" s="335"/>
      <c r="M85" s="335"/>
      <c r="N85" s="336" t="str">
        <f>IF(ISERROR(VLOOKUP(CONCATENATE($N$62,"_",M85),'選手名簿'!$A:$E,5,FALSE))=TRUE,"",VLOOKUP(CONCATENATE($N$62,"_",M85),'選手名簿'!$A:$E,5,FALSE))</f>
        <v/>
      </c>
      <c r="P85" s="330" t="s">
        <v>557</v>
      </c>
      <c r="Q85" s="750" t="s">
        <v>672</v>
      </c>
      <c r="R85" s="750"/>
      <c r="S85" s="751"/>
      <c r="T85" s="333" t="s">
        <v>419</v>
      </c>
      <c r="U85" s="334" t="str">
        <f>IF(ISERROR(VLOOKUP(CONCATENATE($U$62,"_",V85),'選手名簿'!$A:$E,5,FALSE))=TRUE,"",VLOOKUP(CONCATENATE($U$62,"_",V85),'選手名簿'!$A:$E,5,FALSE))</f>
        <v/>
      </c>
      <c r="V85" s="335"/>
      <c r="W85" s="335"/>
      <c r="X85" s="335"/>
      <c r="Y85" s="401"/>
      <c r="Z85" s="335"/>
      <c r="AA85" s="335"/>
      <c r="AB85" s="335"/>
      <c r="AC85" s="336" t="str">
        <f>IF(ISERROR(VLOOKUP(CONCATENATE($AC$62,"_",AB85),'選手名簿'!$A:$E,5,FALSE))=TRUE,"",VLOOKUP(CONCATENATE($AC$62,"_",AB85),'選手名簿'!$A:$E,5,FALSE))</f>
        <v/>
      </c>
    </row>
    <row r="86" spans="1:29" ht="26.25" customHeight="1">
      <c r="A86" s="330" t="s">
        <v>568</v>
      </c>
      <c r="B86" s="752" t="str">
        <f>IF(ISERROR(VLOOKUP(B85,'審判員'!$A:$C,2,FALSE))=TRUE,"",VLOOKUP(B85,'審判員'!$A:$C,2,FALSE))</f>
        <v>朝比奈　義行</v>
      </c>
      <c r="C86" s="753"/>
      <c r="D86" s="331" t="str">
        <f>IF(ISERROR(VLOOKUP(B85,'審判員'!$A:$C,3,FALSE))=TRUE,"",VLOOKUP(B85,'審判員'!$A:$C,3,FALSE))</f>
        <v>３級</v>
      </c>
      <c r="E86" s="337" t="s">
        <v>419</v>
      </c>
      <c r="F86" s="338" t="str">
        <f>IF(ISERROR(VLOOKUP(CONCATENATE($F$62,"_",G86),'選手名簿'!$A:$E,5,FALSE))=TRUE,"",VLOOKUP(CONCATENATE($F$62,"_",G86),'選手名簿'!$A:$E,5,FALSE))</f>
        <v/>
      </c>
      <c r="G86" s="339"/>
      <c r="H86" s="339"/>
      <c r="I86" s="339"/>
      <c r="J86" s="408"/>
      <c r="K86" s="339"/>
      <c r="L86" s="339"/>
      <c r="M86" s="339"/>
      <c r="N86" s="340" t="str">
        <f>IF(ISERROR(VLOOKUP(CONCATENATE($N$62,"_",M86),'選手名簿'!$A:$E,5,FALSE))=TRUE,"",VLOOKUP(CONCATENATE($N$62,"_",M86),'選手名簿'!$A:$E,5,FALSE))</f>
        <v/>
      </c>
      <c r="P86" s="330" t="s">
        <v>568</v>
      </c>
      <c r="Q86" s="752" t="str">
        <f>IF(ISERROR(VLOOKUP(Q85,'審判員'!$A:$C,2,FALSE))=TRUE,"",VLOOKUP(Q85,'審判員'!$A:$C,2,FALSE))</f>
        <v>奥田　和彦</v>
      </c>
      <c r="R86" s="753"/>
      <c r="S86" s="331" t="str">
        <f>IF(ISERROR(VLOOKUP(Q85,'審判員'!$A:$C,3,FALSE))=TRUE,"",VLOOKUP(Q85,'審判員'!$A:$C,3,FALSE))</f>
        <v>３級</v>
      </c>
      <c r="T86" s="337" t="s">
        <v>419</v>
      </c>
      <c r="U86" s="338" t="str">
        <f>IF(ISERROR(VLOOKUP(CONCATENATE($U$62,"_",V86),'選手名簿'!$A:$E,5,FALSE))=TRUE,"",VLOOKUP(CONCATENATE($U$62,"_",V86),'選手名簿'!$A:$E,5,FALSE))</f>
        <v/>
      </c>
      <c r="V86" s="339"/>
      <c r="W86" s="339"/>
      <c r="X86" s="339"/>
      <c r="Y86" s="408"/>
      <c r="Z86" s="339"/>
      <c r="AA86" s="339"/>
      <c r="AB86" s="339"/>
      <c r="AC86" s="340" t="str">
        <f>IF(ISERROR(VLOOKUP(CONCATENATE($AC$62,"_",AB86),'選手名簿'!$A:$E,5,FALSE))=TRUE,"",VLOOKUP(CONCATENATE($AC$62,"_",AB86),'選手名簿'!$A:$E,5,FALSE))</f>
        <v/>
      </c>
    </row>
    <row r="87" spans="5:20" ht="9.95" customHeight="1">
      <c r="E87" s="341"/>
      <c r="T87" s="341"/>
    </row>
    <row r="88" spans="5:20" ht="9.95" customHeight="1">
      <c r="E88" s="341"/>
      <c r="T88" s="341"/>
    </row>
    <row r="89" spans="5:20" ht="9.95" customHeight="1">
      <c r="E89" s="341"/>
      <c r="T89" s="341"/>
    </row>
    <row r="90" spans="5:20" ht="9.95" customHeight="1">
      <c r="E90" s="341"/>
      <c r="T90" s="341"/>
    </row>
    <row r="91" spans="2:20" ht="27.4" customHeight="1">
      <c r="B91" s="303" t="s">
        <v>685</v>
      </c>
      <c r="E91" s="341"/>
      <c r="Q91" s="303" t="s">
        <v>686</v>
      </c>
      <c r="T91" s="341"/>
    </row>
    <row r="92" spans="1:29" ht="27.4" customHeight="1">
      <c r="A92" s="312" t="s">
        <v>546</v>
      </c>
      <c r="B92" s="772" t="s">
        <v>550</v>
      </c>
      <c r="C92" s="773"/>
      <c r="D92" s="774"/>
      <c r="E92" s="756">
        <v>0.5</v>
      </c>
      <c r="F92" s="863" t="str">
        <f>VLOOKUP('決勝トーナメント'!K28,'組合せ抽選用'!$S:$U,3,FALSE)</f>
        <v>アトレチコエラン横瀬</v>
      </c>
      <c r="G92" s="762">
        <f>SUM(I92:I93)</f>
        <v>0</v>
      </c>
      <c r="H92" s="765" t="s">
        <v>294</v>
      </c>
      <c r="I92" s="313">
        <v>0</v>
      </c>
      <c r="J92" s="313" t="s">
        <v>548</v>
      </c>
      <c r="K92" s="313">
        <v>2</v>
      </c>
      <c r="L92" s="765" t="s">
        <v>549</v>
      </c>
      <c r="M92" s="762">
        <f>SUM(K92:K93)</f>
        <v>2</v>
      </c>
      <c r="N92" s="866" t="str">
        <f>VLOOKUP('決勝トーナメント'!O28,'組合せ抽選用'!$S:$U,3,FALSE)</f>
        <v>ＫＩＮＧＳ　ＦＯＯＴＢＡＬＬＣＬＵＢ　Ｕ－１２</v>
      </c>
      <c r="P92" s="312" t="s">
        <v>546</v>
      </c>
      <c r="Q92" s="772" t="s">
        <v>677</v>
      </c>
      <c r="R92" s="773"/>
      <c r="S92" s="774"/>
      <c r="T92" s="756">
        <v>0.5</v>
      </c>
      <c r="U92" s="863" t="str">
        <f>VLOOKUP('決勝トーナメント'!K21,'組合せ抽選用'!$S:$U,3,FALSE)</f>
        <v>下毛ＦＣ</v>
      </c>
      <c r="V92" s="762">
        <f>SUM(X92:X93)</f>
        <v>1</v>
      </c>
      <c r="W92" s="765" t="s">
        <v>294</v>
      </c>
      <c r="X92" s="398">
        <v>1</v>
      </c>
      <c r="Y92" s="313" t="s">
        <v>548</v>
      </c>
      <c r="Z92" s="313">
        <v>0</v>
      </c>
      <c r="AA92" s="765" t="s">
        <v>549</v>
      </c>
      <c r="AB92" s="762">
        <f>SUM(Z92:Z93)</f>
        <v>0</v>
      </c>
      <c r="AC92" s="866" t="str">
        <f>VLOOKUP('決勝トーナメント'!O21,'組合せ抽選用'!$S:$U,3,FALSE)</f>
        <v>太陽スポーツクラブ大分西</v>
      </c>
    </row>
    <row r="93" spans="1:29" ht="27.4" customHeight="1">
      <c r="A93" s="314" t="s">
        <v>551</v>
      </c>
      <c r="B93" s="771" t="s">
        <v>16</v>
      </c>
      <c r="C93" s="771"/>
      <c r="D93" s="772"/>
      <c r="E93" s="757"/>
      <c r="F93" s="864"/>
      <c r="G93" s="763"/>
      <c r="H93" s="766"/>
      <c r="I93" s="303">
        <v>0</v>
      </c>
      <c r="J93" s="303" t="s">
        <v>552</v>
      </c>
      <c r="K93" s="303">
        <v>0</v>
      </c>
      <c r="L93" s="766"/>
      <c r="M93" s="763"/>
      <c r="N93" s="867"/>
      <c r="P93" s="314" t="s">
        <v>551</v>
      </c>
      <c r="Q93" s="771" t="s">
        <v>547</v>
      </c>
      <c r="R93" s="771"/>
      <c r="S93" s="772"/>
      <c r="T93" s="757"/>
      <c r="U93" s="864"/>
      <c r="V93" s="763"/>
      <c r="W93" s="766"/>
      <c r="X93" s="303">
        <v>0</v>
      </c>
      <c r="Y93" s="303" t="s">
        <v>552</v>
      </c>
      <c r="Z93" s="303">
        <v>0</v>
      </c>
      <c r="AA93" s="766"/>
      <c r="AB93" s="763"/>
      <c r="AC93" s="867"/>
    </row>
    <row r="94" spans="1:29" ht="27.4" customHeight="1">
      <c r="A94" s="314" t="s">
        <v>553</v>
      </c>
      <c r="B94" s="771" t="s">
        <v>584</v>
      </c>
      <c r="C94" s="771"/>
      <c r="D94" s="772"/>
      <c r="E94" s="758"/>
      <c r="F94" s="865"/>
      <c r="G94" s="764"/>
      <c r="H94" s="767"/>
      <c r="I94" s="315"/>
      <c r="J94" s="315" t="s">
        <v>555</v>
      </c>
      <c r="K94" s="315"/>
      <c r="L94" s="767"/>
      <c r="M94" s="764"/>
      <c r="N94" s="868"/>
      <c r="P94" s="314" t="s">
        <v>553</v>
      </c>
      <c r="Q94" s="771" t="s">
        <v>554</v>
      </c>
      <c r="R94" s="771"/>
      <c r="S94" s="772"/>
      <c r="T94" s="758"/>
      <c r="U94" s="865"/>
      <c r="V94" s="764"/>
      <c r="W94" s="767"/>
      <c r="X94" s="315"/>
      <c r="Y94" s="315" t="s">
        <v>555</v>
      </c>
      <c r="Z94" s="315"/>
      <c r="AA94" s="767"/>
      <c r="AB94" s="764"/>
      <c r="AC94" s="868"/>
    </row>
    <row r="95" spans="5:29" ht="26.25" customHeight="1" hidden="1">
      <c r="E95" s="316"/>
      <c r="F95" s="317" t="s">
        <v>418</v>
      </c>
      <c r="G95" s="317" t="s">
        <v>557</v>
      </c>
      <c r="H95" s="317" t="s">
        <v>524</v>
      </c>
      <c r="I95" s="317"/>
      <c r="J95" s="399"/>
      <c r="K95" s="317"/>
      <c r="L95" s="317" t="s">
        <v>524</v>
      </c>
      <c r="M95" s="317" t="s">
        <v>557</v>
      </c>
      <c r="N95" s="319" t="s">
        <v>418</v>
      </c>
      <c r="T95" s="316"/>
      <c r="U95" s="317" t="s">
        <v>418</v>
      </c>
      <c r="V95" s="317" t="s">
        <v>557</v>
      </c>
      <c r="W95" s="317" t="s">
        <v>524</v>
      </c>
      <c r="X95" s="317"/>
      <c r="Y95" s="399"/>
      <c r="Z95" s="317"/>
      <c r="AA95" s="317" t="s">
        <v>524</v>
      </c>
      <c r="AB95" s="317" t="s">
        <v>557</v>
      </c>
      <c r="AC95" s="319" t="s">
        <v>418</v>
      </c>
    </row>
    <row r="96" spans="5:29" ht="26.25" customHeight="1" hidden="1">
      <c r="E96" s="333" t="s">
        <v>558</v>
      </c>
      <c r="F96" s="400" t="str">
        <f>IF(ISERROR(VLOOKUP(CONCATENATE($F$62,"_",G96),'選手名簿'!$A:$E,5,FALSE))=TRUE,"",VLOOKUP(CONCATENATE($F$62,"_",G96),'選手名簿'!$A:$E,5,FALSE))</f>
        <v/>
      </c>
      <c r="G96" s="335"/>
      <c r="H96" s="335"/>
      <c r="I96" s="335"/>
      <c r="J96" s="401"/>
      <c r="K96" s="335"/>
      <c r="L96" s="335"/>
      <c r="M96" s="335"/>
      <c r="N96" s="402" t="str">
        <f>IF(ISERROR(VLOOKUP(CONCATENATE($N$62,"_",M96),'選手名簿'!$A:$E,5,FALSE))=TRUE,"",VLOOKUP(CONCATENATE($N$62,"_",M96),'選手名簿'!$A:$E,5,FALSE))</f>
        <v/>
      </c>
      <c r="T96" s="333" t="s">
        <v>558</v>
      </c>
      <c r="U96" s="400" t="str">
        <f>IF(ISERROR(VLOOKUP(CONCATENATE($U$62,"_",V96),'選手名簿'!$A:$E,5,FALSE))=TRUE,"",VLOOKUP(CONCATENATE($U$62,"_",V96),'選手名簿'!$A:$E,5,FALSE))</f>
        <v/>
      </c>
      <c r="V96" s="335"/>
      <c r="W96" s="335"/>
      <c r="X96" s="335"/>
      <c r="Y96" s="401"/>
      <c r="Z96" s="335"/>
      <c r="AA96" s="335"/>
      <c r="AB96" s="335"/>
      <c r="AC96" s="402" t="str">
        <f>IF(ISERROR(VLOOKUP(CONCATENATE($AC$62,"_",AB96),'選手名簿'!$A:$E,5,FALSE))=TRUE,"",VLOOKUP(CONCATENATE($AC$62,"_",AB96),'選手名簿'!$A:$E,5,FALSE))</f>
        <v/>
      </c>
    </row>
    <row r="97" spans="5:29" ht="26.25" customHeight="1" hidden="1">
      <c r="E97" s="333" t="s">
        <v>558</v>
      </c>
      <c r="F97" s="321" t="str">
        <f>IF(ISERROR(VLOOKUP(CONCATENATE($F$62,"_",G97),'選手名簿'!$A:$E,5,FALSE))=TRUE,"",VLOOKUP(CONCATENATE($F$62,"_",G97),'選手名簿'!$A:$E,5,FALSE))</f>
        <v/>
      </c>
      <c r="G97" s="335"/>
      <c r="H97" s="335"/>
      <c r="I97" s="335"/>
      <c r="J97" s="401"/>
      <c r="K97" s="335"/>
      <c r="L97" s="335"/>
      <c r="M97" s="335"/>
      <c r="N97" s="402" t="str">
        <f>IF(ISERROR(VLOOKUP(CONCATENATE($N$62,"_",M97),'選手名簿'!$A:$E,5,FALSE))=TRUE,"",VLOOKUP(CONCATENATE($N$62,"_",M97),'選手名簿'!$A:$E,5,FALSE))</f>
        <v/>
      </c>
      <c r="T97" s="333" t="s">
        <v>558</v>
      </c>
      <c r="U97" s="321" t="str">
        <f>IF(ISERROR(VLOOKUP(CONCATENATE($U$62,"_",V97),'選手名簿'!$A:$E,5,FALSE))=TRUE,"",VLOOKUP(CONCATENATE($U$62,"_",V97),'選手名簿'!$A:$E,5,FALSE))</f>
        <v/>
      </c>
      <c r="V97" s="335"/>
      <c r="W97" s="335"/>
      <c r="X97" s="335"/>
      <c r="Y97" s="401"/>
      <c r="Z97" s="335"/>
      <c r="AA97" s="335"/>
      <c r="AB97" s="335"/>
      <c r="AC97" s="402" t="str">
        <f>IF(ISERROR(VLOOKUP(CONCATENATE($AC$62,"_",AB97),'選手名簿'!$A:$E,5,FALSE))=TRUE,"",VLOOKUP(CONCATENATE($AC$62,"_",AB97),'選手名簿'!$A:$E,5,FALSE))</f>
        <v/>
      </c>
    </row>
    <row r="98" spans="5:29" ht="26.25" customHeight="1" hidden="1">
      <c r="E98" s="333" t="s">
        <v>558</v>
      </c>
      <c r="F98" s="400" t="str">
        <f>IF(ISERROR(VLOOKUP(CONCATENATE($F$62,"_",G98),'選手名簿'!$A:$E,5,FALSE))=TRUE,"",VLOOKUP(CONCATENATE($F$62,"_",G98),'選手名簿'!$A:$E,5,FALSE))</f>
        <v/>
      </c>
      <c r="G98" s="335"/>
      <c r="H98" s="335"/>
      <c r="I98" s="335"/>
      <c r="J98" s="401"/>
      <c r="K98" s="335"/>
      <c r="L98" s="335"/>
      <c r="M98" s="335"/>
      <c r="N98" s="402" t="str">
        <f>IF(ISERROR(VLOOKUP(CONCATENATE($N$62,"_",M98),'選手名簿'!$A:$E,5,FALSE))=TRUE,"",VLOOKUP(CONCATENATE($N$62,"_",M98),'選手名簿'!$A:$E,5,FALSE))</f>
        <v/>
      </c>
      <c r="T98" s="333" t="s">
        <v>558</v>
      </c>
      <c r="U98" s="400" t="str">
        <f>IF(ISERROR(VLOOKUP(CONCATENATE($U$62,"_",V98),'選手名簿'!$A:$E,5,FALSE))=TRUE,"",VLOOKUP(CONCATENATE($U$62,"_",V98),'選手名簿'!$A:$E,5,FALSE))</f>
        <v/>
      </c>
      <c r="V98" s="335"/>
      <c r="W98" s="335"/>
      <c r="X98" s="335"/>
      <c r="Y98" s="401"/>
      <c r="Z98" s="335"/>
      <c r="AA98" s="335"/>
      <c r="AB98" s="335"/>
      <c r="AC98" s="402" t="str">
        <f>IF(ISERROR(VLOOKUP(CONCATENATE($AC$62,"_",AB98),'選手名簿'!$A:$E,5,FALSE))=TRUE,"",VLOOKUP(CONCATENATE($AC$62,"_",AB98),'選手名簿'!$A:$E,5,FALSE))</f>
        <v/>
      </c>
    </row>
    <row r="99" spans="5:29" ht="26.25" customHeight="1" hidden="1">
      <c r="E99" s="333" t="s">
        <v>558</v>
      </c>
      <c r="F99" s="321" t="str">
        <f>IF(ISERROR(VLOOKUP(CONCATENATE($F$62,"_",G99),'選手名簿'!$A:$E,5,FALSE))=TRUE,"",VLOOKUP(CONCATENATE($F$62,"_",G99),'選手名簿'!$A:$E,5,FALSE))</f>
        <v/>
      </c>
      <c r="G99" s="335"/>
      <c r="H99" s="335"/>
      <c r="I99" s="335"/>
      <c r="J99" s="401"/>
      <c r="K99" s="335"/>
      <c r="L99" s="335"/>
      <c r="M99" s="335"/>
      <c r="N99" s="402" t="str">
        <f>IF(ISERROR(VLOOKUP(CONCATENATE($N$62,"_",M99),'選手名簿'!$A:$E,5,FALSE))=TRUE,"",VLOOKUP(CONCATENATE($N$62,"_",M99),'選手名簿'!$A:$E,5,FALSE))</f>
        <v/>
      </c>
      <c r="T99" s="333" t="s">
        <v>558</v>
      </c>
      <c r="U99" s="321" t="str">
        <f>IF(ISERROR(VLOOKUP(CONCATENATE($U$62,"_",V99),'選手名簿'!$A:$E,5,FALSE))=TRUE,"",VLOOKUP(CONCATENATE($U$62,"_",V99),'選手名簿'!$A:$E,5,FALSE))</f>
        <v/>
      </c>
      <c r="V99" s="335"/>
      <c r="W99" s="335"/>
      <c r="X99" s="335"/>
      <c r="Y99" s="401"/>
      <c r="Z99" s="335"/>
      <c r="AA99" s="335"/>
      <c r="AB99" s="335"/>
      <c r="AC99" s="402" t="str">
        <f>IF(ISERROR(VLOOKUP(CONCATENATE($AC$62,"_",AB99),'選手名簿'!$A:$E,5,FALSE))=TRUE,"",VLOOKUP(CONCATENATE($AC$62,"_",AB99),'選手名簿'!$A:$E,5,FALSE))</f>
        <v/>
      </c>
    </row>
    <row r="100" spans="5:29" ht="26.25" customHeight="1" hidden="1">
      <c r="E100" s="333" t="s">
        <v>558</v>
      </c>
      <c r="F100" s="334" t="str">
        <f>IF(ISERROR(VLOOKUP(CONCATENATE($F$62,"_",G100),'選手名簿'!$A:$E,5,FALSE))=TRUE,"",VLOOKUP(CONCATENATE($F$62,"_",G100),'選手名簿'!$A:$E,5,FALSE))</f>
        <v/>
      </c>
      <c r="G100" s="335"/>
      <c r="H100" s="335"/>
      <c r="I100" s="335"/>
      <c r="J100" s="401"/>
      <c r="K100" s="335"/>
      <c r="L100" s="335"/>
      <c r="M100" s="335"/>
      <c r="N100" s="402" t="str">
        <f>IF(ISERROR(VLOOKUP(CONCATENATE($N$62,"_",M100),'選手名簿'!$A:$E,5,FALSE))=TRUE,"",VLOOKUP(CONCATENATE($N$62,"_",M100),'選手名簿'!$A:$E,5,FALSE))</f>
        <v/>
      </c>
      <c r="T100" s="333" t="s">
        <v>558</v>
      </c>
      <c r="U100" s="334" t="str">
        <f>IF(ISERROR(VLOOKUP(CONCATENATE($U$62,"_",V100),'選手名簿'!$A:$E,5,FALSE))=TRUE,"",VLOOKUP(CONCATENATE($U$62,"_",V100),'選手名簿'!$A:$E,5,FALSE))</f>
        <v/>
      </c>
      <c r="V100" s="335"/>
      <c r="W100" s="335"/>
      <c r="X100" s="335"/>
      <c r="Y100" s="401"/>
      <c r="Z100" s="335"/>
      <c r="AA100" s="335"/>
      <c r="AB100" s="335"/>
      <c r="AC100" s="402" t="str">
        <f>IF(ISERROR(VLOOKUP(CONCATENATE($AC$62,"_",AB100),'選手名簿'!$A:$E,5,FALSE))=TRUE,"",VLOOKUP(CONCATENATE($AC$62,"_",AB100),'選手名簿'!$A:$E,5,FALSE))</f>
        <v/>
      </c>
    </row>
    <row r="101" spans="5:29" ht="26.25" customHeight="1" hidden="1">
      <c r="E101" s="333" t="s">
        <v>558</v>
      </c>
      <c r="F101" s="334" t="str">
        <f>IF(ISERROR(VLOOKUP(CONCATENATE($F$62,"_",G101),'選手名簿'!$A:$E,5,FALSE))=TRUE,"",VLOOKUP(CONCATENATE($F$62,"_",G101),'選手名簿'!$A:$E,5,FALSE))</f>
        <v/>
      </c>
      <c r="G101" s="335"/>
      <c r="H101" s="335"/>
      <c r="I101" s="335"/>
      <c r="J101" s="401"/>
      <c r="K101" s="335"/>
      <c r="L101" s="335"/>
      <c r="M101" s="335"/>
      <c r="N101" s="402" t="str">
        <f>IF(ISERROR(VLOOKUP(CONCATENATE($N$62,"_",M101),'選手名簿'!$A:$E,5,FALSE))=TRUE,"",VLOOKUP(CONCATENATE($N$62,"_",M101),'選手名簿'!$A:$E,5,FALSE))</f>
        <v/>
      </c>
      <c r="T101" s="333" t="s">
        <v>558</v>
      </c>
      <c r="U101" s="334" t="str">
        <f>IF(ISERROR(VLOOKUP(CONCATENATE($U$62,"_",V101),'選手名簿'!$A:$E,5,FALSE))=TRUE,"",VLOOKUP(CONCATENATE($U$62,"_",V101),'選手名簿'!$A:$E,5,FALSE))</f>
        <v/>
      </c>
      <c r="V101" s="335"/>
      <c r="W101" s="335"/>
      <c r="X101" s="335"/>
      <c r="Y101" s="401"/>
      <c r="Z101" s="335"/>
      <c r="AA101" s="335"/>
      <c r="AB101" s="335"/>
      <c r="AC101" s="402" t="str">
        <f>IF(ISERROR(VLOOKUP(CONCATENATE($AC$62,"_",AB101),'選手名簿'!$A:$E,5,FALSE))=TRUE,"",VLOOKUP(CONCATENATE($AC$62,"_",AB101),'選手名簿'!$A:$E,5,FALSE))</f>
        <v/>
      </c>
    </row>
    <row r="102" spans="5:29" ht="26.25" customHeight="1" hidden="1">
      <c r="E102" s="333" t="s">
        <v>558</v>
      </c>
      <c r="F102" s="334" t="str">
        <f>IF(ISERROR(VLOOKUP(CONCATENATE($F$62,"_",G102),'選手名簿'!$A:$E,5,FALSE))=TRUE,"",VLOOKUP(CONCATENATE($F$62,"_",G102),'選手名簿'!$A:$E,5,FALSE))</f>
        <v/>
      </c>
      <c r="G102" s="335"/>
      <c r="H102" s="335"/>
      <c r="I102" s="335"/>
      <c r="J102" s="401"/>
      <c r="K102" s="335"/>
      <c r="L102" s="335"/>
      <c r="M102" s="335"/>
      <c r="N102" s="324" t="str">
        <f>IF(ISERROR(VLOOKUP(CONCATENATE($N$62,"_",M102),'選手名簿'!$A:$E,5,FALSE))=TRUE,"",VLOOKUP(CONCATENATE($N$62,"_",M102),'選手名簿'!$A:$E,5,FALSE))</f>
        <v/>
      </c>
      <c r="T102" s="333" t="s">
        <v>558</v>
      </c>
      <c r="U102" s="334" t="str">
        <f>IF(ISERROR(VLOOKUP(CONCATENATE($U$62,"_",V102),'選手名簿'!$A:$E,5,FALSE))=TRUE,"",VLOOKUP(CONCATENATE($U$62,"_",V102),'選手名簿'!$A:$E,5,FALSE))</f>
        <v/>
      </c>
      <c r="V102" s="335"/>
      <c r="W102" s="335"/>
      <c r="X102" s="335"/>
      <c r="Y102" s="401"/>
      <c r="Z102" s="335"/>
      <c r="AA102" s="335"/>
      <c r="AB102" s="335"/>
      <c r="AC102" s="324" t="str">
        <f>IF(ISERROR(VLOOKUP(CONCATENATE($AC$62,"_",AB102),'選手名簿'!$A:$E,5,FALSE))=TRUE,"",VLOOKUP(CONCATENATE($AC$62,"_",AB102),'選手名簿'!$A:$E,5,FALSE))</f>
        <v/>
      </c>
    </row>
    <row r="103" spans="5:29" ht="26.25" customHeight="1" hidden="1">
      <c r="E103" s="333" t="s">
        <v>558</v>
      </c>
      <c r="F103" s="334" t="str">
        <f>IF(ISERROR(VLOOKUP(CONCATENATE($F$62,"_",G103),'選手名簿'!$A:$E,5,FALSE))=TRUE,"",VLOOKUP(CONCATENATE($F$62,"_",G103),'選手名簿'!$A:$E,5,FALSE))</f>
        <v/>
      </c>
      <c r="G103" s="335"/>
      <c r="H103" s="335"/>
      <c r="I103" s="335"/>
      <c r="J103" s="401"/>
      <c r="K103" s="335"/>
      <c r="L103" s="335"/>
      <c r="M103" s="335"/>
      <c r="N103" s="336" t="str">
        <f>IF(ISERROR(VLOOKUP(CONCATENATE($N$62,"_",M103),'選手名簿'!$A:$E,5,FALSE))=TRUE,"",VLOOKUP(CONCATENATE($N$62,"_",M103),'選手名簿'!$A:$E,5,FALSE))</f>
        <v/>
      </c>
      <c r="T103" s="333" t="s">
        <v>558</v>
      </c>
      <c r="U103" s="334" t="str">
        <f>IF(ISERROR(VLOOKUP(CONCATENATE($U$62,"_",V103),'選手名簿'!$A:$E,5,FALSE))=TRUE,"",VLOOKUP(CONCATENATE($U$62,"_",V103),'選手名簿'!$A:$E,5,FALSE))</f>
        <v/>
      </c>
      <c r="V103" s="335"/>
      <c r="W103" s="335"/>
      <c r="X103" s="335"/>
      <c r="Y103" s="401"/>
      <c r="Z103" s="335"/>
      <c r="AA103" s="335"/>
      <c r="AB103" s="335"/>
      <c r="AC103" s="336" t="str">
        <f>IF(ISERROR(VLOOKUP(CONCATENATE($AC$62,"_",AB103),'選手名簿'!$A:$E,5,FALSE))=TRUE,"",VLOOKUP(CONCATENATE($AC$62,"_",AB103),'選手名簿'!$A:$E,5,FALSE))</f>
        <v/>
      </c>
    </row>
    <row r="104" spans="5:29" ht="26.25" customHeight="1" hidden="1">
      <c r="E104" s="333" t="s">
        <v>558</v>
      </c>
      <c r="F104" s="334" t="str">
        <f>IF(ISERROR(VLOOKUP(CONCATENATE($F$62,"_",G104),'選手名簿'!$A:$E,5,FALSE))=TRUE,"",VLOOKUP(CONCATENATE($F$62,"_",G104),'選手名簿'!$A:$E,5,FALSE))</f>
        <v/>
      </c>
      <c r="G104" s="335"/>
      <c r="H104" s="335"/>
      <c r="I104" s="335"/>
      <c r="J104" s="401"/>
      <c r="K104" s="335"/>
      <c r="L104" s="335"/>
      <c r="M104" s="335"/>
      <c r="N104" s="336" t="str">
        <f>IF(ISERROR(VLOOKUP(CONCATENATE($N$62,"_",M104),'選手名簿'!$A:$E,5,FALSE))=TRUE,"",VLOOKUP(CONCATENATE($N$62,"_",M104),'選手名簿'!$A:$E,5,FALSE))</f>
        <v/>
      </c>
      <c r="T104" s="333" t="s">
        <v>558</v>
      </c>
      <c r="U104" s="334" t="str">
        <f>IF(ISERROR(VLOOKUP(CONCATENATE($U$62,"_",V104),'選手名簿'!$A:$E,5,FALSE))=TRUE,"",VLOOKUP(CONCATENATE($U$62,"_",V104),'選手名簿'!$A:$E,5,FALSE))</f>
        <v/>
      </c>
      <c r="V104" s="335"/>
      <c r="W104" s="335"/>
      <c r="X104" s="335"/>
      <c r="Y104" s="401"/>
      <c r="Z104" s="335"/>
      <c r="AA104" s="335"/>
      <c r="AB104" s="335"/>
      <c r="AC104" s="336" t="str">
        <f>IF(ISERROR(VLOOKUP(CONCATENATE($AC$62,"_",AB104),'選手名簿'!$A:$E,5,FALSE))=TRUE,"",VLOOKUP(CONCATENATE($AC$62,"_",AB104),'選手名簿'!$A:$E,5,FALSE))</f>
        <v/>
      </c>
    </row>
    <row r="105" spans="5:29" ht="26.25" customHeight="1" hidden="1">
      <c r="E105" s="333" t="s">
        <v>558</v>
      </c>
      <c r="F105" s="334" t="str">
        <f>IF(ISERROR(VLOOKUP(CONCATENATE($F$62,"_",G105),'選手名簿'!$A:$E,5,FALSE))=TRUE,"",VLOOKUP(CONCATENATE($F$62,"_",G105),'選手名簿'!$A:$E,5,FALSE))</f>
        <v/>
      </c>
      <c r="G105" s="335"/>
      <c r="H105" s="335"/>
      <c r="I105" s="335"/>
      <c r="J105" s="401"/>
      <c r="K105" s="335"/>
      <c r="L105" s="335"/>
      <c r="M105" s="335"/>
      <c r="N105" s="336" t="str">
        <f>IF(ISERROR(VLOOKUP(CONCATENATE($N$62,"_",M105),'選手名簿'!$A:$E,5,FALSE))=TRUE,"",VLOOKUP(CONCATENATE($N$62,"_",M105),'選手名簿'!$A:$E,5,FALSE))</f>
        <v/>
      </c>
      <c r="T105" s="333" t="s">
        <v>558</v>
      </c>
      <c r="U105" s="334" t="str">
        <f>IF(ISERROR(VLOOKUP(CONCATENATE($U$62,"_",V105),'選手名簿'!$A:$E,5,FALSE))=TRUE,"",VLOOKUP(CONCATENATE($U$62,"_",V105),'選手名簿'!$A:$E,5,FALSE))</f>
        <v/>
      </c>
      <c r="V105" s="335"/>
      <c r="W105" s="335"/>
      <c r="X105" s="335"/>
      <c r="Y105" s="401"/>
      <c r="Z105" s="335"/>
      <c r="AA105" s="335"/>
      <c r="AB105" s="335"/>
      <c r="AC105" s="336" t="str">
        <f>IF(ISERROR(VLOOKUP(CONCATENATE($AC$62,"_",AB105),'選手名簿'!$A:$E,5,FALSE))=TRUE,"",VLOOKUP(CONCATENATE($AC$62,"_",AB105),'選手名簿'!$A:$E,5,FALSE))</f>
        <v/>
      </c>
    </row>
    <row r="106" spans="5:29" ht="26.25" customHeight="1" hidden="1">
      <c r="E106" s="333" t="s">
        <v>558</v>
      </c>
      <c r="F106" s="334" t="str">
        <f>IF(ISERROR(VLOOKUP(CONCATENATE($F$62,"_",G106),'選手名簿'!$A:$E,5,FALSE))=TRUE,"",VLOOKUP(CONCATENATE($F$62,"_",G106),'選手名簿'!$A:$E,5,FALSE))</f>
        <v/>
      </c>
      <c r="G106" s="335"/>
      <c r="H106" s="335"/>
      <c r="I106" s="335"/>
      <c r="J106" s="401"/>
      <c r="K106" s="335"/>
      <c r="L106" s="335"/>
      <c r="M106" s="335"/>
      <c r="N106" s="336" t="str">
        <f>IF(ISERROR(VLOOKUP(CONCATENATE($N$62,"_",M106),'選手名簿'!$A:$E,5,FALSE))=TRUE,"",VLOOKUP(CONCATENATE($N$62,"_",M106),'選手名簿'!$A:$E,5,FALSE))</f>
        <v/>
      </c>
      <c r="T106" s="333" t="s">
        <v>558</v>
      </c>
      <c r="U106" s="334" t="str">
        <f>IF(ISERROR(VLOOKUP(CONCATENATE($U$62,"_",V106),'選手名簿'!$A:$E,5,FALSE))=TRUE,"",VLOOKUP(CONCATENATE($U$62,"_",V106),'選手名簿'!$A:$E,5,FALSE))</f>
        <v/>
      </c>
      <c r="V106" s="335"/>
      <c r="W106" s="335"/>
      <c r="X106" s="335"/>
      <c r="Y106" s="401"/>
      <c r="Z106" s="335"/>
      <c r="AA106" s="335"/>
      <c r="AB106" s="335"/>
      <c r="AC106" s="336" t="str">
        <f>IF(ISERROR(VLOOKUP(CONCATENATE($AC$62,"_",AB106),'選手名簿'!$A:$E,5,FALSE))=TRUE,"",VLOOKUP(CONCATENATE($AC$62,"_",AB106),'選手名簿'!$A:$E,5,FALSE))</f>
        <v/>
      </c>
    </row>
    <row r="107" spans="5:29" ht="26.25" customHeight="1" hidden="1">
      <c r="E107" s="403" t="s">
        <v>558</v>
      </c>
      <c r="F107" s="404" t="str">
        <f>IF(ISERROR(VLOOKUP(CONCATENATE($F$62,"_",G107),'選手名簿'!$A:$E,5,FALSE))=TRUE,"",VLOOKUP(CONCATENATE($F$62,"_",G107),'選手名簿'!$A:$E,5,FALSE))</f>
        <v/>
      </c>
      <c r="G107" s="405"/>
      <c r="H107" s="405"/>
      <c r="I107" s="405"/>
      <c r="J107" s="406"/>
      <c r="K107" s="405"/>
      <c r="L107" s="405"/>
      <c r="M107" s="405"/>
      <c r="N107" s="407" t="str">
        <f>IF(ISERROR(VLOOKUP(CONCATENATE($N$62,"_",M107),'選手名簿'!$A:$E,5,FALSE))=TRUE,"",VLOOKUP(CONCATENATE($N$62,"_",M107),'選手名簿'!$A:$E,5,FALSE))</f>
        <v/>
      </c>
      <c r="T107" s="403" t="s">
        <v>558</v>
      </c>
      <c r="U107" s="404" t="str">
        <f>IF(ISERROR(VLOOKUP(CONCATENATE($U$62,"_",V107),'選手名簿'!$A:$E,5,FALSE))=TRUE,"",VLOOKUP(CONCATENATE($U$62,"_",V107),'選手名簿'!$A:$E,5,FALSE))</f>
        <v/>
      </c>
      <c r="V107" s="405"/>
      <c r="W107" s="405"/>
      <c r="X107" s="405"/>
      <c r="Y107" s="406"/>
      <c r="Z107" s="405"/>
      <c r="AA107" s="405"/>
      <c r="AB107" s="405"/>
      <c r="AC107" s="407" t="str">
        <f>IF(ISERROR(VLOOKUP(CONCATENATE($AC$62,"_",AB107),'選手名簿'!$A:$E,5,FALSE))=TRUE,"",VLOOKUP(CONCATENATE($AC$62,"_",AB107),'選手名簿'!$A:$E,5,FALSE))</f>
        <v/>
      </c>
    </row>
    <row r="108" spans="1:29" ht="26.25" customHeight="1">
      <c r="A108" s="754" t="s">
        <v>556</v>
      </c>
      <c r="B108" s="754"/>
      <c r="C108" s="754"/>
      <c r="D108" s="755"/>
      <c r="E108" s="316"/>
      <c r="F108" s="317" t="s">
        <v>418</v>
      </c>
      <c r="G108" s="317" t="s">
        <v>557</v>
      </c>
      <c r="H108" s="317" t="s">
        <v>524</v>
      </c>
      <c r="I108" s="317"/>
      <c r="J108" s="399"/>
      <c r="K108" s="317"/>
      <c r="L108" s="317" t="s">
        <v>524</v>
      </c>
      <c r="M108" s="317" t="s">
        <v>557</v>
      </c>
      <c r="N108" s="319" t="s">
        <v>418</v>
      </c>
      <c r="P108" s="754" t="s">
        <v>556</v>
      </c>
      <c r="Q108" s="754"/>
      <c r="R108" s="754"/>
      <c r="S108" s="755"/>
      <c r="T108" s="316"/>
      <c r="U108" s="317" t="s">
        <v>418</v>
      </c>
      <c r="V108" s="317" t="s">
        <v>557</v>
      </c>
      <c r="W108" s="317" t="s">
        <v>524</v>
      </c>
      <c r="X108" s="317"/>
      <c r="Y108" s="399"/>
      <c r="Z108" s="317"/>
      <c r="AA108" s="317" t="s">
        <v>524</v>
      </c>
      <c r="AB108" s="317" t="s">
        <v>557</v>
      </c>
      <c r="AC108" s="319" t="s">
        <v>418</v>
      </c>
    </row>
    <row r="109" spans="1:29" ht="26.25" customHeight="1">
      <c r="A109" s="330" t="s">
        <v>557</v>
      </c>
      <c r="B109" s="750" t="s">
        <v>674</v>
      </c>
      <c r="C109" s="750"/>
      <c r="D109" s="751"/>
      <c r="E109" s="333" t="s">
        <v>419</v>
      </c>
      <c r="F109" s="334" t="str">
        <f>IF(ISERROR(VLOOKUP(CONCATENATE($F$92,"_",G109),'選手名簿'!$A:$E,5,FALSE))=TRUE,"",VLOOKUP(CONCATENATE($F$92,"_",G109),'選手名簿'!$A:$E,5,FALSE))</f>
        <v/>
      </c>
      <c r="G109" s="335"/>
      <c r="H109" s="335"/>
      <c r="I109" s="335"/>
      <c r="J109" s="401"/>
      <c r="K109" s="335"/>
      <c r="L109" s="335"/>
      <c r="M109" s="335"/>
      <c r="N109" s="336" t="str">
        <f>IF(ISERROR(VLOOKUP(CONCATENATE($N$92,"_",M109),'選手名簿'!$A:$E,5,FALSE))=TRUE,"",VLOOKUP(CONCATENATE($N$92,"_",M109),'選手名簿'!$A:$E,5,FALSE))</f>
        <v/>
      </c>
      <c r="P109" s="330" t="s">
        <v>557</v>
      </c>
      <c r="Q109" s="750" t="s">
        <v>680</v>
      </c>
      <c r="R109" s="750"/>
      <c r="S109" s="751"/>
      <c r="T109" s="333" t="s">
        <v>419</v>
      </c>
      <c r="U109" s="334" t="str">
        <f>IF(ISERROR(VLOOKUP(CONCATENATE($U$92,"_",V109),'選手名簿'!$A:$E,5,FALSE))=TRUE,"",VLOOKUP(CONCATENATE($U$92,"_",V109),'選手名簿'!$A:$E,5,FALSE))</f>
        <v/>
      </c>
      <c r="V109" s="335"/>
      <c r="W109" s="335"/>
      <c r="X109" s="335"/>
      <c r="Y109" s="401"/>
      <c r="Z109" s="335"/>
      <c r="AA109" s="335"/>
      <c r="AB109" s="335"/>
      <c r="AC109" s="336" t="str">
        <f>IF(ISERROR(VLOOKUP(CONCATENATE($AC$92,"_",AB109),'選手名簿'!$A:$E,5,FALSE))=TRUE,"",VLOOKUP(CONCATENATE($AC$92,"_",AB109),'選手名簿'!$A:$E,5,FALSE))</f>
        <v/>
      </c>
    </row>
    <row r="110" spans="1:29" ht="26.25" customHeight="1">
      <c r="A110" s="330" t="s">
        <v>177</v>
      </c>
      <c r="B110" s="752" t="str">
        <f>IF(ISERROR(VLOOKUP(B109,'審判員'!$A:$C,2,FALSE))=TRUE,"",VLOOKUP(B109,'審判員'!$A:$C,2,FALSE))</f>
        <v>金田　智朗</v>
      </c>
      <c r="C110" s="753"/>
      <c r="D110" s="331" t="str">
        <f>IF(ISERROR(VLOOKUP(B109,'審判員'!$A:$C,3,FALSE))=TRUE,"",VLOOKUP(B109,'審判員'!$A:$C,3,FALSE))</f>
        <v>３級</v>
      </c>
      <c r="E110" s="333" t="s">
        <v>419</v>
      </c>
      <c r="F110" s="334" t="str">
        <f>IF(ISERROR(VLOOKUP(CONCATENATE($F$92,"_",G110),'選手名簿'!$A:$E,5,FALSE))=TRUE,"",VLOOKUP(CONCATENATE($F$92,"_",G110),'選手名簿'!$A:$E,5,FALSE))</f>
        <v/>
      </c>
      <c r="G110" s="335"/>
      <c r="H110" s="335"/>
      <c r="I110" s="335"/>
      <c r="J110" s="401"/>
      <c r="K110" s="335"/>
      <c r="L110" s="335"/>
      <c r="M110" s="335"/>
      <c r="N110" s="336" t="str">
        <f>IF(ISERROR(VLOOKUP(CONCATENATE($N$92,"_",M110),'選手名簿'!$A:$E,5,FALSE))=TRUE,"",VLOOKUP(CONCATENATE($N$92,"_",M110),'選手名簿'!$A:$E,5,FALSE))</f>
        <v/>
      </c>
      <c r="P110" s="330" t="s">
        <v>177</v>
      </c>
      <c r="Q110" s="752" t="str">
        <f>IF(ISERROR(VLOOKUP(Q109,'審判員'!$A:$C,2,FALSE))=TRUE,"",VLOOKUP(Q109,'審判員'!$A:$C,2,FALSE))</f>
        <v>清家　大介</v>
      </c>
      <c r="R110" s="753"/>
      <c r="S110" s="331" t="str">
        <f>IF(ISERROR(VLOOKUP(Q109,'審判員'!$A:$C,3,FALSE))=TRUE,"",VLOOKUP(Q109,'審判員'!$A:$C,3,FALSE))</f>
        <v>３級</v>
      </c>
      <c r="T110" s="333" t="s">
        <v>419</v>
      </c>
      <c r="U110" s="334" t="str">
        <f>IF(ISERROR(VLOOKUP(CONCATENATE($U$92,"_",V110),'選手名簿'!$A:$E,5,FALSE))=TRUE,"",VLOOKUP(CONCATENATE($U$92,"_",V110),'選手名簿'!$A:$E,5,FALSE))</f>
        <v/>
      </c>
      <c r="V110" s="335"/>
      <c r="W110" s="335"/>
      <c r="X110" s="335"/>
      <c r="Y110" s="401"/>
      <c r="Z110" s="335"/>
      <c r="AA110" s="335"/>
      <c r="AB110" s="335"/>
      <c r="AC110" s="336" t="str">
        <f>IF(ISERROR(VLOOKUP(CONCATENATE($AC$92,"_",AB110),'選手名簿'!$A:$E,5,FALSE))=TRUE,"",VLOOKUP(CONCATENATE($AC$92,"_",AB110),'選手名簿'!$A:$E,5,FALSE))</f>
        <v/>
      </c>
    </row>
    <row r="111" spans="1:29" ht="26.25" customHeight="1">
      <c r="A111" s="412" t="s">
        <v>557</v>
      </c>
      <c r="B111" s="859"/>
      <c r="C111" s="859"/>
      <c r="D111" s="860"/>
      <c r="E111" s="333" t="s">
        <v>419</v>
      </c>
      <c r="F111" s="334" t="str">
        <f>IF(ISERROR(VLOOKUP(CONCATENATE($F$92,"_",G111),'選手名簿'!$A:$E,5,FALSE))=TRUE,"",VLOOKUP(CONCATENATE($F$92,"_",G111),'選手名簿'!$A:$E,5,FALSE))</f>
        <v/>
      </c>
      <c r="G111" s="335"/>
      <c r="H111" s="335"/>
      <c r="I111" s="335"/>
      <c r="J111" s="401"/>
      <c r="K111" s="335"/>
      <c r="L111" s="335"/>
      <c r="M111" s="335"/>
      <c r="N111" s="336" t="str">
        <f>IF(ISERROR(VLOOKUP(CONCATENATE($N$92,"_",M111),'選手名簿'!$A:$E,5,FALSE))=TRUE,"",VLOOKUP(CONCATENATE($N$92,"_",M111),'選手名簿'!$A:$E,5,FALSE))</f>
        <v/>
      </c>
      <c r="P111" s="330" t="s">
        <v>557</v>
      </c>
      <c r="Q111" s="750" t="s">
        <v>681</v>
      </c>
      <c r="R111" s="750"/>
      <c r="S111" s="751"/>
      <c r="T111" s="333" t="s">
        <v>419</v>
      </c>
      <c r="U111" s="334" t="str">
        <f>IF(ISERROR(VLOOKUP(CONCATENATE($U$92,"_",V111),'選手名簿'!$A:$E,5,FALSE))=TRUE,"",VLOOKUP(CONCATENATE($U$92,"_",V111),'選手名簿'!$A:$E,5,FALSE))</f>
        <v/>
      </c>
      <c r="V111" s="335"/>
      <c r="W111" s="335"/>
      <c r="X111" s="335"/>
      <c r="Y111" s="401"/>
      <c r="Z111" s="335"/>
      <c r="AA111" s="335"/>
      <c r="AB111" s="335"/>
      <c r="AC111" s="336" t="str">
        <f>IF(ISERROR(VLOOKUP(CONCATENATE($AC$92,"_",AB111),'選手名簿'!$A:$E,5,FALSE))=TRUE,"",VLOOKUP(CONCATENATE($AC$92,"_",AB111),'選手名簿'!$A:$E,5,FALSE))</f>
        <v/>
      </c>
    </row>
    <row r="112" spans="1:29" ht="26.25" customHeight="1">
      <c r="A112" s="412" t="s">
        <v>563</v>
      </c>
      <c r="B112" s="861" t="str">
        <f>IF(ISERROR(VLOOKUP(B111,'審判員'!$A:$C,2,FALSE))=TRUE,"",VLOOKUP(B111,'審判員'!$A:$C,2,FALSE))</f>
        <v/>
      </c>
      <c r="C112" s="862"/>
      <c r="D112" s="412" t="str">
        <f>IF(ISERROR(VLOOKUP(B111,'審判員'!$A:$C,3,FALSE))=TRUE,"",VLOOKUP(B111,'審判員'!$A:$C,3,FALSE))</f>
        <v/>
      </c>
      <c r="E112" s="333" t="s">
        <v>419</v>
      </c>
      <c r="F112" s="334" t="str">
        <f>IF(ISERROR(VLOOKUP(CONCATENATE($F$92,"_",G112),'選手名簿'!$A:$E,5,FALSE))=TRUE,"",VLOOKUP(CONCATENATE($F$92,"_",G112),'選手名簿'!$A:$E,5,FALSE))</f>
        <v/>
      </c>
      <c r="G112" s="335"/>
      <c r="H112" s="335"/>
      <c r="I112" s="335"/>
      <c r="J112" s="401"/>
      <c r="K112" s="335"/>
      <c r="L112" s="335"/>
      <c r="M112" s="335"/>
      <c r="N112" s="336" t="str">
        <f>IF(ISERROR(VLOOKUP(CONCATENATE($N$92,"_",M112),'選手名簿'!$A:$E,5,FALSE))=TRUE,"",VLOOKUP(CONCATENATE($N$92,"_",M112),'選手名簿'!$A:$E,5,FALSE))</f>
        <v/>
      </c>
      <c r="P112" s="330" t="s">
        <v>563</v>
      </c>
      <c r="Q112" s="752" t="str">
        <f>IF(ISERROR(VLOOKUP(Q111,'審判員'!$A:$C,2,FALSE))=TRUE,"",VLOOKUP(Q111,'審判員'!$A:$C,2,FALSE))</f>
        <v>恵美　圭介</v>
      </c>
      <c r="R112" s="753"/>
      <c r="S112" s="331" t="str">
        <f>IF(ISERROR(VLOOKUP(Q111,'審判員'!$A:$C,3,FALSE))=TRUE,"",VLOOKUP(Q111,'審判員'!$A:$C,3,FALSE))</f>
        <v>３級</v>
      </c>
      <c r="T112" s="333" t="s">
        <v>419</v>
      </c>
      <c r="U112" s="334" t="str">
        <f>IF(ISERROR(VLOOKUP(CONCATENATE($U$92,"_",V112),'選手名簿'!$A:$E,5,FALSE))=TRUE,"",VLOOKUP(CONCATENATE($U$92,"_",V112),'選手名簿'!$A:$E,5,FALSE))</f>
        <v/>
      </c>
      <c r="V112" s="335"/>
      <c r="W112" s="335"/>
      <c r="X112" s="335"/>
      <c r="Y112" s="401"/>
      <c r="Z112" s="335"/>
      <c r="AA112" s="335"/>
      <c r="AB112" s="335"/>
      <c r="AC112" s="336" t="str">
        <f>IF(ISERROR(VLOOKUP(CONCATENATE($AC$92,"_",AB112),'選手名簿'!$A:$E,5,FALSE))=TRUE,"",VLOOKUP(CONCATENATE($AC$92,"_",AB112),'選手名簿'!$A:$E,5,FALSE))</f>
        <v/>
      </c>
    </row>
    <row r="113" spans="1:29" ht="26.25" customHeight="1">
      <c r="A113" s="412" t="s">
        <v>557</v>
      </c>
      <c r="B113" s="859"/>
      <c r="C113" s="859"/>
      <c r="D113" s="860"/>
      <c r="E113" s="333" t="s">
        <v>419</v>
      </c>
      <c r="F113" s="334" t="str">
        <f>IF(ISERROR(VLOOKUP(CONCATENATE($F$92,"_",G113),'選手名簿'!$A:$E,5,FALSE))=TRUE,"",VLOOKUP(CONCATENATE($F$92,"_",G113),'選手名簿'!$A:$E,5,FALSE))</f>
        <v/>
      </c>
      <c r="G113" s="335"/>
      <c r="H113" s="335"/>
      <c r="I113" s="335"/>
      <c r="J113" s="401"/>
      <c r="K113" s="335"/>
      <c r="L113" s="335"/>
      <c r="M113" s="335"/>
      <c r="N113" s="336" t="str">
        <f>IF(ISERROR(VLOOKUP(CONCATENATE($N$92,"_",M113),'選手名簿'!$A:$E,5,FALSE))=TRUE,"",VLOOKUP(CONCATENATE($N$92,"_",M113),'選手名簿'!$A:$E,5,FALSE))</f>
        <v/>
      </c>
      <c r="P113" s="330" t="s">
        <v>557</v>
      </c>
      <c r="Q113" s="750" t="s">
        <v>682</v>
      </c>
      <c r="R113" s="750"/>
      <c r="S113" s="751"/>
      <c r="T113" s="333" t="s">
        <v>419</v>
      </c>
      <c r="U113" s="334" t="str">
        <f>IF(ISERROR(VLOOKUP(CONCATENATE($U$92,"_",V113),'選手名簿'!$A:$E,5,FALSE))=TRUE,"",VLOOKUP(CONCATENATE($U$92,"_",V113),'選手名簿'!$A:$E,5,FALSE))</f>
        <v/>
      </c>
      <c r="V113" s="335"/>
      <c r="W113" s="335"/>
      <c r="X113" s="335"/>
      <c r="Y113" s="401"/>
      <c r="Z113" s="335"/>
      <c r="AA113" s="335"/>
      <c r="AB113" s="335"/>
      <c r="AC113" s="336" t="str">
        <f>IF(ISERROR(VLOOKUP(CONCATENATE($AC$92,"_",AB113),'選手名簿'!$A:$E,5,FALSE))=TRUE,"",VLOOKUP(CONCATENATE($AC$92,"_",AB113),'選手名簿'!$A:$E,5,FALSE))</f>
        <v/>
      </c>
    </row>
    <row r="114" spans="1:29" ht="26.25" customHeight="1">
      <c r="A114" s="412" t="s">
        <v>566</v>
      </c>
      <c r="B114" s="861" t="str">
        <f>IF(ISERROR(VLOOKUP(B113,'審判員'!$A:$C,2,FALSE))=TRUE,"",VLOOKUP(B113,'審判員'!$A:$C,2,FALSE))</f>
        <v/>
      </c>
      <c r="C114" s="862"/>
      <c r="D114" s="412" t="str">
        <f>IF(ISERROR(VLOOKUP(B113,'審判員'!$A:$C,3,FALSE))=TRUE,"",VLOOKUP(B113,'審判員'!$A:$C,3,FALSE))</f>
        <v/>
      </c>
      <c r="E114" s="333" t="s">
        <v>419</v>
      </c>
      <c r="F114" s="334" t="str">
        <f>IF(ISERROR(VLOOKUP(CONCATENATE($F$92,"_",G114),'選手名簿'!$A:$E,5,FALSE))=TRUE,"",VLOOKUP(CONCATENATE($F$92,"_",G114),'選手名簿'!$A:$E,5,FALSE))</f>
        <v/>
      </c>
      <c r="G114" s="335"/>
      <c r="H114" s="335"/>
      <c r="I114" s="335"/>
      <c r="J114" s="401"/>
      <c r="K114" s="335"/>
      <c r="L114" s="335"/>
      <c r="M114" s="335"/>
      <c r="N114" s="336" t="str">
        <f>IF(ISERROR(VLOOKUP(CONCATENATE($N$92,"_",M114),'選手名簿'!$A:$E,5,FALSE))=TRUE,"",VLOOKUP(CONCATENATE($N$92,"_",M114),'選手名簿'!$A:$E,5,FALSE))</f>
        <v/>
      </c>
      <c r="P114" s="330" t="s">
        <v>566</v>
      </c>
      <c r="Q114" s="752" t="str">
        <f>IF(ISERROR(VLOOKUP(Q113,'審判員'!$A:$C,2,FALSE))=TRUE,"",VLOOKUP(Q113,'審判員'!$A:$C,2,FALSE))</f>
        <v>野中　裕介</v>
      </c>
      <c r="R114" s="753"/>
      <c r="S114" s="331" t="str">
        <f>IF(ISERROR(VLOOKUP(Q113,'審判員'!$A:$C,3,FALSE))=TRUE,"",VLOOKUP(Q113,'審判員'!$A:$C,3,FALSE))</f>
        <v>３級</v>
      </c>
      <c r="T114" s="333" t="s">
        <v>419</v>
      </c>
      <c r="U114" s="334" t="str">
        <f>IF(ISERROR(VLOOKUP(CONCATENATE($U$92,"_",V114),'選手名簿'!$A:$E,5,FALSE))=TRUE,"",VLOOKUP(CONCATENATE($U$92,"_",V114),'選手名簿'!$A:$E,5,FALSE))</f>
        <v/>
      </c>
      <c r="V114" s="335"/>
      <c r="W114" s="335"/>
      <c r="X114" s="335"/>
      <c r="Y114" s="401"/>
      <c r="Z114" s="335"/>
      <c r="AA114" s="335"/>
      <c r="AB114" s="335"/>
      <c r="AC114" s="336" t="str">
        <f>IF(ISERROR(VLOOKUP(CONCATENATE($AC$92,"_",AB114),'選手名簿'!$A:$E,5,FALSE))=TRUE,"",VLOOKUP(CONCATENATE($AC$92,"_",AB114),'選手名簿'!$A:$E,5,FALSE))</f>
        <v/>
      </c>
    </row>
    <row r="115" spans="1:29" ht="26.25" customHeight="1">
      <c r="A115" s="330" t="s">
        <v>557</v>
      </c>
      <c r="B115" s="750" t="s">
        <v>679</v>
      </c>
      <c r="C115" s="750"/>
      <c r="D115" s="751"/>
      <c r="E115" s="333" t="s">
        <v>419</v>
      </c>
      <c r="F115" s="334" t="str">
        <f>IF(ISERROR(VLOOKUP(CONCATENATE($F$92,"_",G115),'選手名簿'!$A:$E,5,FALSE))=TRUE,"",VLOOKUP(CONCATENATE($F$92,"_",G115),'選手名簿'!$A:$E,5,FALSE))</f>
        <v/>
      </c>
      <c r="G115" s="335"/>
      <c r="H115" s="335"/>
      <c r="I115" s="335"/>
      <c r="J115" s="401"/>
      <c r="K115" s="335"/>
      <c r="L115" s="335"/>
      <c r="M115" s="335"/>
      <c r="N115" s="336" t="str">
        <f>IF(ISERROR(VLOOKUP(CONCATENATE($N$92,"_",M115),'選手名簿'!$A:$E,5,FALSE))=TRUE,"",VLOOKUP(CONCATENATE($N$92,"_",M115),'選手名簿'!$A:$E,5,FALSE))</f>
        <v/>
      </c>
      <c r="P115" s="330" t="s">
        <v>557</v>
      </c>
      <c r="Q115" s="750" t="s">
        <v>559</v>
      </c>
      <c r="R115" s="750"/>
      <c r="S115" s="751"/>
      <c r="T115" s="333" t="s">
        <v>419</v>
      </c>
      <c r="U115" s="334" t="str">
        <f>IF(ISERROR(VLOOKUP(CONCATENATE($U$92,"_",V115),'選手名簿'!$A:$E,5,FALSE))=TRUE,"",VLOOKUP(CONCATENATE($U$92,"_",V115),'選手名簿'!$A:$E,5,FALSE))</f>
        <v/>
      </c>
      <c r="V115" s="335"/>
      <c r="W115" s="335"/>
      <c r="X115" s="335"/>
      <c r="Y115" s="401"/>
      <c r="Z115" s="335"/>
      <c r="AA115" s="335"/>
      <c r="AB115" s="335"/>
      <c r="AC115" s="336" t="str">
        <f>IF(ISERROR(VLOOKUP(CONCATENATE($AC$92,"_",AB115),'選手名簿'!$A:$E,5,FALSE))=TRUE,"",VLOOKUP(CONCATENATE($AC$92,"_",AB115),'選手名簿'!$A:$E,5,FALSE))</f>
        <v/>
      </c>
    </row>
    <row r="116" spans="1:29" ht="26.25" customHeight="1">
      <c r="A116" s="330" t="s">
        <v>568</v>
      </c>
      <c r="B116" s="752" t="str">
        <f>IF(ISERROR(VLOOKUP(B115,'審判員'!$A:$C,2,FALSE))=TRUE,"",VLOOKUP(B115,'審判員'!$A:$C,2,FALSE))</f>
        <v>菊地　謙一</v>
      </c>
      <c r="C116" s="753"/>
      <c r="D116" s="331" t="str">
        <f>IF(ISERROR(VLOOKUP(B115,'審判員'!$A:$C,3,FALSE))=TRUE,"",VLOOKUP(B115,'審判員'!$A:$C,3,FALSE))</f>
        <v>３級</v>
      </c>
      <c r="E116" s="337" t="s">
        <v>419</v>
      </c>
      <c r="F116" s="338" t="str">
        <f>IF(ISERROR(VLOOKUP(CONCATENATE($F$92,"_",G116),'選手名簿'!$A:$E,5,FALSE))=TRUE,"",VLOOKUP(CONCATENATE($F$92,"_",G116),'選手名簿'!$A:$E,5,FALSE))</f>
        <v/>
      </c>
      <c r="G116" s="339"/>
      <c r="H116" s="339"/>
      <c r="I116" s="339"/>
      <c r="J116" s="408"/>
      <c r="K116" s="339"/>
      <c r="L116" s="339"/>
      <c r="M116" s="339"/>
      <c r="N116" s="340" t="str">
        <f>IF(ISERROR(VLOOKUP(CONCATENATE($N$92,"_",M116),'選手名簿'!$A:$E,5,FALSE))=TRUE,"",VLOOKUP(CONCATENATE($N$92,"_",M116),'選手名簿'!$A:$E,5,FALSE))</f>
        <v/>
      </c>
      <c r="P116" s="330" t="s">
        <v>568</v>
      </c>
      <c r="Q116" s="752" t="str">
        <f>IF(ISERROR(VLOOKUP(Q115,'審判員'!$A:$C,2,FALSE))=TRUE,"",VLOOKUP(Q115,'審判員'!$A:$C,2,FALSE))</f>
        <v>小石川　悟</v>
      </c>
      <c r="R116" s="753"/>
      <c r="S116" s="331" t="str">
        <f>IF(ISERROR(VLOOKUP(Q115,'審判員'!$A:$C,3,FALSE))=TRUE,"",VLOOKUP(Q115,'審判員'!$A:$C,3,FALSE))</f>
        <v>３級</v>
      </c>
      <c r="T116" s="337" t="s">
        <v>419</v>
      </c>
      <c r="U116" s="338" t="str">
        <f>IF(ISERROR(VLOOKUP(CONCATENATE($U$92,"_",V116),'選手名簿'!$A:$E,5,FALSE))=TRUE,"",VLOOKUP(CONCATENATE($U$92,"_",V116),'選手名簿'!$A:$E,5,FALSE))</f>
        <v/>
      </c>
      <c r="V116" s="339"/>
      <c r="W116" s="339"/>
      <c r="X116" s="339"/>
      <c r="Y116" s="408"/>
      <c r="Z116" s="339"/>
      <c r="AA116" s="339"/>
      <c r="AB116" s="339"/>
      <c r="AC116" s="340" t="str">
        <f>IF(ISERROR(VLOOKUP(CONCATENATE($AC$92,"_",AB116),'選手名簿'!$A:$E,5,FALSE))=TRUE,"",VLOOKUP(CONCATENATE($AC$92,"_",AB116),'選手名簿'!$A:$E,5,FALSE))</f>
        <v/>
      </c>
    </row>
  </sheetData>
  <mergeCells count="158">
    <mergeCell ref="A1:J1"/>
    <mergeCell ref="K1:N1"/>
    <mergeCell ref="P1:Y1"/>
    <mergeCell ref="Z1:AC1"/>
    <mergeCell ref="B3:E3"/>
    <mergeCell ref="Q3:T3"/>
    <mergeCell ref="B6:D6"/>
    <mergeCell ref="E6:E8"/>
    <mergeCell ref="F6:F8"/>
    <mergeCell ref="G6:G8"/>
    <mergeCell ref="H6:H8"/>
    <mergeCell ref="L6:L8"/>
    <mergeCell ref="M6:M8"/>
    <mergeCell ref="N6:N8"/>
    <mergeCell ref="Q6:S6"/>
    <mergeCell ref="T6:T8"/>
    <mergeCell ref="U6:U8"/>
    <mergeCell ref="V6:V8"/>
    <mergeCell ref="W6:W8"/>
    <mergeCell ref="AA6:AA8"/>
    <mergeCell ref="AB6:AB8"/>
    <mergeCell ref="AC6:AC8"/>
    <mergeCell ref="B7:D7"/>
    <mergeCell ref="Q7:S7"/>
    <mergeCell ref="B8:D8"/>
    <mergeCell ref="Q8:S8"/>
    <mergeCell ref="A20:D20"/>
    <mergeCell ref="P20:S20"/>
    <mergeCell ref="B21:D21"/>
    <mergeCell ref="Q21:S21"/>
    <mergeCell ref="B22:C22"/>
    <mergeCell ref="Q22:R22"/>
    <mergeCell ref="B23:D23"/>
    <mergeCell ref="Q23:S23"/>
    <mergeCell ref="B24:C24"/>
    <mergeCell ref="Q24:R24"/>
    <mergeCell ref="B25:D25"/>
    <mergeCell ref="Q25:S25"/>
    <mergeCell ref="B26:C26"/>
    <mergeCell ref="Q26:R26"/>
    <mergeCell ref="B27:D27"/>
    <mergeCell ref="Q27:S27"/>
    <mergeCell ref="B28:C28"/>
    <mergeCell ref="Q28:R28"/>
    <mergeCell ref="T34:T36"/>
    <mergeCell ref="U34:U36"/>
    <mergeCell ref="V34:V36"/>
    <mergeCell ref="W34:W36"/>
    <mergeCell ref="AA34:AA36"/>
    <mergeCell ref="AB34:AB36"/>
    <mergeCell ref="AC34:AC36"/>
    <mergeCell ref="B35:D35"/>
    <mergeCell ref="Q35:S35"/>
    <mergeCell ref="B36:D36"/>
    <mergeCell ref="Q36:S36"/>
    <mergeCell ref="B34:D34"/>
    <mergeCell ref="E34:E36"/>
    <mergeCell ref="F34:F36"/>
    <mergeCell ref="G34:G36"/>
    <mergeCell ref="H34:H36"/>
    <mergeCell ref="L34:L36"/>
    <mergeCell ref="M34:M36"/>
    <mergeCell ref="N34:N36"/>
    <mergeCell ref="Q34:S34"/>
    <mergeCell ref="A48:D48"/>
    <mergeCell ref="P48:S48"/>
    <mergeCell ref="B49:D49"/>
    <mergeCell ref="Q49:S49"/>
    <mergeCell ref="B50:C50"/>
    <mergeCell ref="Q50:R50"/>
    <mergeCell ref="B51:D51"/>
    <mergeCell ref="Q51:S51"/>
    <mergeCell ref="B52:C52"/>
    <mergeCell ref="Q52:R52"/>
    <mergeCell ref="B53:D53"/>
    <mergeCell ref="Q53:S53"/>
    <mergeCell ref="B54:C54"/>
    <mergeCell ref="Q54:R54"/>
    <mergeCell ref="B55:D55"/>
    <mergeCell ref="Q55:S55"/>
    <mergeCell ref="B56:C56"/>
    <mergeCell ref="Q56:R56"/>
    <mergeCell ref="B62:D62"/>
    <mergeCell ref="E62:E64"/>
    <mergeCell ref="F62:F64"/>
    <mergeCell ref="G62:G64"/>
    <mergeCell ref="H62:H64"/>
    <mergeCell ref="L62:L64"/>
    <mergeCell ref="M62:M64"/>
    <mergeCell ref="N62:N64"/>
    <mergeCell ref="Q62:S62"/>
    <mergeCell ref="T62:T64"/>
    <mergeCell ref="U62:U64"/>
    <mergeCell ref="V62:V64"/>
    <mergeCell ref="W62:W64"/>
    <mergeCell ref="AA62:AA64"/>
    <mergeCell ref="AB62:AB64"/>
    <mergeCell ref="AC62:AC64"/>
    <mergeCell ref="B63:D63"/>
    <mergeCell ref="Q63:S63"/>
    <mergeCell ref="B64:D64"/>
    <mergeCell ref="Q64:S64"/>
    <mergeCell ref="A78:D78"/>
    <mergeCell ref="P78:S78"/>
    <mergeCell ref="B79:D79"/>
    <mergeCell ref="Q79:S79"/>
    <mergeCell ref="B80:C80"/>
    <mergeCell ref="Q80:R80"/>
    <mergeCell ref="B81:D81"/>
    <mergeCell ref="Q81:S81"/>
    <mergeCell ref="B82:C82"/>
    <mergeCell ref="Q82:R82"/>
    <mergeCell ref="B83:D83"/>
    <mergeCell ref="Q83:S83"/>
    <mergeCell ref="B84:C84"/>
    <mergeCell ref="Q84:R84"/>
    <mergeCell ref="B85:D85"/>
    <mergeCell ref="Q85:S85"/>
    <mergeCell ref="B86:C86"/>
    <mergeCell ref="Q86:R86"/>
    <mergeCell ref="B92:D92"/>
    <mergeCell ref="E92:E94"/>
    <mergeCell ref="F92:F94"/>
    <mergeCell ref="G92:G94"/>
    <mergeCell ref="H92:H94"/>
    <mergeCell ref="L92:L94"/>
    <mergeCell ref="M92:M94"/>
    <mergeCell ref="N92:N94"/>
    <mergeCell ref="Q92:S92"/>
    <mergeCell ref="T92:T94"/>
    <mergeCell ref="U92:U94"/>
    <mergeCell ref="V92:V94"/>
    <mergeCell ref="W92:W94"/>
    <mergeCell ref="AA92:AA94"/>
    <mergeCell ref="AB92:AB94"/>
    <mergeCell ref="AC92:AC94"/>
    <mergeCell ref="B93:D93"/>
    <mergeCell ref="Q93:S93"/>
    <mergeCell ref="B94:D94"/>
    <mergeCell ref="Q94:S94"/>
    <mergeCell ref="B113:D113"/>
    <mergeCell ref="Q113:S113"/>
    <mergeCell ref="B114:C114"/>
    <mergeCell ref="Q114:R114"/>
    <mergeCell ref="B115:D115"/>
    <mergeCell ref="Q115:S115"/>
    <mergeCell ref="B116:C116"/>
    <mergeCell ref="Q116:R116"/>
    <mergeCell ref="A108:D108"/>
    <mergeCell ref="P108:S108"/>
    <mergeCell ref="B109:D109"/>
    <mergeCell ref="Q109:S109"/>
    <mergeCell ref="B110:C110"/>
    <mergeCell ref="Q110:R110"/>
    <mergeCell ref="B111:D111"/>
    <mergeCell ref="Q111:S111"/>
    <mergeCell ref="B112:C112"/>
    <mergeCell ref="Q112:R112"/>
  </mergeCells>
  <dataValidations count="1">
    <dataValidation type="list" allowBlank="1" showInputMessage="1" showErrorMessage="1" sqref="B6:D8 Q6:S8 Q34:S36 B34:D36 Q62:S64 B62:D64 Q92:S94 B92:D94">
      <formula1>項目!$G$1:$G$33</formula1>
    </dataValidation>
  </dataValidations>
  <printOptions/>
  <pageMargins left="0" right="0" top="0" bottom="0" header="0.5118110236220472" footer="0.5118110236220472"/>
  <pageSetup fitToHeight="1" fitToWidth="1" horizontalDpi="600" verticalDpi="600" orientation="landscape" paperSize="9" scale="37"/>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BD73"/>
  <sheetViews>
    <sheetView showGridLines="0" zoomScale="70" zoomScaleNormal="70" workbookViewId="0" topLeftCell="A1">
      <selection activeCell="M1" sqref="M1"/>
    </sheetView>
  </sheetViews>
  <sheetFormatPr defaultColWidth="3.875" defaultRowHeight="13.5"/>
  <cols>
    <col min="1" max="41" width="3.875" style="873" customWidth="1"/>
    <col min="42" max="43" width="8.50390625" style="875" hidden="1" customWidth="1"/>
    <col min="44" max="44" width="15.625" style="875" hidden="1" customWidth="1"/>
    <col min="45" max="46" width="8.50390625" style="875" hidden="1" customWidth="1"/>
    <col min="47" max="49" width="3.50390625" style="873" hidden="1" customWidth="1"/>
    <col min="50" max="50" width="8.50390625" style="873" hidden="1" customWidth="1"/>
    <col min="51" max="51" width="15.625" style="875" hidden="1" customWidth="1"/>
    <col min="52" max="53" width="8.50390625" style="875" customWidth="1"/>
    <col min="54" max="57" width="8.50390625" style="873" customWidth="1"/>
    <col min="58" max="297" width="3.875" style="873" customWidth="1"/>
    <col min="298" max="309" width="3.875" style="873" hidden="1" customWidth="1"/>
    <col min="310" max="313" width="8.50390625" style="873" customWidth="1"/>
    <col min="314" max="553" width="3.875" style="873" customWidth="1"/>
    <col min="554" max="565" width="3.875" style="873" hidden="1" customWidth="1"/>
    <col min="566" max="569" width="8.50390625" style="873" customWidth="1"/>
    <col min="570" max="809" width="3.875" style="873" customWidth="1"/>
    <col min="810" max="821" width="3.875" style="873" hidden="1" customWidth="1"/>
    <col min="822" max="825" width="8.50390625" style="873" customWidth="1"/>
    <col min="826" max="1065" width="3.875" style="873" customWidth="1"/>
    <col min="1066" max="1077" width="3.875" style="873" hidden="1" customWidth="1"/>
    <col min="1078" max="1081" width="8.50390625" style="873" customWidth="1"/>
    <col min="1082" max="1321" width="3.875" style="873" customWidth="1"/>
    <col min="1322" max="1333" width="3.875" style="873" hidden="1" customWidth="1"/>
    <col min="1334" max="1337" width="8.50390625" style="873" customWidth="1"/>
    <col min="1338" max="1577" width="3.875" style="873" customWidth="1"/>
    <col min="1578" max="1589" width="3.875" style="873" hidden="1" customWidth="1"/>
    <col min="1590" max="1593" width="8.50390625" style="873" customWidth="1"/>
    <col min="1594" max="1833" width="3.875" style="873" customWidth="1"/>
    <col min="1834" max="1845" width="3.875" style="873" hidden="1" customWidth="1"/>
    <col min="1846" max="1849" width="8.50390625" style="873" customWidth="1"/>
    <col min="1850" max="2089" width="3.875" style="873" customWidth="1"/>
    <col min="2090" max="2101" width="3.875" style="873" hidden="1" customWidth="1"/>
    <col min="2102" max="2105" width="8.50390625" style="873" customWidth="1"/>
    <col min="2106" max="2345" width="3.875" style="873" customWidth="1"/>
    <col min="2346" max="2357" width="3.875" style="873" hidden="1" customWidth="1"/>
    <col min="2358" max="2361" width="8.50390625" style="873" customWidth="1"/>
    <col min="2362" max="2601" width="3.875" style="873" customWidth="1"/>
    <col min="2602" max="2613" width="3.875" style="873" hidden="1" customWidth="1"/>
    <col min="2614" max="2617" width="8.50390625" style="873" customWidth="1"/>
    <col min="2618" max="2857" width="3.875" style="873" customWidth="1"/>
    <col min="2858" max="2869" width="3.875" style="873" hidden="1" customWidth="1"/>
    <col min="2870" max="2873" width="8.50390625" style="873" customWidth="1"/>
    <col min="2874" max="3113" width="3.875" style="873" customWidth="1"/>
    <col min="3114" max="3125" width="3.875" style="873" hidden="1" customWidth="1"/>
    <col min="3126" max="3129" width="8.50390625" style="873" customWidth="1"/>
    <col min="3130" max="3369" width="3.875" style="873" customWidth="1"/>
    <col min="3370" max="3381" width="3.875" style="873" hidden="1" customWidth="1"/>
    <col min="3382" max="3385" width="8.50390625" style="873" customWidth="1"/>
    <col min="3386" max="3625" width="3.875" style="873" customWidth="1"/>
    <col min="3626" max="3637" width="3.875" style="873" hidden="1" customWidth="1"/>
    <col min="3638" max="3641" width="8.50390625" style="873" customWidth="1"/>
    <col min="3642" max="3881" width="3.875" style="873" customWidth="1"/>
    <col min="3882" max="3893" width="3.875" style="873" hidden="1" customWidth="1"/>
    <col min="3894" max="3897" width="8.50390625" style="873" customWidth="1"/>
    <col min="3898" max="4137" width="3.875" style="873" customWidth="1"/>
    <col min="4138" max="4149" width="3.875" style="873" hidden="1" customWidth="1"/>
    <col min="4150" max="4153" width="8.50390625" style="873" customWidth="1"/>
    <col min="4154" max="4393" width="3.875" style="873" customWidth="1"/>
    <col min="4394" max="4405" width="3.875" style="873" hidden="1" customWidth="1"/>
    <col min="4406" max="4409" width="8.50390625" style="873" customWidth="1"/>
    <col min="4410" max="4649" width="3.875" style="873" customWidth="1"/>
    <col min="4650" max="4661" width="3.875" style="873" hidden="1" customWidth="1"/>
    <col min="4662" max="4665" width="8.50390625" style="873" customWidth="1"/>
    <col min="4666" max="4905" width="3.875" style="873" customWidth="1"/>
    <col min="4906" max="4917" width="3.875" style="873" hidden="1" customWidth="1"/>
    <col min="4918" max="4921" width="8.50390625" style="873" customWidth="1"/>
    <col min="4922" max="5161" width="3.875" style="873" customWidth="1"/>
    <col min="5162" max="5173" width="3.875" style="873" hidden="1" customWidth="1"/>
    <col min="5174" max="5177" width="8.50390625" style="873" customWidth="1"/>
    <col min="5178" max="5417" width="3.875" style="873" customWidth="1"/>
    <col min="5418" max="5429" width="3.875" style="873" hidden="1" customWidth="1"/>
    <col min="5430" max="5433" width="8.50390625" style="873" customWidth="1"/>
    <col min="5434" max="5673" width="3.875" style="873" customWidth="1"/>
    <col min="5674" max="5685" width="3.875" style="873" hidden="1" customWidth="1"/>
    <col min="5686" max="5689" width="8.50390625" style="873" customWidth="1"/>
    <col min="5690" max="5929" width="3.875" style="873" customWidth="1"/>
    <col min="5930" max="5941" width="3.875" style="873" hidden="1" customWidth="1"/>
    <col min="5942" max="5945" width="8.50390625" style="873" customWidth="1"/>
    <col min="5946" max="6185" width="3.875" style="873" customWidth="1"/>
    <col min="6186" max="6197" width="3.875" style="873" hidden="1" customWidth="1"/>
    <col min="6198" max="6201" width="8.50390625" style="873" customWidth="1"/>
    <col min="6202" max="6441" width="3.875" style="873" customWidth="1"/>
    <col min="6442" max="6453" width="3.875" style="873" hidden="1" customWidth="1"/>
    <col min="6454" max="6457" width="8.50390625" style="873" customWidth="1"/>
    <col min="6458" max="6697" width="3.875" style="873" customWidth="1"/>
    <col min="6698" max="6709" width="3.875" style="873" hidden="1" customWidth="1"/>
    <col min="6710" max="6713" width="8.50390625" style="873" customWidth="1"/>
    <col min="6714" max="6953" width="3.875" style="873" customWidth="1"/>
    <col min="6954" max="6965" width="3.875" style="873" hidden="1" customWidth="1"/>
    <col min="6966" max="6969" width="8.50390625" style="873" customWidth="1"/>
    <col min="6970" max="7209" width="3.875" style="873" customWidth="1"/>
    <col min="7210" max="7221" width="3.875" style="873" hidden="1" customWidth="1"/>
    <col min="7222" max="7225" width="8.50390625" style="873" customWidth="1"/>
    <col min="7226" max="7465" width="3.875" style="873" customWidth="1"/>
    <col min="7466" max="7477" width="3.875" style="873" hidden="1" customWidth="1"/>
    <col min="7478" max="7481" width="8.50390625" style="873" customWidth="1"/>
    <col min="7482" max="7721" width="3.875" style="873" customWidth="1"/>
    <col min="7722" max="7733" width="3.875" style="873" hidden="1" customWidth="1"/>
    <col min="7734" max="7737" width="8.50390625" style="873" customWidth="1"/>
    <col min="7738" max="7977" width="3.875" style="873" customWidth="1"/>
    <col min="7978" max="7989" width="3.875" style="873" hidden="1" customWidth="1"/>
    <col min="7990" max="7993" width="8.50390625" style="873" customWidth="1"/>
    <col min="7994" max="8233" width="3.875" style="873" customWidth="1"/>
    <col min="8234" max="8245" width="3.875" style="873" hidden="1" customWidth="1"/>
    <col min="8246" max="8249" width="8.50390625" style="873" customWidth="1"/>
    <col min="8250" max="8489" width="3.875" style="873" customWidth="1"/>
    <col min="8490" max="8501" width="3.875" style="873" hidden="1" customWidth="1"/>
    <col min="8502" max="8505" width="8.50390625" style="873" customWidth="1"/>
    <col min="8506" max="8745" width="3.875" style="873" customWidth="1"/>
    <col min="8746" max="8757" width="3.875" style="873" hidden="1" customWidth="1"/>
    <col min="8758" max="8761" width="8.50390625" style="873" customWidth="1"/>
    <col min="8762" max="9001" width="3.875" style="873" customWidth="1"/>
    <col min="9002" max="9013" width="3.875" style="873" hidden="1" customWidth="1"/>
    <col min="9014" max="9017" width="8.50390625" style="873" customWidth="1"/>
    <col min="9018" max="9257" width="3.875" style="873" customWidth="1"/>
    <col min="9258" max="9269" width="3.875" style="873" hidden="1" customWidth="1"/>
    <col min="9270" max="9273" width="8.50390625" style="873" customWidth="1"/>
    <col min="9274" max="9513" width="3.875" style="873" customWidth="1"/>
    <col min="9514" max="9525" width="3.875" style="873" hidden="1" customWidth="1"/>
    <col min="9526" max="9529" width="8.50390625" style="873" customWidth="1"/>
    <col min="9530" max="9769" width="3.875" style="873" customWidth="1"/>
    <col min="9770" max="9781" width="3.875" style="873" hidden="1" customWidth="1"/>
    <col min="9782" max="9785" width="8.50390625" style="873" customWidth="1"/>
    <col min="9786" max="10025" width="3.875" style="873" customWidth="1"/>
    <col min="10026" max="10037" width="3.875" style="873" hidden="1" customWidth="1"/>
    <col min="10038" max="10041" width="8.50390625" style="873" customWidth="1"/>
    <col min="10042" max="10281" width="3.875" style="873" customWidth="1"/>
    <col min="10282" max="10293" width="3.875" style="873" hidden="1" customWidth="1"/>
    <col min="10294" max="10297" width="8.50390625" style="873" customWidth="1"/>
    <col min="10298" max="10537" width="3.875" style="873" customWidth="1"/>
    <col min="10538" max="10549" width="3.875" style="873" hidden="1" customWidth="1"/>
    <col min="10550" max="10553" width="8.50390625" style="873" customWidth="1"/>
    <col min="10554" max="10793" width="3.875" style="873" customWidth="1"/>
    <col min="10794" max="10805" width="3.875" style="873" hidden="1" customWidth="1"/>
    <col min="10806" max="10809" width="8.50390625" style="873" customWidth="1"/>
    <col min="10810" max="11049" width="3.875" style="873" customWidth="1"/>
    <col min="11050" max="11061" width="3.875" style="873" hidden="1" customWidth="1"/>
    <col min="11062" max="11065" width="8.50390625" style="873" customWidth="1"/>
    <col min="11066" max="11305" width="3.875" style="873" customWidth="1"/>
    <col min="11306" max="11317" width="3.875" style="873" hidden="1" customWidth="1"/>
    <col min="11318" max="11321" width="8.50390625" style="873" customWidth="1"/>
    <col min="11322" max="11561" width="3.875" style="873" customWidth="1"/>
    <col min="11562" max="11573" width="3.875" style="873" hidden="1" customWidth="1"/>
    <col min="11574" max="11577" width="8.50390625" style="873" customWidth="1"/>
    <col min="11578" max="11817" width="3.875" style="873" customWidth="1"/>
    <col min="11818" max="11829" width="3.875" style="873" hidden="1" customWidth="1"/>
    <col min="11830" max="11833" width="8.50390625" style="873" customWidth="1"/>
    <col min="11834" max="12073" width="3.875" style="873" customWidth="1"/>
    <col min="12074" max="12085" width="3.875" style="873" hidden="1" customWidth="1"/>
    <col min="12086" max="12089" width="8.50390625" style="873" customWidth="1"/>
    <col min="12090" max="12329" width="3.875" style="873" customWidth="1"/>
    <col min="12330" max="12341" width="3.875" style="873" hidden="1" customWidth="1"/>
    <col min="12342" max="12345" width="8.50390625" style="873" customWidth="1"/>
    <col min="12346" max="12585" width="3.875" style="873" customWidth="1"/>
    <col min="12586" max="12597" width="3.875" style="873" hidden="1" customWidth="1"/>
    <col min="12598" max="12601" width="8.50390625" style="873" customWidth="1"/>
    <col min="12602" max="12841" width="3.875" style="873" customWidth="1"/>
    <col min="12842" max="12853" width="3.875" style="873" hidden="1" customWidth="1"/>
    <col min="12854" max="12857" width="8.50390625" style="873" customWidth="1"/>
    <col min="12858" max="13097" width="3.875" style="873" customWidth="1"/>
    <col min="13098" max="13109" width="3.875" style="873" hidden="1" customWidth="1"/>
    <col min="13110" max="13113" width="8.50390625" style="873" customWidth="1"/>
    <col min="13114" max="13353" width="3.875" style="873" customWidth="1"/>
    <col min="13354" max="13365" width="3.875" style="873" hidden="1" customWidth="1"/>
    <col min="13366" max="13369" width="8.50390625" style="873" customWidth="1"/>
    <col min="13370" max="13609" width="3.875" style="873" customWidth="1"/>
    <col min="13610" max="13621" width="3.875" style="873" hidden="1" customWidth="1"/>
    <col min="13622" max="13625" width="8.50390625" style="873" customWidth="1"/>
    <col min="13626" max="13865" width="3.875" style="873" customWidth="1"/>
    <col min="13866" max="13877" width="3.875" style="873" hidden="1" customWidth="1"/>
    <col min="13878" max="13881" width="8.50390625" style="873" customWidth="1"/>
    <col min="13882" max="14121" width="3.875" style="873" customWidth="1"/>
    <col min="14122" max="14133" width="3.875" style="873" hidden="1" customWidth="1"/>
    <col min="14134" max="14137" width="8.50390625" style="873" customWidth="1"/>
    <col min="14138" max="14377" width="3.875" style="873" customWidth="1"/>
    <col min="14378" max="14389" width="3.875" style="873" hidden="1" customWidth="1"/>
    <col min="14390" max="14393" width="8.50390625" style="873" customWidth="1"/>
    <col min="14394" max="14633" width="3.875" style="873" customWidth="1"/>
    <col min="14634" max="14645" width="3.875" style="873" hidden="1" customWidth="1"/>
    <col min="14646" max="14649" width="8.50390625" style="873" customWidth="1"/>
    <col min="14650" max="14889" width="3.875" style="873" customWidth="1"/>
    <col min="14890" max="14901" width="3.875" style="873" hidden="1" customWidth="1"/>
    <col min="14902" max="14905" width="8.50390625" style="873" customWidth="1"/>
    <col min="14906" max="15145" width="3.875" style="873" customWidth="1"/>
    <col min="15146" max="15157" width="3.875" style="873" hidden="1" customWidth="1"/>
    <col min="15158" max="15161" width="8.50390625" style="873" customWidth="1"/>
    <col min="15162" max="15401" width="3.875" style="873" customWidth="1"/>
    <col min="15402" max="15413" width="3.875" style="873" hidden="1" customWidth="1"/>
    <col min="15414" max="15417" width="8.50390625" style="873" customWidth="1"/>
    <col min="15418" max="15657" width="3.875" style="873" customWidth="1"/>
    <col min="15658" max="15669" width="3.875" style="873" hidden="1" customWidth="1"/>
    <col min="15670" max="15673" width="8.50390625" style="873" customWidth="1"/>
    <col min="15674" max="15913" width="3.875" style="873" customWidth="1"/>
    <col min="15914" max="15925" width="3.875" style="873" hidden="1" customWidth="1"/>
    <col min="15926" max="15929" width="8.50390625" style="873" customWidth="1"/>
    <col min="15930" max="16169" width="3.875" style="873" customWidth="1"/>
    <col min="16170" max="16181" width="3.875" style="873" hidden="1" customWidth="1"/>
    <col min="16182" max="16185" width="8.50390625" style="873" customWidth="1"/>
    <col min="16186" max="16384" width="3.875" style="873" customWidth="1"/>
  </cols>
  <sheetData>
    <row r="1" spans="1:27" ht="30" customHeight="1">
      <c r="A1" s="869" t="s">
        <v>687</v>
      </c>
      <c r="B1" s="869"/>
      <c r="C1" s="870"/>
      <c r="D1" s="870"/>
      <c r="E1" s="870"/>
      <c r="F1" s="870"/>
      <c r="G1" s="871" t="s">
        <v>688</v>
      </c>
      <c r="H1" s="871"/>
      <c r="I1" s="871"/>
      <c r="J1" s="871"/>
      <c r="K1" s="872">
        <v>33</v>
      </c>
      <c r="L1" s="871"/>
      <c r="T1" s="874"/>
      <c r="U1" s="874"/>
      <c r="V1" s="874"/>
      <c r="W1" s="874"/>
      <c r="X1" s="874"/>
      <c r="Y1" s="874"/>
      <c r="AA1" s="874"/>
    </row>
    <row r="2" spans="1:36" ht="20.15" customHeight="1">
      <c r="A2" s="876" t="s">
        <v>689</v>
      </c>
      <c r="B2" s="877"/>
      <c r="C2" s="878" t="s">
        <v>690</v>
      </c>
      <c r="D2" s="879"/>
      <c r="E2" s="879"/>
      <c r="F2" s="879"/>
      <c r="G2" s="879"/>
      <c r="H2" s="879"/>
      <c r="I2" s="879"/>
      <c r="J2" s="879"/>
      <c r="K2" s="879"/>
      <c r="L2" s="879"/>
      <c r="M2" s="879"/>
      <c r="N2" s="880"/>
      <c r="O2" s="881" t="s">
        <v>691</v>
      </c>
      <c r="P2" s="882">
        <v>2</v>
      </c>
      <c r="Q2" s="882"/>
      <c r="R2" s="883" t="s">
        <v>173</v>
      </c>
      <c r="S2" s="884"/>
      <c r="T2" s="885"/>
      <c r="U2" s="885"/>
      <c r="V2" s="885"/>
      <c r="W2" s="885"/>
      <c r="X2" s="885"/>
      <c r="Y2" s="885"/>
      <c r="Z2" s="885"/>
      <c r="AA2" s="886"/>
      <c r="AB2" s="887" t="s">
        <v>692</v>
      </c>
      <c r="AC2" s="888" t="s">
        <v>693</v>
      </c>
      <c r="AD2" s="877"/>
      <c r="AE2" s="887" t="s">
        <v>694</v>
      </c>
      <c r="AF2" s="888" t="s">
        <v>584</v>
      </c>
      <c r="AG2" s="889"/>
      <c r="AH2" s="889"/>
      <c r="AI2" s="889"/>
      <c r="AJ2" s="890"/>
    </row>
    <row r="3" spans="1:36" ht="20.15" customHeight="1">
      <c r="A3" s="891" t="s">
        <v>695</v>
      </c>
      <c r="B3" s="892"/>
      <c r="C3" s="893"/>
      <c r="D3" s="894"/>
      <c r="E3" s="894"/>
      <c r="F3" s="894"/>
      <c r="G3" s="894"/>
      <c r="H3" s="894"/>
      <c r="I3" s="894"/>
      <c r="J3" s="894"/>
      <c r="K3" s="894"/>
      <c r="L3" s="894"/>
      <c r="M3" s="894"/>
      <c r="N3" s="895"/>
      <c r="O3" s="896" t="s">
        <v>413</v>
      </c>
      <c r="P3" s="897"/>
      <c r="Q3" s="896" t="s">
        <v>696</v>
      </c>
      <c r="R3" s="897"/>
      <c r="S3" s="893" t="s">
        <v>697</v>
      </c>
      <c r="T3" s="894"/>
      <c r="U3" s="894"/>
      <c r="V3" s="894"/>
      <c r="W3" s="894"/>
      <c r="X3" s="894"/>
      <c r="Y3" s="894"/>
      <c r="Z3" s="894"/>
      <c r="AA3" s="895"/>
      <c r="AB3" s="898" t="s">
        <v>698</v>
      </c>
      <c r="AC3" s="899"/>
      <c r="AD3" s="900"/>
      <c r="AE3" s="901" t="s">
        <v>699</v>
      </c>
      <c r="AF3" s="902" t="s">
        <v>573</v>
      </c>
      <c r="AG3" s="892"/>
      <c r="AH3" s="892"/>
      <c r="AI3" s="892"/>
      <c r="AJ3" s="903"/>
    </row>
    <row r="4" spans="1:51" ht="20.15" customHeight="1">
      <c r="A4" s="904" t="s">
        <v>700</v>
      </c>
      <c r="B4" s="900"/>
      <c r="C4" s="905"/>
      <c r="D4" s="906"/>
      <c r="E4" s="906"/>
      <c r="F4" s="906"/>
      <c r="G4" s="906"/>
      <c r="H4" s="906"/>
      <c r="I4" s="906"/>
      <c r="J4" s="906"/>
      <c r="K4" s="906"/>
      <c r="L4" s="906"/>
      <c r="M4" s="906"/>
      <c r="N4" s="907"/>
      <c r="O4" s="908" t="s">
        <v>414</v>
      </c>
      <c r="P4" s="900"/>
      <c r="Q4" s="908" t="s">
        <v>701</v>
      </c>
      <c r="R4" s="900"/>
      <c r="S4" s="905" t="s">
        <v>702</v>
      </c>
      <c r="T4" s="906"/>
      <c r="U4" s="906"/>
      <c r="V4" s="906"/>
      <c r="W4" s="906"/>
      <c r="X4" s="906"/>
      <c r="Y4" s="906"/>
      <c r="Z4" s="906"/>
      <c r="AA4" s="907"/>
      <c r="AB4" s="898" t="s">
        <v>703</v>
      </c>
      <c r="AC4" s="909" t="s">
        <v>704</v>
      </c>
      <c r="AD4" s="910"/>
      <c r="AE4" s="901" t="s">
        <v>705</v>
      </c>
      <c r="AF4" s="899" t="s">
        <v>554</v>
      </c>
      <c r="AG4" s="911"/>
      <c r="AH4" s="911"/>
      <c r="AI4" s="911"/>
      <c r="AJ4" s="912"/>
      <c r="AX4" s="913"/>
      <c r="AY4" s="914"/>
    </row>
    <row r="5" spans="1:51" ht="20.15" customHeight="1">
      <c r="A5" s="915" t="s">
        <v>695</v>
      </c>
      <c r="B5" s="897"/>
      <c r="C5" s="916" t="s">
        <v>706</v>
      </c>
      <c r="D5" s="917"/>
      <c r="E5" s="917"/>
      <c r="F5" s="917"/>
      <c r="G5" s="917"/>
      <c r="H5" s="917"/>
      <c r="I5" s="918"/>
      <c r="J5" s="919" t="s">
        <v>707</v>
      </c>
      <c r="K5" s="920" t="s">
        <v>708</v>
      </c>
      <c r="L5" s="921" t="s">
        <v>709</v>
      </c>
      <c r="M5" s="922"/>
      <c r="N5" s="923" t="s">
        <v>710</v>
      </c>
      <c r="O5" s="924" t="s">
        <v>711</v>
      </c>
      <c r="P5" s="925" t="s">
        <v>712</v>
      </c>
      <c r="Q5" s="926" t="s">
        <v>713</v>
      </c>
      <c r="R5" s="919" t="s">
        <v>714</v>
      </c>
      <c r="S5" s="927" t="s">
        <v>220</v>
      </c>
      <c r="T5" s="928"/>
      <c r="U5" s="919" t="s">
        <v>715</v>
      </c>
      <c r="V5" s="929" t="s">
        <v>716</v>
      </c>
      <c r="W5" s="929"/>
      <c r="X5" s="930"/>
      <c r="Y5" s="929"/>
      <c r="Z5" s="931"/>
      <c r="AA5" s="932" t="s">
        <v>504</v>
      </c>
      <c r="AB5" s="929"/>
      <c r="AC5" s="929"/>
      <c r="AD5" s="929"/>
      <c r="AE5" s="931"/>
      <c r="AF5" s="932" t="s">
        <v>717</v>
      </c>
      <c r="AG5" s="929"/>
      <c r="AH5" s="929"/>
      <c r="AI5" s="929"/>
      <c r="AJ5" s="933"/>
      <c r="AX5" s="913"/>
      <c r="AY5" s="914"/>
    </row>
    <row r="6" spans="1:36" ht="20.15" customHeight="1">
      <c r="A6" s="891"/>
      <c r="B6" s="934"/>
      <c r="C6" s="935"/>
      <c r="D6" s="936"/>
      <c r="E6" s="936"/>
      <c r="F6" s="936"/>
      <c r="G6" s="936"/>
      <c r="H6" s="936"/>
      <c r="I6" s="937"/>
      <c r="J6" s="938"/>
      <c r="K6" s="939" t="s">
        <v>718</v>
      </c>
      <c r="L6" s="921" t="s">
        <v>719</v>
      </c>
      <c r="M6" s="922"/>
      <c r="N6" s="940">
        <v>29.5</v>
      </c>
      <c r="O6" s="941"/>
      <c r="P6" s="942" t="s">
        <v>219</v>
      </c>
      <c r="Q6" s="901"/>
      <c r="R6" s="938"/>
      <c r="S6" s="943" t="s">
        <v>222</v>
      </c>
      <c r="T6" s="944"/>
      <c r="U6" s="938"/>
      <c r="V6" s="945" t="s">
        <v>720</v>
      </c>
      <c r="W6" s="946"/>
      <c r="X6" s="946"/>
      <c r="Y6" s="946"/>
      <c r="Z6" s="947"/>
      <c r="AA6" s="945" t="s">
        <v>721</v>
      </c>
      <c r="AB6" s="946"/>
      <c r="AC6" s="946"/>
      <c r="AD6" s="946"/>
      <c r="AE6" s="947"/>
      <c r="AF6" s="945" t="s">
        <v>722</v>
      </c>
      <c r="AG6" s="946"/>
      <c r="AH6" s="946"/>
      <c r="AI6" s="946"/>
      <c r="AJ6" s="948"/>
    </row>
    <row r="7" spans="1:36" ht="20.15" customHeight="1">
      <c r="A7" s="904" t="s">
        <v>723</v>
      </c>
      <c r="B7" s="900"/>
      <c r="C7" s="949"/>
      <c r="D7" s="950"/>
      <c r="E7" s="950"/>
      <c r="F7" s="950"/>
      <c r="G7" s="950"/>
      <c r="H7" s="950"/>
      <c r="I7" s="951"/>
      <c r="J7" s="952" t="s">
        <v>724</v>
      </c>
      <c r="K7" s="953" t="s">
        <v>725</v>
      </c>
      <c r="L7" s="921" t="s">
        <v>726</v>
      </c>
      <c r="M7" s="922"/>
      <c r="N7" s="940">
        <v>60.9</v>
      </c>
      <c r="O7" s="941"/>
      <c r="P7" s="942" t="s">
        <v>727</v>
      </c>
      <c r="Q7" s="898" t="s">
        <v>178</v>
      </c>
      <c r="R7" s="952" t="s">
        <v>728</v>
      </c>
      <c r="S7" s="954" t="s">
        <v>729</v>
      </c>
      <c r="T7" s="955"/>
      <c r="U7" s="952" t="s">
        <v>730</v>
      </c>
      <c r="V7" s="956"/>
      <c r="W7" s="956"/>
      <c r="X7" s="956"/>
      <c r="Y7" s="956"/>
      <c r="Z7" s="957"/>
      <c r="AA7" s="958" t="s">
        <v>731</v>
      </c>
      <c r="AB7" s="959"/>
      <c r="AC7" s="959"/>
      <c r="AD7" s="959"/>
      <c r="AE7" s="960"/>
      <c r="AF7" s="961"/>
      <c r="AG7" s="956"/>
      <c r="AH7" s="956"/>
      <c r="AI7" s="956"/>
      <c r="AJ7" s="962"/>
    </row>
    <row r="8" spans="1:53" s="913" customFormat="1" ht="20.15" customHeight="1">
      <c r="A8" s="963" t="s">
        <v>732</v>
      </c>
      <c r="B8" s="964"/>
      <c r="C8" s="964"/>
      <c r="D8" s="965"/>
      <c r="E8" s="965"/>
      <c r="F8" s="965"/>
      <c r="G8" s="965"/>
      <c r="H8" s="965"/>
      <c r="I8" s="965"/>
      <c r="J8" s="965"/>
      <c r="K8" s="965"/>
      <c r="L8" s="964"/>
      <c r="M8" s="964"/>
      <c r="N8" s="964"/>
      <c r="O8" s="966"/>
      <c r="P8" s="967">
        <v>2</v>
      </c>
      <c r="Q8" s="968">
        <v>1</v>
      </c>
      <c r="R8" s="969" t="s">
        <v>548</v>
      </c>
      <c r="S8" s="970"/>
      <c r="T8" s="968">
        <v>1</v>
      </c>
      <c r="U8" s="967">
        <v>1</v>
      </c>
      <c r="V8" s="971" t="s">
        <v>732</v>
      </c>
      <c r="W8" s="964"/>
      <c r="X8" s="964"/>
      <c r="Y8" s="965"/>
      <c r="Z8" s="965"/>
      <c r="AA8" s="965"/>
      <c r="AE8" s="965"/>
      <c r="AF8" s="965"/>
      <c r="AG8" s="964"/>
      <c r="AH8" s="964"/>
      <c r="AI8" s="964"/>
      <c r="AJ8" s="972"/>
      <c r="AP8" s="914"/>
      <c r="AQ8" s="914"/>
      <c r="AR8" s="914"/>
      <c r="AS8" s="914"/>
      <c r="AT8" s="914"/>
      <c r="AY8" s="914"/>
      <c r="AZ8" s="914"/>
      <c r="BA8" s="914"/>
    </row>
    <row r="9" spans="1:53" s="913" customFormat="1" ht="20.15" customHeight="1">
      <c r="A9" s="973"/>
      <c r="B9" s="974" t="str">
        <f>AR13</f>
        <v>大分トリニータＵ－１２</v>
      </c>
      <c r="C9" s="974"/>
      <c r="D9" s="974"/>
      <c r="E9" s="974"/>
      <c r="F9" s="974"/>
      <c r="G9" s="974"/>
      <c r="H9" s="974"/>
      <c r="I9" s="974"/>
      <c r="J9" s="974"/>
      <c r="K9" s="974"/>
      <c r="L9" s="975" t="str">
        <f>AR14</f>
        <v>大分市</v>
      </c>
      <c r="M9" s="975"/>
      <c r="N9" s="975"/>
      <c r="O9" s="976"/>
      <c r="P9" s="977"/>
      <c r="Q9" s="968">
        <v>1</v>
      </c>
      <c r="R9" s="969" t="s">
        <v>552</v>
      </c>
      <c r="S9" s="970"/>
      <c r="T9" s="968">
        <v>0</v>
      </c>
      <c r="U9" s="977"/>
      <c r="V9" s="978"/>
      <c r="W9" s="974" t="str">
        <f>AY13</f>
        <v>下毛ＦＣ</v>
      </c>
      <c r="X9" s="974"/>
      <c r="Y9" s="974"/>
      <c r="Z9" s="974"/>
      <c r="AA9" s="974"/>
      <c r="AB9" s="974"/>
      <c r="AC9" s="974"/>
      <c r="AD9" s="974"/>
      <c r="AE9" s="974"/>
      <c r="AF9" s="974"/>
      <c r="AG9" s="975" t="str">
        <f>AY14</f>
        <v>中津市</v>
      </c>
      <c r="AH9" s="975"/>
      <c r="AI9" s="975"/>
      <c r="AJ9" s="979"/>
      <c r="AP9" s="914"/>
      <c r="AQ9" s="914"/>
      <c r="AR9" s="914"/>
      <c r="AS9" s="914"/>
      <c r="AT9" s="914"/>
      <c r="AY9" s="914"/>
      <c r="AZ9" s="914"/>
      <c r="BA9" s="914"/>
    </row>
    <row r="10" spans="1:53" s="913" customFormat="1" ht="20.15" customHeight="1">
      <c r="A10" s="980"/>
      <c r="B10" s="981"/>
      <c r="C10" s="981"/>
      <c r="D10" s="981"/>
      <c r="E10" s="981"/>
      <c r="F10" s="981"/>
      <c r="G10" s="981"/>
      <c r="H10" s="981"/>
      <c r="I10" s="981"/>
      <c r="J10" s="981"/>
      <c r="K10" s="981"/>
      <c r="L10" s="981"/>
      <c r="M10" s="982" t="s">
        <v>733</v>
      </c>
      <c r="N10" s="982"/>
      <c r="O10" s="983"/>
      <c r="P10" s="977"/>
      <c r="Q10" s="968"/>
      <c r="R10" s="969" t="s">
        <v>734</v>
      </c>
      <c r="S10" s="970"/>
      <c r="T10" s="968"/>
      <c r="U10" s="977"/>
      <c r="V10" s="984" t="s">
        <v>733</v>
      </c>
      <c r="W10" s="982"/>
      <c r="X10" s="982"/>
      <c r="Y10" s="981"/>
      <c r="Z10" s="981"/>
      <c r="AA10" s="981"/>
      <c r="AB10" s="981"/>
      <c r="AC10" s="981"/>
      <c r="AD10" s="981"/>
      <c r="AE10" s="981"/>
      <c r="AF10" s="981"/>
      <c r="AG10" s="981"/>
      <c r="AH10" s="981"/>
      <c r="AI10" s="981"/>
      <c r="AJ10" s="985"/>
      <c r="AP10" s="914"/>
      <c r="AQ10" s="914"/>
      <c r="AR10" s="914"/>
      <c r="AS10" s="914"/>
      <c r="AT10" s="914"/>
      <c r="AY10" s="914"/>
      <c r="AZ10" s="914"/>
      <c r="BA10" s="914"/>
    </row>
    <row r="11" spans="1:53" s="913" customFormat="1" ht="20.15" customHeight="1">
      <c r="A11" s="986"/>
      <c r="B11" s="968"/>
      <c r="C11" s="968"/>
      <c r="D11" s="968"/>
      <c r="E11" s="968"/>
      <c r="F11" s="968"/>
      <c r="G11" s="968"/>
      <c r="H11" s="968"/>
      <c r="I11" s="968"/>
      <c r="J11" s="968"/>
      <c r="K11" s="987"/>
      <c r="L11" s="969" t="s">
        <v>557</v>
      </c>
      <c r="M11" s="970"/>
      <c r="N11" s="988" t="s">
        <v>555</v>
      </c>
      <c r="O11" s="988"/>
      <c r="P11" s="977"/>
      <c r="Q11" s="968"/>
      <c r="R11" s="969" t="s">
        <v>735</v>
      </c>
      <c r="S11" s="970"/>
      <c r="T11" s="968"/>
      <c r="U11" s="977"/>
      <c r="V11" s="988" t="s">
        <v>555</v>
      </c>
      <c r="W11" s="988"/>
      <c r="X11" s="969" t="s">
        <v>557</v>
      </c>
      <c r="Y11" s="970"/>
      <c r="Z11" s="968"/>
      <c r="AA11" s="968"/>
      <c r="AB11" s="968"/>
      <c r="AC11" s="968"/>
      <c r="AD11" s="968"/>
      <c r="AE11" s="968"/>
      <c r="AF11" s="968"/>
      <c r="AG11" s="968"/>
      <c r="AH11" s="968"/>
      <c r="AI11" s="968"/>
      <c r="AJ11" s="989"/>
      <c r="AP11" s="914"/>
      <c r="AQ11" s="914"/>
      <c r="AR11" s="914"/>
      <c r="AS11" s="914"/>
      <c r="AT11" s="914"/>
      <c r="AY11" s="914"/>
      <c r="AZ11" s="914"/>
      <c r="BA11" s="914"/>
    </row>
    <row r="12" spans="1:53" s="913" customFormat="1" ht="20.15" customHeight="1">
      <c r="A12" s="986"/>
      <c r="B12" s="968"/>
      <c r="C12" s="990"/>
      <c r="D12" s="990"/>
      <c r="E12" s="990"/>
      <c r="F12" s="990"/>
      <c r="G12" s="968"/>
      <c r="H12" s="968"/>
      <c r="I12" s="968"/>
      <c r="J12" s="968"/>
      <c r="K12" s="987"/>
      <c r="L12" s="987" t="s">
        <v>15</v>
      </c>
      <c r="M12" s="991" t="s">
        <v>408</v>
      </c>
      <c r="N12" s="987" t="s">
        <v>736</v>
      </c>
      <c r="O12" s="991" t="s">
        <v>737</v>
      </c>
      <c r="P12" s="992"/>
      <c r="Q12" s="968"/>
      <c r="R12" s="969" t="s">
        <v>738</v>
      </c>
      <c r="S12" s="970"/>
      <c r="T12" s="968"/>
      <c r="U12" s="992"/>
      <c r="V12" s="987" t="s">
        <v>736</v>
      </c>
      <c r="W12" s="991" t="s">
        <v>737</v>
      </c>
      <c r="X12" s="987" t="s">
        <v>15</v>
      </c>
      <c r="Y12" s="991" t="s">
        <v>408</v>
      </c>
      <c r="Z12" s="968"/>
      <c r="AA12" s="968"/>
      <c r="AB12" s="968"/>
      <c r="AC12" s="968"/>
      <c r="AD12" s="968"/>
      <c r="AE12" s="968"/>
      <c r="AF12" s="968"/>
      <c r="AG12" s="968"/>
      <c r="AH12" s="993"/>
      <c r="AI12" s="968"/>
      <c r="AJ12" s="989"/>
      <c r="AP12" s="914"/>
      <c r="AQ12" s="914"/>
      <c r="AR12" s="914"/>
      <c r="AS12" s="914"/>
      <c r="AT12" s="914"/>
      <c r="AY12" s="914"/>
      <c r="AZ12" s="914"/>
      <c r="BA12" s="914"/>
    </row>
    <row r="13" spans="1:53" s="913" customFormat="1" ht="20.15" customHeight="1">
      <c r="A13" s="994"/>
      <c r="B13" s="965"/>
      <c r="C13" s="995" t="s">
        <v>739</v>
      </c>
      <c r="D13" s="995"/>
      <c r="E13" s="995"/>
      <c r="F13" s="995"/>
      <c r="G13" s="995"/>
      <c r="H13" s="995"/>
      <c r="I13" s="995"/>
      <c r="J13" s="970"/>
      <c r="K13" s="990" t="s">
        <v>740</v>
      </c>
      <c r="L13" s="996"/>
      <c r="M13" s="965"/>
      <c r="N13" s="965"/>
      <c r="O13" s="965"/>
      <c r="P13" s="997"/>
      <c r="Q13" s="990" t="s">
        <v>741</v>
      </c>
      <c r="R13" s="996"/>
      <c r="S13" s="997"/>
      <c r="T13" s="990" t="s">
        <v>741</v>
      </c>
      <c r="U13" s="996"/>
      <c r="V13" s="965"/>
      <c r="W13" s="965"/>
      <c r="X13" s="965"/>
      <c r="Y13" s="997"/>
      <c r="Z13" s="990" t="s">
        <v>740</v>
      </c>
      <c r="AA13" s="971" t="s">
        <v>739</v>
      </c>
      <c r="AB13" s="964"/>
      <c r="AC13" s="964"/>
      <c r="AD13" s="964"/>
      <c r="AE13" s="964"/>
      <c r="AF13" s="964"/>
      <c r="AG13" s="964"/>
      <c r="AH13" s="964"/>
      <c r="AI13" s="965"/>
      <c r="AJ13" s="998"/>
      <c r="AP13" s="999" t="s">
        <v>9</v>
      </c>
      <c r="AQ13" s="1000"/>
      <c r="AR13" s="1001" t="s">
        <v>28</v>
      </c>
      <c r="AS13" s="1001"/>
      <c r="AT13" s="1002"/>
      <c r="AX13" s="1003" t="s">
        <v>9</v>
      </c>
      <c r="AY13" s="1004" t="s">
        <v>22</v>
      </c>
      <c r="AZ13" s="1001"/>
      <c r="BA13" s="1002"/>
    </row>
    <row r="14" spans="1:53" s="913" customFormat="1" ht="20.15" customHeight="1">
      <c r="A14" s="963" t="s">
        <v>742</v>
      </c>
      <c r="B14" s="966"/>
      <c r="C14" s="1005" t="s">
        <v>743</v>
      </c>
      <c r="D14" s="1005"/>
      <c r="E14" s="1005" t="s">
        <v>743</v>
      </c>
      <c r="F14" s="1005"/>
      <c r="G14" s="971" t="s">
        <v>737</v>
      </c>
      <c r="H14" s="966"/>
      <c r="I14" s="1006" t="s">
        <v>744</v>
      </c>
      <c r="J14" s="976"/>
      <c r="K14" s="1007"/>
      <c r="L14" s="978"/>
      <c r="M14" s="913" t="s">
        <v>745</v>
      </c>
      <c r="N14" s="913" t="s">
        <v>746</v>
      </c>
      <c r="O14" s="913" t="s">
        <v>700</v>
      </c>
      <c r="P14" s="1008"/>
      <c r="Q14" s="1007"/>
      <c r="R14" s="1006" t="s">
        <v>747</v>
      </c>
      <c r="S14" s="976"/>
      <c r="T14" s="1007"/>
      <c r="U14" s="978"/>
      <c r="V14" s="913" t="s">
        <v>745</v>
      </c>
      <c r="W14" s="913" t="s">
        <v>746</v>
      </c>
      <c r="X14" s="913" t="s">
        <v>700</v>
      </c>
      <c r="Y14" s="1008"/>
      <c r="Z14" s="1007"/>
      <c r="AA14" s="971" t="s">
        <v>744</v>
      </c>
      <c r="AB14" s="966"/>
      <c r="AC14" s="971" t="s">
        <v>737</v>
      </c>
      <c r="AD14" s="966"/>
      <c r="AE14" s="971" t="s">
        <v>743</v>
      </c>
      <c r="AF14" s="966"/>
      <c r="AG14" s="971" t="s">
        <v>743</v>
      </c>
      <c r="AH14" s="966"/>
      <c r="AI14" s="971" t="s">
        <v>742</v>
      </c>
      <c r="AJ14" s="972"/>
      <c r="AP14" s="999" t="s">
        <v>748</v>
      </c>
      <c r="AQ14" s="1009"/>
      <c r="AR14" s="1010" t="s">
        <v>749</v>
      </c>
      <c r="AS14" s="1011"/>
      <c r="AT14" s="1011"/>
      <c r="AX14" s="1012" t="s">
        <v>748</v>
      </c>
      <c r="AY14" s="1012" t="s">
        <v>750</v>
      </c>
      <c r="AZ14" s="1011"/>
      <c r="BA14" s="1011"/>
    </row>
    <row r="15" spans="1:54" s="913" customFormat="1" ht="20.15" customHeight="1">
      <c r="A15" s="1013" t="s">
        <v>751</v>
      </c>
      <c r="B15" s="983"/>
      <c r="C15" s="1014" t="s">
        <v>737</v>
      </c>
      <c r="D15" s="1014"/>
      <c r="E15" s="1014" t="s">
        <v>744</v>
      </c>
      <c r="F15" s="1014"/>
      <c r="G15" s="1006" t="s">
        <v>752</v>
      </c>
      <c r="H15" s="976"/>
      <c r="I15" s="1006" t="s">
        <v>752</v>
      </c>
      <c r="J15" s="976"/>
      <c r="K15" s="1015" t="s">
        <v>171</v>
      </c>
      <c r="L15" s="1016"/>
      <c r="M15" s="981"/>
      <c r="N15" s="981"/>
      <c r="O15" s="981"/>
      <c r="P15" s="993"/>
      <c r="Q15" s="1015" t="s">
        <v>753</v>
      </c>
      <c r="R15" s="1016"/>
      <c r="S15" s="993"/>
      <c r="T15" s="1015" t="s">
        <v>753</v>
      </c>
      <c r="U15" s="1016"/>
      <c r="V15" s="981"/>
      <c r="W15" s="981"/>
      <c r="X15" s="981"/>
      <c r="Y15" s="993"/>
      <c r="Z15" s="1015" t="s">
        <v>171</v>
      </c>
      <c r="AA15" s="984" t="s">
        <v>752</v>
      </c>
      <c r="AB15" s="983"/>
      <c r="AC15" s="984" t="s">
        <v>752</v>
      </c>
      <c r="AD15" s="983"/>
      <c r="AE15" s="984" t="s">
        <v>744</v>
      </c>
      <c r="AF15" s="983"/>
      <c r="AG15" s="984" t="s">
        <v>737</v>
      </c>
      <c r="AH15" s="983"/>
      <c r="AI15" s="984" t="s">
        <v>751</v>
      </c>
      <c r="AJ15" s="1017"/>
      <c r="AP15" s="875"/>
      <c r="AQ15" s="875"/>
      <c r="AR15" s="875"/>
      <c r="AS15" s="875"/>
      <c r="AT15" s="875"/>
      <c r="AX15" s="873"/>
      <c r="AY15" s="875"/>
      <c r="AZ15" s="875"/>
      <c r="BA15" s="875"/>
      <c r="BB15" s="873"/>
    </row>
    <row r="16" spans="1:56" s="1020" customFormat="1" ht="20.15" customHeight="1">
      <c r="A16" s="1018"/>
      <c r="B16" s="1019">
        <f aca="true" t="shared" si="0" ref="B16:B32">SUM(D16,F16,H16,J16)</f>
        <v>0</v>
      </c>
      <c r="C16" s="913"/>
      <c r="E16" s="987"/>
      <c r="F16" s="1019"/>
      <c r="G16" s="987"/>
      <c r="H16" s="1019"/>
      <c r="I16" s="987"/>
      <c r="J16" s="1019"/>
      <c r="K16" s="1021">
        <f>IF(ISERROR(VLOOKUP(CONCATENATE($B$9,"_",Q16),'選手名簿'!$A$1:$G$65536,7,FALSE))=TRUE,"",VLOOKUP(CONCATENATE($B$9,"_",Q16),'選手名簿'!$A$1:$G$65536,7,FALSE))</f>
        <v>6</v>
      </c>
      <c r="L16" s="1022" t="str">
        <f>IF(ISERROR(VLOOKUP(CONCATENATE($B$9,"_",Q16),'選手名簿'!$A$1:$E$65536,5,FALSE))=TRUE,"",VLOOKUP(CONCATENATE($B$9,"_",Q16),'選手名簿'!$A$1:$E$65536,5,FALSE))</f>
        <v>渡邊　颯太</v>
      </c>
      <c r="M16" s="1023"/>
      <c r="N16" s="1023"/>
      <c r="O16" s="1023"/>
      <c r="P16" s="1024"/>
      <c r="Q16" s="1025">
        <v>1</v>
      </c>
      <c r="R16" s="1026" t="str">
        <f>IF(ISERROR(VLOOKUP(CONCATENATE($B$9,"_",Q16),'選手名簿'!$A$1:$E$65536,4,FALSE))=TRUE,"",VLOOKUP(CONCATENATE($B$9,"_",Q16),'選手名簿'!$A$1:$E$65536,4,FALSE))</f>
        <v>GK</v>
      </c>
      <c r="S16" s="1027" t="str">
        <f>IF(ISERROR(VLOOKUP(CONCATENATE($W$9,"_",T16),'選手名簿'!$A$1:$E$65536,4,FALSE))=TRUE,"",VLOOKUP(CONCATENATE($W$9,"_",T16),'選手名簿'!$A$1:$E$65536,4,FALSE))</f>
        <v>GK</v>
      </c>
      <c r="T16" s="1028">
        <v>1</v>
      </c>
      <c r="U16" s="1022" t="str">
        <f>IF(ISERROR(VLOOKUP(CONCATENATE($W$9,"_",T16),'選手名簿'!$A$1:$E$65536,5,FALSE))=TRUE,"",VLOOKUP(CONCATENATE($W$9,"_",T16),'選手名簿'!$A$1:$E$65536,5,FALSE))</f>
        <v>山本　寿輝</v>
      </c>
      <c r="V16" s="1023"/>
      <c r="W16" s="1023"/>
      <c r="X16" s="1023"/>
      <c r="Y16" s="1024"/>
      <c r="Z16" s="1021">
        <f>IF(ISERROR(VLOOKUP(CONCATENATE($W$9,"_",T16),'選手名簿'!$A$1:$G$65536,7,FALSE))=TRUE,"",VLOOKUP(CONCATENATE($W$9,"_",T16),'選手名簿'!$A$1:$G$65536,7,FALSE))</f>
        <v>5</v>
      </c>
      <c r="AA16" s="987"/>
      <c r="AB16" s="1019"/>
      <c r="AC16" s="987"/>
      <c r="AD16" s="1019"/>
      <c r="AE16" s="987"/>
      <c r="AF16" s="1019"/>
      <c r="AG16" s="987"/>
      <c r="AH16" s="1019"/>
      <c r="AI16" s="1029"/>
      <c r="AJ16" s="989">
        <f aca="true" t="shared" si="1" ref="AJ16:AJ32">SUM(AB16,AD16,AF16,AH16)</f>
        <v>0</v>
      </c>
      <c r="AN16" s="873"/>
      <c r="AO16" s="873"/>
      <c r="AP16" s="875"/>
      <c r="AQ16" s="875"/>
      <c r="AR16" s="875"/>
      <c r="AS16" s="875"/>
      <c r="AT16" s="875"/>
      <c r="AU16" s="873"/>
      <c r="AV16" s="873"/>
      <c r="AW16" s="873"/>
      <c r="AX16" s="873"/>
      <c r="AY16" s="875"/>
      <c r="AZ16" s="875"/>
      <c r="BA16" s="875"/>
      <c r="BB16" s="873"/>
      <c r="BC16" s="873"/>
      <c r="BD16" s="873"/>
    </row>
    <row r="17" spans="1:54" s="1020" customFormat="1" ht="20.15" customHeight="1">
      <c r="A17" s="1018"/>
      <c r="B17" s="1019">
        <f t="shared" si="0"/>
        <v>1</v>
      </c>
      <c r="C17" s="987"/>
      <c r="D17" s="1029"/>
      <c r="E17" s="987"/>
      <c r="F17" s="1019"/>
      <c r="G17" s="987"/>
      <c r="H17" s="1019"/>
      <c r="I17" s="987"/>
      <c r="J17" s="1019">
        <v>1</v>
      </c>
      <c r="K17" s="1021">
        <f>IF(ISERROR(VLOOKUP(CONCATENATE($B$9,"_",Q17),'選手名簿'!$A$1:$G$65536,7,FALSE))=TRUE,"",VLOOKUP(CONCATENATE($B$9,"_",Q17),'選手名簿'!$A$1:$G$65536,7,FALSE))</f>
        <v>6</v>
      </c>
      <c r="L17" s="1022" t="str">
        <f>IF(ISERROR(VLOOKUP(CONCATENATE($B$9,"_",Q17),'選手名簿'!$A$1:$E$65536,5,FALSE))=TRUE,"",VLOOKUP(CONCATENATE($B$9,"_",Q17),'選手名簿'!$A$1:$E$65536,5,FALSE))</f>
        <v>小泉　咲空</v>
      </c>
      <c r="M17" s="1023"/>
      <c r="N17" s="1023"/>
      <c r="O17" s="1023"/>
      <c r="P17" s="1024"/>
      <c r="Q17" s="1025">
        <v>2</v>
      </c>
      <c r="R17" s="1026" t="str">
        <f>IF(ISERROR(VLOOKUP(CONCATENATE($B$9,"_",Q17),'選手名簿'!$A$1:$E$65536,4,FALSE))=TRUE,"",VLOOKUP(CONCATENATE($B$9,"_",Q17),'選手名簿'!$A$1:$E$65536,4,FALSE))</f>
        <v>MF</v>
      </c>
      <c r="S17" s="1027" t="str">
        <f>IF(ISERROR(VLOOKUP(CONCATENATE($W$9,"_",T17),'選手名簿'!$A$1:$E$65536,4,FALSE))=TRUE,"",VLOOKUP(CONCATENATE($W$9,"_",T17),'選手名簿'!$A$1:$E$65536,4,FALSE))</f>
        <v>DF</v>
      </c>
      <c r="T17" s="1028">
        <v>4</v>
      </c>
      <c r="U17" s="1022" t="str">
        <f>IF(ISERROR(VLOOKUP(CONCATENATE($W$9,"_",T17),'選手名簿'!$A$1:$E$65536,5,FALSE))=TRUE,"",VLOOKUP(CONCATENATE($W$9,"_",T17),'選手名簿'!$A$1:$E$65536,5,FALSE))</f>
        <v>松井　暖</v>
      </c>
      <c r="V17" s="1023"/>
      <c r="W17" s="1023"/>
      <c r="X17" s="1023"/>
      <c r="Y17" s="1024"/>
      <c r="Z17" s="1021">
        <f>IF(ISERROR(VLOOKUP(CONCATENATE($W$9,"_",T17),'選手名簿'!$A$1:$G$65536,7,FALSE))=TRUE,"",VLOOKUP(CONCATENATE($W$9,"_",T17),'選手名簿'!$A$1:$G$65536,7,FALSE))</f>
        <v>6</v>
      </c>
      <c r="AA17" s="987"/>
      <c r="AB17" s="1019"/>
      <c r="AC17" s="987"/>
      <c r="AD17" s="1019"/>
      <c r="AE17" s="987"/>
      <c r="AF17" s="1019"/>
      <c r="AG17" s="987"/>
      <c r="AH17" s="1019"/>
      <c r="AI17" s="1029"/>
      <c r="AJ17" s="989">
        <f t="shared" si="1"/>
        <v>0</v>
      </c>
      <c r="AP17" s="875"/>
      <c r="AQ17" s="875"/>
      <c r="AR17" s="875"/>
      <c r="AS17" s="875"/>
      <c r="AT17" s="875"/>
      <c r="AX17" s="873"/>
      <c r="AY17" s="875"/>
      <c r="AZ17" s="875"/>
      <c r="BA17" s="875"/>
      <c r="BB17" s="873"/>
    </row>
    <row r="18" spans="1:56" s="1020" customFormat="1" ht="20.15" customHeight="1">
      <c r="A18" s="1018"/>
      <c r="B18" s="1019">
        <f t="shared" si="0"/>
        <v>0</v>
      </c>
      <c r="C18" s="987"/>
      <c r="E18" s="987"/>
      <c r="F18" s="1019"/>
      <c r="G18" s="987"/>
      <c r="H18" s="1019"/>
      <c r="I18" s="987"/>
      <c r="J18" s="1019"/>
      <c r="K18" s="1021">
        <f>IF(ISERROR(VLOOKUP(CONCATENATE($B$9,"_",Q18),'選手名簿'!$A$1:$G$65536,7,FALSE))=TRUE,"",VLOOKUP(CONCATENATE($B$9,"_",Q18),'選手名簿'!$A$1:$G$65536,7,FALSE))</f>
        <v>6</v>
      </c>
      <c r="L18" s="1022" t="str">
        <f>IF(ISERROR(VLOOKUP(CONCATENATE($B$9,"_",Q18),'選手名簿'!$A$1:$E$65536,5,FALSE))=TRUE,"",VLOOKUP(CONCATENATE($B$9,"_",Q18),'選手名簿'!$A$1:$E$65536,5,FALSE))</f>
        <v>野田　佑月</v>
      </c>
      <c r="M18" s="1023"/>
      <c r="N18" s="1023"/>
      <c r="O18" s="1023"/>
      <c r="P18" s="1024"/>
      <c r="Q18" s="1025">
        <v>4</v>
      </c>
      <c r="R18" s="1026" t="str">
        <f>IF(ISERROR(VLOOKUP(CONCATENATE($B$9,"_",Q18),'選手名簿'!$A$1:$E$65536,4,FALSE))=TRUE,"",VLOOKUP(CONCATENATE($B$9,"_",Q18),'選手名簿'!$A$1:$E$65536,4,FALSE))</f>
        <v>MF</v>
      </c>
      <c r="S18" s="1027" t="str">
        <f>IF(ISERROR(VLOOKUP(CONCATENATE($W$9,"_",T18),'選手名簿'!$A$1:$E$65536,4,FALSE))=TRUE,"",VLOOKUP(CONCATENATE($W$9,"_",T18),'選手名簿'!$A$1:$E$65536,4,FALSE))</f>
        <v>MF</v>
      </c>
      <c r="T18" s="1028">
        <v>6</v>
      </c>
      <c r="U18" s="1022" t="str">
        <f>IF(ISERROR(VLOOKUP(CONCATENATE($W$9,"_",T18),'選手名簿'!$A$1:$E$65536,5,FALSE))=TRUE,"",VLOOKUP(CONCATENATE($W$9,"_",T18),'選手名簿'!$A$1:$E$65536,5,FALSE))</f>
        <v>堂上　春希</v>
      </c>
      <c r="V18" s="1023"/>
      <c r="W18" s="1023"/>
      <c r="X18" s="1023"/>
      <c r="Y18" s="1024"/>
      <c r="Z18" s="1021">
        <f>IF(ISERROR(VLOOKUP(CONCATENATE($W$9,"_",T18),'選手名簿'!$A$1:$G$65536,7,FALSE))=TRUE,"",VLOOKUP(CONCATENATE($W$9,"_",T18),'選手名簿'!$A$1:$G$65536,7,FALSE))</f>
        <v>6</v>
      </c>
      <c r="AA18" s="987"/>
      <c r="AB18" s="1019">
        <v>1</v>
      </c>
      <c r="AC18" s="987"/>
      <c r="AD18" s="1019"/>
      <c r="AE18" s="987"/>
      <c r="AF18" s="1019"/>
      <c r="AG18" s="987"/>
      <c r="AH18" s="1019"/>
      <c r="AI18" s="1029"/>
      <c r="AJ18" s="989">
        <f t="shared" si="1"/>
        <v>1</v>
      </c>
      <c r="AN18" s="873"/>
      <c r="AO18" s="873"/>
      <c r="AP18" s="875"/>
      <c r="AQ18" s="875"/>
      <c r="AR18" s="875"/>
      <c r="AS18" s="875"/>
      <c r="AT18" s="875"/>
      <c r="AU18" s="873"/>
      <c r="AV18" s="873"/>
      <c r="AW18" s="873"/>
      <c r="AX18" s="873"/>
      <c r="AY18" s="875"/>
      <c r="AZ18" s="875"/>
      <c r="BA18" s="875"/>
      <c r="BB18" s="873"/>
      <c r="BC18" s="873"/>
      <c r="BD18" s="873"/>
    </row>
    <row r="19" spans="1:56" s="1020" customFormat="1" ht="20.15" customHeight="1">
      <c r="A19" s="1018"/>
      <c r="B19" s="1019">
        <f t="shared" si="0"/>
        <v>0</v>
      </c>
      <c r="C19" s="1030"/>
      <c r="D19" s="1019"/>
      <c r="E19" s="987"/>
      <c r="F19" s="1019"/>
      <c r="G19" s="987"/>
      <c r="H19" s="1019"/>
      <c r="I19" s="987"/>
      <c r="J19" s="1019"/>
      <c r="K19" s="1021">
        <f>IF(ISERROR(VLOOKUP(CONCATENATE($B$9,"_",Q19),'選手名簿'!$A$1:$G$65536,7,FALSE))=TRUE,"",VLOOKUP(CONCATENATE($B$9,"_",Q19),'選手名簿'!$A$1:$G$65536,7,FALSE))</f>
        <v>4</v>
      </c>
      <c r="L19" s="1022" t="str">
        <f>IF(ISERROR(VLOOKUP(CONCATENATE($B$9,"_",Q19),'選手名簿'!$A$1:$E$65536,5,FALSE))=TRUE,"",VLOOKUP(CONCATENATE($B$9,"_",Q19),'選手名簿'!$A$1:$E$65536,5,FALSE))</f>
        <v>有村　泰史郎</v>
      </c>
      <c r="M19" s="1023"/>
      <c r="N19" s="1023"/>
      <c r="O19" s="1023"/>
      <c r="P19" s="1024"/>
      <c r="Q19" s="1025">
        <v>5</v>
      </c>
      <c r="R19" s="1026" t="str">
        <f>IF(ISERROR(VLOOKUP(CONCATENATE($B$9,"_",Q19),'選手名簿'!$A$1:$E$65536,4,FALSE))=TRUE,"",VLOOKUP(CONCATENATE($B$9,"_",Q19),'選手名簿'!$A$1:$E$65536,4,FALSE))</f>
        <v>MF</v>
      </c>
      <c r="S19" s="1027" t="str">
        <f>IF(ISERROR(VLOOKUP(CONCATENATE($W$9,"_",T19),'選手名簿'!$A$1:$E$65536,4,FALSE))=TRUE,"",VLOOKUP(CONCATENATE($W$9,"_",T19),'選手名簿'!$A$1:$E$65536,4,FALSE))</f>
        <v>MF</v>
      </c>
      <c r="T19" s="1028">
        <v>7</v>
      </c>
      <c r="U19" s="1022" t="str">
        <f>IF(ISERROR(VLOOKUP(CONCATENATE($W$9,"_",T19),'選手名簿'!$A$1:$E$65536,5,FALSE))=TRUE,"",VLOOKUP(CONCATENATE($W$9,"_",T19),'選手名簿'!$A$1:$E$65536,5,FALSE))</f>
        <v>山本　光城</v>
      </c>
      <c r="V19" s="1023"/>
      <c r="W19" s="1023"/>
      <c r="X19" s="1023"/>
      <c r="Y19" s="1024"/>
      <c r="Z19" s="1021">
        <f>IF(ISERROR(VLOOKUP(CONCATENATE($W$9,"_",T19),'選手名簿'!$A$1:$G$65536,7,FALSE))=TRUE,"",VLOOKUP(CONCATENATE($W$9,"_",T19),'選手名簿'!$A$1:$G$65536,7,FALSE))</f>
        <v>6</v>
      </c>
      <c r="AA19" s="987"/>
      <c r="AB19" s="1019">
        <v>2</v>
      </c>
      <c r="AC19" s="987"/>
      <c r="AD19" s="1019"/>
      <c r="AE19" s="987"/>
      <c r="AF19" s="1019"/>
      <c r="AG19" s="987"/>
      <c r="AH19" s="1019"/>
      <c r="AI19" s="1029"/>
      <c r="AJ19" s="989">
        <f t="shared" si="1"/>
        <v>2</v>
      </c>
      <c r="AN19" s="873"/>
      <c r="AO19" s="873"/>
      <c r="AP19" s="875"/>
      <c r="AQ19" s="875"/>
      <c r="AR19" s="875"/>
      <c r="AS19" s="875"/>
      <c r="AT19" s="875"/>
      <c r="AU19" s="873"/>
      <c r="AV19" s="873"/>
      <c r="AW19" s="873"/>
      <c r="AX19" s="873"/>
      <c r="AY19" s="875"/>
      <c r="AZ19" s="875"/>
      <c r="BA19" s="875"/>
      <c r="BB19" s="873"/>
      <c r="BC19" s="873"/>
      <c r="BD19" s="873"/>
    </row>
    <row r="20" spans="1:56" s="1020" customFormat="1" ht="20.15" customHeight="1">
      <c r="A20" s="1018"/>
      <c r="B20" s="1019">
        <f>SUM(D20,F20,H20,J20)</f>
        <v>2</v>
      </c>
      <c r="C20" s="1030"/>
      <c r="D20" s="1031"/>
      <c r="E20" s="987"/>
      <c r="F20" s="1019"/>
      <c r="G20" s="987"/>
      <c r="H20" s="1029"/>
      <c r="I20" s="987" t="s">
        <v>90</v>
      </c>
      <c r="J20" s="1019">
        <v>2</v>
      </c>
      <c r="K20" s="1021">
        <f>IF(ISERROR(VLOOKUP(CONCATENATE($B$9,"_",Q20),'選手名簿'!$A$1:$G$65536,7,FALSE))=TRUE,"",VLOOKUP(CONCATENATE($B$9,"_",Q20),'選手名簿'!$A$1:$G$65536,7,FALSE))</f>
        <v>6</v>
      </c>
      <c r="L20" s="1022" t="str">
        <f>IF(ISERROR(VLOOKUP(CONCATENATE($B$9,"_",Q20),'選手名簿'!$A$1:$E$65536,5,FALSE))=TRUE,"",VLOOKUP(CONCATENATE($B$9,"_",Q20),'選手名簿'!$A$1:$E$65536,5,FALSE))</f>
        <v>池谷　碧</v>
      </c>
      <c r="M20" s="1023"/>
      <c r="N20" s="1023"/>
      <c r="O20" s="1023"/>
      <c r="P20" s="1024"/>
      <c r="Q20" s="1025">
        <v>10</v>
      </c>
      <c r="R20" s="1026" t="str">
        <f>IF(ISERROR(VLOOKUP(CONCATENATE($B$9,"_",Q20),'選手名簿'!$A$1:$E$65536,4,FALSE))=TRUE,"",VLOOKUP(CONCATENATE($B$9,"_",Q20),'選手名簿'!$A$1:$E$65536,4,FALSE))</f>
        <v>MF</v>
      </c>
      <c r="S20" s="1027" t="str">
        <f>IF(ISERROR(VLOOKUP(CONCATENATE($W$9,"_",T20),'選手名簿'!$A$1:$E$65536,4,FALSE))=TRUE,"",VLOOKUP(CONCATENATE($W$9,"_",T20),'選手名簿'!$A$1:$E$65536,4,FALSE))</f>
        <v>MF</v>
      </c>
      <c r="T20" s="1028">
        <v>8</v>
      </c>
      <c r="U20" s="1022" t="str">
        <f>IF(ISERROR(VLOOKUP(CONCATENATE($W$9,"_",T20),'選手名簿'!$A$1:$E$65536,5,FALSE))=TRUE,"",VLOOKUP(CONCATENATE($W$9,"_",T20),'選手名簿'!$A$1:$E$65536,5,FALSE))</f>
        <v>山下　空大</v>
      </c>
      <c r="V20" s="1023"/>
      <c r="W20" s="1023"/>
      <c r="X20" s="1023"/>
      <c r="Y20" s="1024"/>
      <c r="Z20" s="1021">
        <f>IF(ISERROR(VLOOKUP(CONCATENATE($W$9,"_",T20),'選手名簿'!$A$1:$G$65536,7,FALSE))=TRUE,"",VLOOKUP(CONCATENATE($W$9,"_",T20),'選手名簿'!$A$1:$G$65536,7,FALSE))</f>
        <v>6</v>
      </c>
      <c r="AA20" s="987"/>
      <c r="AB20" s="1019"/>
      <c r="AC20" s="987"/>
      <c r="AD20" s="1019"/>
      <c r="AE20" s="987"/>
      <c r="AF20" s="1019"/>
      <c r="AG20" s="987"/>
      <c r="AH20" s="1019"/>
      <c r="AI20" s="1029"/>
      <c r="AJ20" s="989">
        <f t="shared" si="1"/>
        <v>0</v>
      </c>
      <c r="AN20" s="873"/>
      <c r="AO20" s="873"/>
      <c r="AP20" s="875"/>
      <c r="AQ20" s="875"/>
      <c r="AR20" s="875"/>
      <c r="AS20" s="875"/>
      <c r="AT20" s="875"/>
      <c r="AU20" s="873"/>
      <c r="AV20" s="873"/>
      <c r="AW20" s="873"/>
      <c r="AX20" s="873"/>
      <c r="AY20" s="875"/>
      <c r="AZ20" s="875"/>
      <c r="BA20" s="875"/>
      <c r="BB20" s="873"/>
      <c r="BC20" s="873"/>
      <c r="BD20" s="873"/>
    </row>
    <row r="21" spans="1:56" s="1020" customFormat="1" ht="20.15" customHeight="1">
      <c r="A21" s="1032"/>
      <c r="B21" s="1019">
        <f t="shared" si="0"/>
        <v>2</v>
      </c>
      <c r="C21" s="1030"/>
      <c r="D21" s="1031"/>
      <c r="E21" s="987"/>
      <c r="F21" s="1019"/>
      <c r="G21" s="978" t="s">
        <v>90</v>
      </c>
      <c r="H21" s="1033">
        <v>1</v>
      </c>
      <c r="I21" s="978"/>
      <c r="J21" s="1033">
        <v>1</v>
      </c>
      <c r="K21" s="1021">
        <f>IF(ISERROR(VLOOKUP(CONCATENATE($B$9,"_",Q21),'選手名簿'!$A$1:$G$65536,7,FALSE))=TRUE,"",VLOOKUP(CONCATENATE($B$9,"_",Q21),'選手名簿'!$A$1:$G$65536,7,FALSE))</f>
        <v>6</v>
      </c>
      <c r="L21" s="1022" t="str">
        <f>IF(ISERROR(VLOOKUP(CONCATENATE($B$9,"_",Q21),'選手名簿'!$A$1:$E$65536,5,FALSE))=TRUE,"",VLOOKUP(CONCATENATE($B$9,"_",Q21),'選手名簿'!$A$1:$E$65536,5,FALSE))</f>
        <v>上本　翔海</v>
      </c>
      <c r="M21" s="1023"/>
      <c r="N21" s="1023"/>
      <c r="O21" s="1023"/>
      <c r="P21" s="1024"/>
      <c r="Q21" s="1025">
        <v>11</v>
      </c>
      <c r="R21" s="1026" t="str">
        <f>IF(ISERROR(VLOOKUP(CONCATENATE($B$9,"_",Q21),'選手名簿'!$A$1:$E$65536,4,FALSE))=TRUE,"",VLOOKUP(CONCATENATE($B$9,"_",Q21),'選手名簿'!$A$1:$E$65536,4,FALSE))</f>
        <v>MF</v>
      </c>
      <c r="S21" s="1027" t="str">
        <f>IF(ISERROR(VLOOKUP(CONCATENATE($W$9,"_",T21),'選手名簿'!$A$1:$E$65536,4,FALSE))=TRUE,"",VLOOKUP(CONCATENATE($W$9,"_",T21),'選手名簿'!$A$1:$E$65536,4,FALSE))</f>
        <v>MF</v>
      </c>
      <c r="T21" s="1028">
        <v>10</v>
      </c>
      <c r="U21" s="1022" t="str">
        <f>IF(ISERROR(VLOOKUP(CONCATENATE($W$9,"_",T21),'選手名簿'!$A$1:$E$65536,5,FALSE))=TRUE,"",VLOOKUP(CONCATENATE($W$9,"_",T21),'選手名簿'!$A$1:$E$65536,5,FALSE))</f>
        <v>村上　弘樹</v>
      </c>
      <c r="V21" s="1023"/>
      <c r="W21" s="1023"/>
      <c r="X21" s="1023"/>
      <c r="Y21" s="1024"/>
      <c r="Z21" s="1021">
        <f>IF(ISERROR(VLOOKUP(CONCATENATE($W$9,"_",T21),'選手名簿'!$A$1:$G$65536,7,FALSE))=TRUE,"",VLOOKUP(CONCATENATE($W$9,"_",T21),'選手名簿'!$A$1:$G$65536,7,FALSE))</f>
        <v>6</v>
      </c>
      <c r="AA21" s="978" t="s">
        <v>90</v>
      </c>
      <c r="AB21" s="1033">
        <v>1</v>
      </c>
      <c r="AC21" s="978"/>
      <c r="AD21" s="1033">
        <v>2</v>
      </c>
      <c r="AE21" s="987"/>
      <c r="AF21" s="1033"/>
      <c r="AG21" s="987"/>
      <c r="AH21" s="1033"/>
      <c r="AI21" s="1029"/>
      <c r="AJ21" s="989">
        <f>SUM(AB21,AD21,AF21,AH21)</f>
        <v>3</v>
      </c>
      <c r="AN21" s="873"/>
      <c r="AO21" s="873"/>
      <c r="AP21" s="875"/>
      <c r="AQ21" s="875"/>
      <c r="AR21" s="875"/>
      <c r="AS21" s="875"/>
      <c r="AT21" s="875"/>
      <c r="AU21" s="873"/>
      <c r="AV21" s="873"/>
      <c r="AW21" s="873"/>
      <c r="AX21" s="873"/>
      <c r="AY21" s="875"/>
      <c r="AZ21" s="875"/>
      <c r="BA21" s="875"/>
      <c r="BB21" s="873"/>
      <c r="BC21" s="873"/>
      <c r="BD21" s="873"/>
    </row>
    <row r="22" spans="1:56" s="1020" customFormat="1" ht="20.15" customHeight="1">
      <c r="A22" s="1032"/>
      <c r="B22" s="1019">
        <f t="shared" si="0"/>
        <v>0</v>
      </c>
      <c r="C22" s="987"/>
      <c r="D22" s="1019"/>
      <c r="E22" s="987"/>
      <c r="F22" s="1019"/>
      <c r="G22" s="987"/>
      <c r="H22" s="1019"/>
      <c r="I22" s="987"/>
      <c r="J22" s="1019"/>
      <c r="K22" s="1021">
        <f>IF(ISERROR(VLOOKUP(CONCATENATE($B$9,"_",Q22),'選手名簿'!$A$1:$G$65536,7,FALSE))=TRUE,"",VLOOKUP(CONCATENATE($B$9,"_",Q22),'選手名簿'!$A$1:$G$65536,7,FALSE))</f>
        <v>6</v>
      </c>
      <c r="L22" s="1022" t="str">
        <f>IF(ISERROR(VLOOKUP(CONCATENATE($B$9,"_",Q22),'選手名簿'!$A$1:$E$65536,5,FALSE))=TRUE,"",VLOOKUP(CONCATENATE($B$9,"_",Q22),'選手名簿'!$A$1:$E$65536,5,FALSE))</f>
        <v>下郡　悠翔</v>
      </c>
      <c r="M22" s="1023"/>
      <c r="N22" s="1023"/>
      <c r="O22" s="1023"/>
      <c r="P22" s="1024"/>
      <c r="Q22" s="1025">
        <v>13</v>
      </c>
      <c r="R22" s="1026" t="str">
        <f>IF(ISERROR(VLOOKUP(CONCATENATE($B$9,"_",Q22),'選手名簿'!$A$1:$E$65536,4,FALSE))=TRUE,"",VLOOKUP(CONCATENATE($B$9,"_",Q22),'選手名簿'!$A$1:$E$65536,4,FALSE))</f>
        <v>MF</v>
      </c>
      <c r="S22" s="1027" t="str">
        <f>IF(ISERROR(VLOOKUP(CONCATENATE($W$9,"_",T22),'選手名簿'!$A$1:$E$65536,4,FALSE))=TRUE,"",VLOOKUP(CONCATENATE($W$9,"_",T22),'選手名簿'!$A$1:$E$65536,4,FALSE))</f>
        <v>MF</v>
      </c>
      <c r="T22" s="1028">
        <v>11</v>
      </c>
      <c r="U22" s="1022" t="str">
        <f>IF(ISERROR(VLOOKUP(CONCATENATE($W$9,"_",T22),'選手名簿'!$A$1:$E$65536,5,FALSE))=TRUE,"",VLOOKUP(CONCATENATE($W$9,"_",T22),'選手名簿'!$A$1:$E$65536,5,FALSE))</f>
        <v>菅川　惺空</v>
      </c>
      <c r="V22" s="1023"/>
      <c r="W22" s="1023"/>
      <c r="X22" s="1023"/>
      <c r="Y22" s="1024"/>
      <c r="Z22" s="1021">
        <f>IF(ISERROR(VLOOKUP(CONCATENATE($W$9,"_",T22),'選手名簿'!$A$1:$G$65536,7,FALSE))=TRUE,"",VLOOKUP(CONCATENATE($W$9,"_",T22),'選手名簿'!$A$1:$G$65536,7,FALSE))</f>
        <v>5</v>
      </c>
      <c r="AA22" s="987"/>
      <c r="AB22" s="1019"/>
      <c r="AC22" s="987"/>
      <c r="AD22" s="1019"/>
      <c r="AE22" s="987"/>
      <c r="AF22" s="1019"/>
      <c r="AG22" s="987"/>
      <c r="AH22" s="1019"/>
      <c r="AI22" s="1029"/>
      <c r="AJ22" s="989">
        <f t="shared" si="1"/>
        <v>0</v>
      </c>
      <c r="AN22" s="873"/>
      <c r="AO22" s="873"/>
      <c r="AP22" s="875"/>
      <c r="AQ22" s="875"/>
      <c r="AR22" s="875"/>
      <c r="AS22" s="875"/>
      <c r="AT22" s="875"/>
      <c r="AU22" s="873"/>
      <c r="AV22" s="873"/>
      <c r="AW22" s="873"/>
      <c r="AX22" s="873"/>
      <c r="AY22" s="875"/>
      <c r="AZ22" s="875"/>
      <c r="BA22" s="875"/>
      <c r="BB22" s="873"/>
      <c r="BC22" s="873"/>
      <c r="BD22" s="873"/>
    </row>
    <row r="23" spans="1:56" s="1020" customFormat="1" ht="20.15" customHeight="1">
      <c r="A23" s="1018"/>
      <c r="B23" s="1019">
        <f t="shared" si="0"/>
        <v>1</v>
      </c>
      <c r="C23" s="987"/>
      <c r="D23" s="1019"/>
      <c r="E23" s="987"/>
      <c r="F23" s="1019"/>
      <c r="G23" s="987"/>
      <c r="H23" s="1019"/>
      <c r="I23" s="987"/>
      <c r="J23" s="1019">
        <v>1</v>
      </c>
      <c r="K23" s="1021">
        <f>IF(ISERROR(VLOOKUP(CONCATENATE($B$9,"_",Q23),'選手名簿'!$A$1:$G$65536,7,FALSE))=TRUE,"",VLOOKUP(CONCATENATE($B$9,"_",Q23),'選手名簿'!$A$1:$G$65536,7,FALSE))</f>
        <v>6</v>
      </c>
      <c r="L23" s="1022" t="str">
        <f>IF(ISERROR(VLOOKUP(CONCATENATE($B$9,"_",Q23),'選手名簿'!$A$1:$E$65536,5,FALSE))=TRUE,"",VLOOKUP(CONCATENATE($B$9,"_",Q23),'選手名簿'!$A$1:$E$65536,5,FALSE))</f>
        <v>林　天音</v>
      </c>
      <c r="M23" s="1023"/>
      <c r="N23" s="1023"/>
      <c r="O23" s="1023"/>
      <c r="P23" s="1024"/>
      <c r="Q23" s="1025">
        <v>14</v>
      </c>
      <c r="R23" s="1026" t="str">
        <f>IF(ISERROR(VLOOKUP(CONCATENATE($B$9,"_",Q23),'選手名簿'!$A$1:$E$65536,4,FALSE))=TRUE,"",VLOOKUP(CONCATENATE($B$9,"_",Q23),'選手名簿'!$A$1:$E$65536,4,FALSE))</f>
        <v>FW</v>
      </c>
      <c r="S23" s="1027" t="str">
        <f>IF(ISERROR(VLOOKUP(CONCATENATE($W$9,"_",T23),'選手名簿'!$A$1:$E$65536,4,FALSE))=TRUE,"",VLOOKUP(CONCATENATE($W$9,"_",T23),'選手名簿'!$A$1:$E$65536,4,FALSE))</f>
        <v>FW</v>
      </c>
      <c r="T23" s="1028">
        <v>9</v>
      </c>
      <c r="U23" s="1022" t="str">
        <f>IF(ISERROR(VLOOKUP(CONCATENATE($W$9,"_",T23),'選手名簿'!$A$1:$E$65536,5,FALSE))=TRUE,"",VLOOKUP(CONCATENATE($W$9,"_",T23),'選手名簿'!$A$1:$E$65536,5,FALSE))</f>
        <v>馬出　蒼士</v>
      </c>
      <c r="V23" s="1023"/>
      <c r="W23" s="1023"/>
      <c r="X23" s="1023"/>
      <c r="Y23" s="1024"/>
      <c r="Z23" s="1021">
        <f>IF(ISERROR(VLOOKUP(CONCATENATE($W$9,"_",T23),'選手名簿'!$A$1:$G$65536,7,FALSE))=TRUE,"",VLOOKUP(CONCATENATE($W$9,"_",T23),'選手名簿'!$A$1:$G$65536,7,FALSE))</f>
        <v>6</v>
      </c>
      <c r="AA23" s="987"/>
      <c r="AB23" s="1019">
        <v>1</v>
      </c>
      <c r="AC23" s="987"/>
      <c r="AD23" s="1019"/>
      <c r="AE23" s="987"/>
      <c r="AF23" s="1019"/>
      <c r="AG23" s="987"/>
      <c r="AH23" s="1019"/>
      <c r="AI23" s="1029"/>
      <c r="AJ23" s="989">
        <f t="shared" si="1"/>
        <v>1</v>
      </c>
      <c r="AN23" s="873"/>
      <c r="AO23" s="873"/>
      <c r="AP23" s="875"/>
      <c r="AQ23" s="875"/>
      <c r="AR23" s="875"/>
      <c r="AS23" s="875"/>
      <c r="AT23" s="875"/>
      <c r="AU23" s="873"/>
      <c r="AV23" s="873"/>
      <c r="AW23" s="873"/>
      <c r="AX23" s="873"/>
      <c r="AY23" s="875"/>
      <c r="AZ23" s="875"/>
      <c r="BA23" s="875"/>
      <c r="BB23" s="873"/>
      <c r="BC23" s="873"/>
      <c r="BD23" s="873"/>
    </row>
    <row r="24" spans="1:56" s="1020" customFormat="1" ht="20.15" customHeight="1">
      <c r="A24" s="1032"/>
      <c r="B24" s="1034"/>
      <c r="C24" s="1034"/>
      <c r="D24" s="1034"/>
      <c r="E24" s="1034"/>
      <c r="F24" s="1034"/>
      <c r="G24" s="1034"/>
      <c r="H24" s="1034"/>
      <c r="I24" s="1034"/>
      <c r="J24" s="1034"/>
      <c r="K24" s="1034"/>
      <c r="L24" s="1034"/>
      <c r="M24" s="1034"/>
      <c r="N24" s="1034"/>
      <c r="O24" s="1034"/>
      <c r="P24" s="1034"/>
      <c r="Q24" s="1035" t="s">
        <v>754</v>
      </c>
      <c r="R24" s="1035"/>
      <c r="S24" s="1035"/>
      <c r="T24" s="1035"/>
      <c r="U24" s="1034"/>
      <c r="V24" s="1034"/>
      <c r="W24" s="1034"/>
      <c r="X24" s="1034"/>
      <c r="Y24" s="1034"/>
      <c r="Z24" s="1034"/>
      <c r="AA24" s="1034"/>
      <c r="AB24" s="1034"/>
      <c r="AC24" s="1034"/>
      <c r="AD24" s="1034"/>
      <c r="AE24" s="1034"/>
      <c r="AF24" s="1034"/>
      <c r="AG24" s="1034"/>
      <c r="AH24" s="1034"/>
      <c r="AI24" s="1034"/>
      <c r="AJ24" s="1036"/>
      <c r="AN24" s="873"/>
      <c r="AO24" s="873"/>
      <c r="AP24" s="875"/>
      <c r="AQ24" s="875"/>
      <c r="AR24" s="875"/>
      <c r="AS24" s="875"/>
      <c r="AT24" s="875"/>
      <c r="AU24" s="873"/>
      <c r="AV24" s="873"/>
      <c r="AW24" s="873"/>
      <c r="AX24" s="873"/>
      <c r="AY24" s="875"/>
      <c r="AZ24" s="875"/>
      <c r="BA24" s="875"/>
      <c r="BB24" s="873"/>
      <c r="BC24" s="873"/>
      <c r="BD24" s="873"/>
    </row>
    <row r="25" spans="1:56" s="1020" customFormat="1" ht="20.15" customHeight="1">
      <c r="A25" s="1018"/>
      <c r="B25" s="1019">
        <f t="shared" si="0"/>
        <v>0</v>
      </c>
      <c r="C25" s="913"/>
      <c r="E25" s="987"/>
      <c r="G25" s="987"/>
      <c r="H25" s="1019"/>
      <c r="I25" s="987"/>
      <c r="J25" s="1019"/>
      <c r="K25" s="1021">
        <f>IF(ISERROR(VLOOKUP(CONCATENATE($B$9,"_",Q25),'選手名簿'!$A$1:$G$65536,7,FALSE))=TRUE,"",VLOOKUP(CONCATENATE($B$9,"_",Q25),'選手名簿'!$A$1:$G$65536,7,FALSE))</f>
        <v>6</v>
      </c>
      <c r="L25" s="1022" t="str">
        <f>IF(ISERROR(VLOOKUP(CONCATENATE($B$9,"_",Q25),'選手名簿'!$A$1:$E$65536,5,FALSE))=TRUE,"",VLOOKUP(CONCATENATE($B$9,"_",Q25),'選手名簿'!$A$1:$E$65536,5,FALSE))</f>
        <v>河野　蒼良</v>
      </c>
      <c r="M25" s="1023"/>
      <c r="N25" s="1023"/>
      <c r="O25" s="1023"/>
      <c r="P25" s="1024"/>
      <c r="Q25" s="1025">
        <v>3</v>
      </c>
      <c r="R25" s="1026" t="str">
        <f>IF(ISERROR(VLOOKUP(CONCATENATE($B$9,"_",Q25),'選手名簿'!$A$1:$E$65536,4,FALSE))=TRUE,"",VLOOKUP(CONCATENATE($B$9,"_",Q25),'選手名簿'!$A$1:$E$65536,4,FALSE))</f>
        <v>MF</v>
      </c>
      <c r="S25" s="1027" t="str">
        <f>IF(ISERROR(VLOOKUP(CONCATENATE($W$9,"_",T25),'選手名簿'!$A$1:$E$65536,4,FALSE))=TRUE,"",VLOOKUP(CONCATENATE($W$9,"_",T25),'選手名簿'!$A$1:$E$65536,4,FALSE))</f>
        <v>MF</v>
      </c>
      <c r="T25" s="1028">
        <v>2</v>
      </c>
      <c r="U25" s="1022" t="str">
        <f>IF(ISERROR(VLOOKUP(CONCATENATE($W$9,"_",T25),'選手名簿'!$A$1:$E$65536,5,FALSE))=TRUE,"",VLOOKUP(CONCATENATE($W$9,"_",T25),'選手名簿'!$A$1:$E$65536,5,FALSE))</f>
        <v>岡山　太郎</v>
      </c>
      <c r="V25" s="1023"/>
      <c r="W25" s="1023"/>
      <c r="X25" s="1023"/>
      <c r="Y25" s="1024"/>
      <c r="Z25" s="1021">
        <f>IF(ISERROR(VLOOKUP(CONCATENATE($W$9,"_",T25),'選手名簿'!$A$1:$G$65536,7,FALSE))=TRUE,"",VLOOKUP(CONCATENATE($W$9,"_",T25),'選手名簿'!$A$1:$G$65536,7,FALSE))</f>
        <v>6</v>
      </c>
      <c r="AA25" s="987"/>
      <c r="AB25" s="1019"/>
      <c r="AC25" s="987"/>
      <c r="AD25" s="1019"/>
      <c r="AE25" s="987"/>
      <c r="AF25" s="1019"/>
      <c r="AG25" s="987"/>
      <c r="AH25" s="1019"/>
      <c r="AI25" s="1029"/>
      <c r="AJ25" s="989">
        <f t="shared" si="1"/>
        <v>0</v>
      </c>
      <c r="AN25" s="873"/>
      <c r="AO25" s="873"/>
      <c r="AP25" s="875"/>
      <c r="AQ25" s="875"/>
      <c r="AR25" s="875"/>
      <c r="AS25" s="875"/>
      <c r="AT25" s="875"/>
      <c r="AU25" s="873"/>
      <c r="AV25" s="873"/>
      <c r="AW25" s="873"/>
      <c r="AX25" s="873"/>
      <c r="AY25" s="875"/>
      <c r="AZ25" s="875"/>
      <c r="BA25" s="875"/>
      <c r="BB25" s="873"/>
      <c r="BC25" s="873"/>
      <c r="BD25" s="873"/>
    </row>
    <row r="26" spans="1:54" s="1020" customFormat="1" ht="20.15" customHeight="1">
      <c r="A26" s="1018"/>
      <c r="B26" s="1019">
        <f t="shared" si="0"/>
        <v>0</v>
      </c>
      <c r="C26" s="987"/>
      <c r="D26" s="1029"/>
      <c r="E26" s="987"/>
      <c r="F26" s="1029"/>
      <c r="G26" s="987"/>
      <c r="H26" s="1019"/>
      <c r="I26" s="987"/>
      <c r="J26" s="1019"/>
      <c r="K26" s="1021">
        <f>IF(ISERROR(VLOOKUP(CONCATENATE($B$9,"_",Q26),'選手名簿'!$A$1:$G$65536,7,FALSE))=TRUE,"",VLOOKUP(CONCATENATE($B$9,"_",Q26),'選手名簿'!$A$1:$G$65536,7,FALSE))</f>
        <v>6</v>
      </c>
      <c r="L26" s="1022" t="str">
        <f>IF(ISERROR(VLOOKUP(CONCATENATE($B$9,"_",Q26),'選手名簿'!$A$1:$E$65536,5,FALSE))=TRUE,"",VLOOKUP(CONCATENATE($B$9,"_",Q26),'選手名簿'!$A$1:$E$65536,5,FALSE))</f>
        <v>伊勢　虎斗</v>
      </c>
      <c r="M26" s="1023"/>
      <c r="N26" s="1023"/>
      <c r="O26" s="1023"/>
      <c r="P26" s="1024"/>
      <c r="Q26" s="1025">
        <v>6</v>
      </c>
      <c r="R26" s="1026" t="str">
        <f>IF(ISERROR(VLOOKUP(CONCATENATE($B$9,"_",Q26),'選手名簿'!$A$1:$E$65536,4,FALSE))=TRUE,"",VLOOKUP(CONCATENATE($B$9,"_",Q26),'選手名簿'!$A$1:$E$65536,4,FALSE))</f>
        <v>MF</v>
      </c>
      <c r="S26" s="1027" t="str">
        <f>IF(ISERROR(VLOOKUP(CONCATENATE($W$9,"_",T26),'選手名簿'!$A$1:$E$65536,4,FALSE))=TRUE,"",VLOOKUP(CONCATENATE($W$9,"_",T26),'選手名簿'!$A$1:$E$65536,4,FALSE))</f>
        <v>DF</v>
      </c>
      <c r="T26" s="1028">
        <v>3</v>
      </c>
      <c r="U26" s="1022" t="str">
        <f>IF(ISERROR(VLOOKUP(CONCATENATE($W$9,"_",T26),'選手名簿'!$A$1:$E$65536,5,FALSE))=TRUE,"",VLOOKUP(CONCATENATE($W$9,"_",T26),'選手名簿'!$A$1:$E$65536,5,FALSE))</f>
        <v>森脇　琥太郎</v>
      </c>
      <c r="V26" s="1023"/>
      <c r="W26" s="1023"/>
      <c r="X26" s="1023"/>
      <c r="Y26" s="1024"/>
      <c r="Z26" s="1021">
        <f>IF(ISERROR(VLOOKUP(CONCATENATE($W$9,"_",T26),'選手名簿'!$A$1:$G$65536,7,FALSE))=TRUE,"",VLOOKUP(CONCATENATE($W$9,"_",T26),'選手名簿'!$A$1:$G$65536,7,FALSE))</f>
        <v>5</v>
      </c>
      <c r="AA26" s="987"/>
      <c r="AB26" s="1019"/>
      <c r="AC26" s="987"/>
      <c r="AD26" s="1019"/>
      <c r="AE26" s="987"/>
      <c r="AF26" s="1019"/>
      <c r="AG26" s="987"/>
      <c r="AH26" s="1019"/>
      <c r="AI26" s="1029"/>
      <c r="AJ26" s="989">
        <f t="shared" si="1"/>
        <v>0</v>
      </c>
      <c r="AP26" s="875"/>
      <c r="AQ26" s="875"/>
      <c r="AR26" s="875"/>
      <c r="AS26" s="875"/>
      <c r="AT26" s="875"/>
      <c r="AX26" s="873"/>
      <c r="AY26" s="875"/>
      <c r="AZ26" s="875"/>
      <c r="BA26" s="875"/>
      <c r="BB26" s="873"/>
    </row>
    <row r="27" spans="1:56" s="1020" customFormat="1" ht="20.15" customHeight="1">
      <c r="A27" s="1018"/>
      <c r="B27" s="1019">
        <f t="shared" si="0"/>
        <v>0</v>
      </c>
      <c r="C27" s="987"/>
      <c r="D27" s="1029"/>
      <c r="E27" s="987"/>
      <c r="F27" s="1029"/>
      <c r="G27" s="987"/>
      <c r="H27" s="1019"/>
      <c r="I27" s="987"/>
      <c r="J27" s="1019"/>
      <c r="K27" s="1021">
        <f>IF(ISERROR(VLOOKUP(CONCATENATE($B$9,"_",Q27),'選手名簿'!$A$1:$G$65536,7,FALSE))=TRUE,"",VLOOKUP(CONCATENATE($B$9,"_",Q27),'選手名簿'!$A$1:$G$65536,7,FALSE))</f>
        <v>6</v>
      </c>
      <c r="L27" s="1022" t="str">
        <f>IF(ISERROR(VLOOKUP(CONCATENATE($B$9,"_",Q27),'選手名簿'!$A$1:$E$65536,5,FALSE))=TRUE,"",VLOOKUP(CONCATENATE($B$9,"_",Q27),'選手名簿'!$A$1:$E$65536,5,FALSE))</f>
        <v>西田　陸翔</v>
      </c>
      <c r="M27" s="1023"/>
      <c r="N27" s="1023"/>
      <c r="O27" s="1023"/>
      <c r="P27" s="1024"/>
      <c r="Q27" s="1025">
        <v>7</v>
      </c>
      <c r="R27" s="1026" t="str">
        <f>IF(ISERROR(VLOOKUP(CONCATENATE($B$9,"_",Q27),'選手名簿'!$A$1:$E$65536,4,FALSE))=TRUE,"",VLOOKUP(CONCATENATE($B$9,"_",Q27),'選手名簿'!$A$1:$E$65536,4,FALSE))</f>
        <v>MF</v>
      </c>
      <c r="S27" s="1027" t="str">
        <f>IF(ISERROR(VLOOKUP(CONCATENATE($W$9,"_",T27),'選手名簿'!$A$1:$E$65536,4,FALSE))=TRUE,"",VLOOKUP(CONCATENATE($W$9,"_",T27),'選手名簿'!$A$1:$E$65536,4,FALSE))</f>
        <v>MF</v>
      </c>
      <c r="T27" s="1028">
        <v>12</v>
      </c>
      <c r="U27" s="1022" t="str">
        <f>IF(ISERROR(VLOOKUP(CONCATENATE($W$9,"_",T27),'選手名簿'!$A$1:$E$65536,5,FALSE))=TRUE,"",VLOOKUP(CONCATENATE($W$9,"_",T27),'選手名簿'!$A$1:$E$65536,5,FALSE))</f>
        <v>山崎　歩夢</v>
      </c>
      <c r="V27" s="1023"/>
      <c r="W27" s="1023"/>
      <c r="X27" s="1023"/>
      <c r="Y27" s="1024"/>
      <c r="Z27" s="1021">
        <f>IF(ISERROR(VLOOKUP(CONCATENATE($W$9,"_",T27),'選手名簿'!$A$1:$G$65536,7,FALSE))=TRUE,"",VLOOKUP(CONCATENATE($W$9,"_",T27),'選手名簿'!$A$1:$G$65536,7,FALSE))</f>
        <v>5</v>
      </c>
      <c r="AA27" s="987"/>
      <c r="AB27" s="1019"/>
      <c r="AC27" s="987"/>
      <c r="AD27" s="1019"/>
      <c r="AE27" s="987"/>
      <c r="AF27" s="1019"/>
      <c r="AG27" s="987"/>
      <c r="AH27" s="1019"/>
      <c r="AI27" s="1029"/>
      <c r="AJ27" s="989">
        <f t="shared" si="1"/>
        <v>0</v>
      </c>
      <c r="AN27" s="873"/>
      <c r="AO27" s="873"/>
      <c r="AP27" s="875"/>
      <c r="AQ27" s="875"/>
      <c r="AR27" s="875"/>
      <c r="AS27" s="875"/>
      <c r="AT27" s="875"/>
      <c r="AU27" s="873"/>
      <c r="AV27" s="873"/>
      <c r="AW27" s="873"/>
      <c r="AX27" s="873"/>
      <c r="AY27" s="875"/>
      <c r="AZ27" s="875"/>
      <c r="BA27" s="875"/>
      <c r="BB27" s="873"/>
      <c r="BC27" s="873"/>
      <c r="BD27" s="873"/>
    </row>
    <row r="28" spans="1:56" s="1020" customFormat="1" ht="20.15" customHeight="1">
      <c r="A28" s="1018"/>
      <c r="B28" s="1019">
        <f t="shared" si="0"/>
        <v>0</v>
      </c>
      <c r="C28" s="987"/>
      <c r="D28" s="1029"/>
      <c r="E28" s="987"/>
      <c r="F28" s="1029"/>
      <c r="G28" s="987"/>
      <c r="H28" s="1019"/>
      <c r="I28" s="987"/>
      <c r="J28" s="1019"/>
      <c r="K28" s="1021">
        <f>IF(ISERROR(VLOOKUP(CONCATENATE($B$9,"_",Q28),'選手名簿'!$A$1:$G$65536,7,FALSE))=TRUE,"",VLOOKUP(CONCATENATE($B$9,"_",Q28),'選手名簿'!$A$1:$G$65536,7,FALSE))</f>
        <v>6</v>
      </c>
      <c r="L28" s="1022" t="str">
        <f>IF(ISERROR(VLOOKUP(CONCATENATE($B$9,"_",Q28),'選手名簿'!$A$1:$E$65536,5,FALSE))=TRUE,"",VLOOKUP(CONCATENATE($B$9,"_",Q28),'選手名簿'!$A$1:$E$65536,5,FALSE))</f>
        <v>薬師寺　凌空</v>
      </c>
      <c r="M28" s="1023"/>
      <c r="N28" s="1023"/>
      <c r="O28" s="1023"/>
      <c r="P28" s="1024"/>
      <c r="Q28" s="1025">
        <v>8</v>
      </c>
      <c r="R28" s="1026" t="str">
        <f>IF(ISERROR(VLOOKUP(CONCATENATE($B$9,"_",Q28),'選手名簿'!$A$1:$E$65536,4,FALSE))=TRUE,"",VLOOKUP(CONCATENATE($B$9,"_",Q28),'選手名簿'!$A$1:$E$65536,4,FALSE))</f>
        <v>MF</v>
      </c>
      <c r="S28" s="1027" t="str">
        <f>IF(ISERROR(VLOOKUP(CONCATENATE($W$9,"_",T28),'選手名簿'!$A$1:$E$65536,4,FALSE))=TRUE,"",VLOOKUP(CONCATENATE($W$9,"_",T28),'選手名簿'!$A$1:$E$65536,4,FALSE))</f>
        <v/>
      </c>
      <c r="T28" s="1028"/>
      <c r="U28" s="1022" t="str">
        <f>IF(ISERROR(VLOOKUP(CONCATENATE($W$9,"_",T28),'選手名簿'!$A$1:$E$65536,5,FALSE))=TRUE,"",VLOOKUP(CONCATENATE($W$9,"_",T28),'選手名簿'!$A$1:$E$65536,5,FALSE))</f>
        <v/>
      </c>
      <c r="V28" s="1023"/>
      <c r="W28" s="1023"/>
      <c r="X28" s="1023"/>
      <c r="Y28" s="1024"/>
      <c r="Z28" s="1021" t="str">
        <f>IF(ISERROR(VLOOKUP(CONCATENATE($W$9,"_",T28),'選手名簿'!$A$1:$G$65536,7,FALSE))=TRUE,"",VLOOKUP(CONCATENATE($W$9,"_",T28),'選手名簿'!$A$1:$G$65536,7,FALSE))</f>
        <v/>
      </c>
      <c r="AA28" s="987"/>
      <c r="AB28" s="1019"/>
      <c r="AC28" s="987"/>
      <c r="AD28" s="1019"/>
      <c r="AE28" s="987"/>
      <c r="AF28" s="1019"/>
      <c r="AG28" s="987"/>
      <c r="AH28" s="1019"/>
      <c r="AI28" s="1029"/>
      <c r="AJ28" s="989">
        <f t="shared" si="1"/>
        <v>0</v>
      </c>
      <c r="AN28" s="873"/>
      <c r="AO28" s="873"/>
      <c r="AP28" s="875"/>
      <c r="AQ28" s="875"/>
      <c r="AR28" s="875"/>
      <c r="AS28" s="875"/>
      <c r="AT28" s="875"/>
      <c r="AU28" s="873"/>
      <c r="AV28" s="873"/>
      <c r="AW28" s="873"/>
      <c r="AX28" s="873"/>
      <c r="AY28" s="875"/>
      <c r="AZ28" s="875"/>
      <c r="BA28" s="875"/>
      <c r="BB28" s="873"/>
      <c r="BC28" s="873"/>
      <c r="BD28" s="873"/>
    </row>
    <row r="29" spans="1:56" s="1020" customFormat="1" ht="20.15" customHeight="1">
      <c r="A29" s="1018"/>
      <c r="B29" s="1019">
        <f t="shared" si="0"/>
        <v>0</v>
      </c>
      <c r="C29" s="987"/>
      <c r="D29" s="1029"/>
      <c r="E29" s="987"/>
      <c r="F29" s="1029"/>
      <c r="G29" s="987"/>
      <c r="H29" s="1019"/>
      <c r="I29" s="987"/>
      <c r="J29" s="1019"/>
      <c r="K29" s="1021">
        <f>IF(ISERROR(VLOOKUP(CONCATENATE($B$9,"_",Q29),'選手名簿'!$A$1:$G$65536,7,FALSE))=TRUE,"",VLOOKUP(CONCATENATE($B$9,"_",Q29),'選手名簿'!$A$1:$G$65536,7,FALSE))</f>
        <v>6</v>
      </c>
      <c r="L29" s="1022" t="str">
        <f>IF(ISERROR(VLOOKUP(CONCATENATE($B$9,"_",Q29),'選手名簿'!$A$1:$E$65536,5,FALSE))=TRUE,"",VLOOKUP(CONCATENATE($B$9,"_",Q29),'選手名簿'!$A$1:$E$65536,5,FALSE))</f>
        <v>原園　英虎</v>
      </c>
      <c r="M29" s="1023"/>
      <c r="N29" s="1023"/>
      <c r="O29" s="1023"/>
      <c r="P29" s="1024"/>
      <c r="Q29" s="1025">
        <v>9</v>
      </c>
      <c r="R29" s="1026" t="str">
        <f>IF(ISERROR(VLOOKUP(CONCATENATE($B$9,"_",Q29),'選手名簿'!$A$1:$E$65536,4,FALSE))=TRUE,"",VLOOKUP(CONCATENATE($B$9,"_",Q29),'選手名簿'!$A$1:$E$65536,4,FALSE))</f>
        <v>MF</v>
      </c>
      <c r="S29" s="1027" t="str">
        <f>IF(ISERROR(VLOOKUP(CONCATENATE($W$9,"_",T29),'選手名簿'!$A$1:$E$65536,4,FALSE))=TRUE,"",VLOOKUP(CONCATENATE($W$9,"_",T29),'選手名簿'!$A$1:$E$65536,4,FALSE))</f>
        <v/>
      </c>
      <c r="T29" s="1028"/>
      <c r="U29" s="1022" t="str">
        <f>IF(ISERROR(VLOOKUP(CONCATENATE($W$9,"_",T29),'選手名簿'!$A$1:$E$65536,5,FALSE))=TRUE,"",VLOOKUP(CONCATENATE($W$9,"_",T29),'選手名簿'!$A$1:$E$65536,5,FALSE))</f>
        <v/>
      </c>
      <c r="V29" s="1023"/>
      <c r="W29" s="1023"/>
      <c r="X29" s="1023"/>
      <c r="Y29" s="1024"/>
      <c r="Z29" s="1021" t="str">
        <f>IF(ISERROR(VLOOKUP(CONCATENATE($W$9,"_",T29),'選手名簿'!$A$1:$G$65536,7,FALSE))=TRUE,"",VLOOKUP(CONCATENATE($W$9,"_",T29),'選手名簿'!$A$1:$G$65536,7,FALSE))</f>
        <v/>
      </c>
      <c r="AA29" s="987"/>
      <c r="AB29" s="1019"/>
      <c r="AC29" s="987"/>
      <c r="AD29" s="1019"/>
      <c r="AE29" s="987"/>
      <c r="AF29" s="1019"/>
      <c r="AG29" s="987"/>
      <c r="AH29" s="1019"/>
      <c r="AI29" s="1029"/>
      <c r="AJ29" s="989">
        <f t="shared" si="1"/>
        <v>0</v>
      </c>
      <c r="AN29" s="873"/>
      <c r="AO29" s="873"/>
      <c r="AP29" s="875"/>
      <c r="AQ29" s="875"/>
      <c r="AR29" s="875"/>
      <c r="AS29" s="875"/>
      <c r="AT29" s="875"/>
      <c r="AU29" s="873"/>
      <c r="AV29" s="873"/>
      <c r="AW29" s="873"/>
      <c r="AX29" s="873"/>
      <c r="AY29" s="875"/>
      <c r="AZ29" s="875"/>
      <c r="BA29" s="875"/>
      <c r="BB29" s="873"/>
      <c r="BC29" s="873"/>
      <c r="BD29" s="873"/>
    </row>
    <row r="30" spans="1:56" s="1020" customFormat="1" ht="20.15" customHeight="1">
      <c r="A30" s="1018"/>
      <c r="B30" s="1019">
        <f t="shared" si="0"/>
        <v>0</v>
      </c>
      <c r="C30" s="987"/>
      <c r="D30" s="1029"/>
      <c r="E30" s="987"/>
      <c r="F30" s="1029"/>
      <c r="G30" s="987"/>
      <c r="H30" s="1019"/>
      <c r="I30" s="987"/>
      <c r="J30" s="1019"/>
      <c r="K30" s="1021">
        <f>IF(ISERROR(VLOOKUP(CONCATENATE($B$9,"_",Q30),'選手名簿'!$A$1:$G$65536,7,FALSE))=TRUE,"",VLOOKUP(CONCATENATE($B$9,"_",Q30),'選手名簿'!$A$1:$G$65536,7,FALSE))</f>
        <v>6</v>
      </c>
      <c r="L30" s="1022" t="str">
        <f>IF(ISERROR(VLOOKUP(CONCATENATE($B$9,"_",Q30),'選手名簿'!$A$1:$E$65536,5,FALSE))=TRUE,"",VLOOKUP(CONCATENATE($B$9,"_",Q30),'選手名簿'!$A$1:$E$65536,5,FALSE))</f>
        <v>堤　和杜</v>
      </c>
      <c r="M30" s="1023"/>
      <c r="N30" s="1023"/>
      <c r="O30" s="1023"/>
      <c r="P30" s="1024"/>
      <c r="Q30" s="1025">
        <v>12</v>
      </c>
      <c r="R30" s="1026" t="str">
        <f>IF(ISERROR(VLOOKUP(CONCATENATE($B$9,"_",Q30),'選手名簿'!$A$1:$E$65536,4,FALSE))=TRUE,"",VLOOKUP(CONCATENATE($B$9,"_",Q30),'選手名簿'!$A$1:$E$65536,4,FALSE))</f>
        <v>MF</v>
      </c>
      <c r="S30" s="1027" t="str">
        <f>IF(ISERROR(VLOOKUP(CONCATENATE($W$9,"_",T30),'選手名簿'!$A$1:$E$65536,4,FALSE))=TRUE,"",VLOOKUP(CONCATENATE($W$9,"_",T30),'選手名簿'!$A$1:$E$65536,4,FALSE))</f>
        <v/>
      </c>
      <c r="T30" s="1028"/>
      <c r="U30" s="1022" t="str">
        <f>IF(ISERROR(VLOOKUP(CONCATENATE($W$9,"_",T30),'選手名簿'!$A$1:$E$65536,5,FALSE))=TRUE,"",VLOOKUP(CONCATENATE($W$9,"_",T30),'選手名簿'!$A$1:$E$65536,5,FALSE))</f>
        <v/>
      </c>
      <c r="V30" s="1023"/>
      <c r="W30" s="1023"/>
      <c r="X30" s="1023"/>
      <c r="Y30" s="1024"/>
      <c r="Z30" s="1021" t="str">
        <f>IF(ISERROR(VLOOKUP(CONCATENATE($W$9,"_",T30),'選手名簿'!$A$1:$G$65536,7,FALSE))=TRUE,"",VLOOKUP(CONCATENATE($W$9,"_",T30),'選手名簿'!$A$1:$G$65536,7,FALSE))</f>
        <v/>
      </c>
      <c r="AA30" s="987"/>
      <c r="AB30" s="1019"/>
      <c r="AC30" s="987"/>
      <c r="AD30" s="1019"/>
      <c r="AE30" s="987"/>
      <c r="AF30" s="1019"/>
      <c r="AG30" s="987"/>
      <c r="AH30" s="1019"/>
      <c r="AI30" s="1029"/>
      <c r="AJ30" s="989">
        <f t="shared" si="1"/>
        <v>0</v>
      </c>
      <c r="AN30" s="873"/>
      <c r="AO30" s="873"/>
      <c r="AP30" s="875"/>
      <c r="AQ30" s="875"/>
      <c r="AR30" s="875"/>
      <c r="AS30" s="875"/>
      <c r="AT30" s="875"/>
      <c r="AU30" s="873"/>
      <c r="AV30" s="873"/>
      <c r="AW30" s="873"/>
      <c r="AX30" s="873"/>
      <c r="AY30" s="875"/>
      <c r="AZ30" s="875"/>
      <c r="BA30" s="875"/>
      <c r="BB30" s="873"/>
      <c r="BC30" s="873"/>
      <c r="BD30" s="873"/>
    </row>
    <row r="31" spans="1:56" s="1020" customFormat="1" ht="20.15" customHeight="1">
      <c r="A31" s="1018"/>
      <c r="B31" s="1019">
        <f t="shared" si="0"/>
        <v>0</v>
      </c>
      <c r="C31" s="987"/>
      <c r="D31" s="1029"/>
      <c r="E31" s="987"/>
      <c r="F31" s="1029"/>
      <c r="G31" s="987"/>
      <c r="H31" s="1019"/>
      <c r="I31" s="987"/>
      <c r="J31" s="1019"/>
      <c r="K31" s="1021">
        <f>IF(ISERROR(VLOOKUP(CONCATENATE($B$9,"_",Q31),'選手名簿'!$A$1:$G$65536,7,FALSE))=TRUE,"",VLOOKUP(CONCATENATE($B$9,"_",Q31),'選手名簿'!$A$1:$G$65536,7,FALSE))</f>
        <v>5</v>
      </c>
      <c r="L31" s="1022" t="str">
        <f>IF(ISERROR(VLOOKUP(CONCATENATE($B$9,"_",Q31),'選手名簿'!$A$1:$E$65536,5,FALSE))=TRUE,"",VLOOKUP(CONCATENATE($B$9,"_",Q31),'選手名簿'!$A$1:$E$65536,5,FALSE))</f>
        <v>工藤　貫太</v>
      </c>
      <c r="M31" s="1023"/>
      <c r="N31" s="1023"/>
      <c r="O31" s="1023"/>
      <c r="P31" s="1024"/>
      <c r="Q31" s="1025">
        <v>15</v>
      </c>
      <c r="R31" s="1026" t="str">
        <f>IF(ISERROR(VLOOKUP(CONCATENATE($B$9,"_",Q31),'選手名簿'!$A$1:$E$65536,4,FALSE))=TRUE,"",VLOOKUP(CONCATENATE($B$9,"_",Q31),'選手名簿'!$A$1:$E$65536,4,FALSE))</f>
        <v>FW</v>
      </c>
      <c r="S31" s="1027" t="str">
        <f>IF(ISERROR(VLOOKUP(CONCATENATE($W$9,"_",T31),'選手名簿'!$A$1:$E$65536,4,FALSE))=TRUE,"",VLOOKUP(CONCATENATE($W$9,"_",T31),'選手名簿'!$A$1:$E$65536,4,FALSE))</f>
        <v/>
      </c>
      <c r="T31" s="1028"/>
      <c r="U31" s="1022" t="str">
        <f>IF(ISERROR(VLOOKUP(CONCATENATE($W$9,"_",T31),'選手名簿'!$A$1:$E$65536,5,FALSE))=TRUE,"",VLOOKUP(CONCATENATE($W$9,"_",T31),'選手名簿'!$A$1:$E$65536,5,FALSE))</f>
        <v/>
      </c>
      <c r="V31" s="1023"/>
      <c r="W31" s="1023"/>
      <c r="X31" s="1023"/>
      <c r="Y31" s="1024"/>
      <c r="Z31" s="1021" t="str">
        <f>IF(ISERROR(VLOOKUP(CONCATENATE($W$9,"_",T31),'選手名簿'!$A$1:$G$65536,7,FALSE))=TRUE,"",VLOOKUP(CONCATENATE($W$9,"_",T31),'選手名簿'!$A$1:$G$65536,7,FALSE))</f>
        <v/>
      </c>
      <c r="AA31" s="987"/>
      <c r="AB31" s="1019"/>
      <c r="AC31" s="987"/>
      <c r="AD31" s="1019"/>
      <c r="AE31" s="987"/>
      <c r="AF31" s="1019"/>
      <c r="AG31" s="987"/>
      <c r="AH31" s="1019"/>
      <c r="AI31" s="1029"/>
      <c r="AJ31" s="989">
        <f t="shared" si="1"/>
        <v>0</v>
      </c>
      <c r="AN31" s="873"/>
      <c r="AO31" s="873"/>
      <c r="AP31" s="875"/>
      <c r="AQ31" s="875"/>
      <c r="AR31" s="875"/>
      <c r="AS31" s="875"/>
      <c r="AT31" s="875"/>
      <c r="AU31" s="873"/>
      <c r="AV31" s="873"/>
      <c r="AW31" s="873"/>
      <c r="AX31" s="873"/>
      <c r="AY31" s="875"/>
      <c r="AZ31" s="875"/>
      <c r="BA31" s="875"/>
      <c r="BB31" s="873"/>
      <c r="BC31" s="873"/>
      <c r="BD31" s="873"/>
    </row>
    <row r="32" spans="1:56" s="1020" customFormat="1" ht="20.15" customHeight="1">
      <c r="A32" s="1018"/>
      <c r="B32" s="1019">
        <f t="shared" si="0"/>
        <v>0</v>
      </c>
      <c r="C32" s="987"/>
      <c r="D32" s="1029"/>
      <c r="E32" s="987"/>
      <c r="F32" s="1029"/>
      <c r="G32" s="987"/>
      <c r="H32" s="1019"/>
      <c r="I32" s="987"/>
      <c r="J32" s="1019"/>
      <c r="K32" s="1021">
        <f>IF(ISERROR(VLOOKUP(CONCATENATE($B$9,"_",Q32),'選手名簿'!$A$1:$G$65536,7,FALSE))=TRUE,"",VLOOKUP(CONCATENATE($B$9,"_",Q32),'選手名簿'!$A$1:$G$65536,7,FALSE))</f>
        <v>6</v>
      </c>
      <c r="L32" s="1022" t="str">
        <f>IF(ISERROR(VLOOKUP(CONCATENATE($B$9,"_",Q32),'選手名簿'!$A$1:$E$65536,5,FALSE))=TRUE,"",VLOOKUP(CONCATENATE($B$9,"_",Q32),'選手名簿'!$A$1:$E$65536,5,FALSE))</f>
        <v>安藤　晴葵</v>
      </c>
      <c r="M32" s="1023"/>
      <c r="N32" s="1023"/>
      <c r="O32" s="1023"/>
      <c r="P32" s="1024"/>
      <c r="Q32" s="1025">
        <v>16</v>
      </c>
      <c r="R32" s="1026" t="str">
        <f>IF(ISERROR(VLOOKUP(CONCATENATE($B$9,"_",Q32),'選手名簿'!$A$1:$E$65536,4,FALSE))=TRUE,"",VLOOKUP(CONCATENATE($B$9,"_",Q32),'選手名簿'!$A$1:$E$65536,4,FALSE))</f>
        <v>MF</v>
      </c>
      <c r="S32" s="1027" t="str">
        <f>IF(ISERROR(VLOOKUP(CONCATENATE($W$9,"_",T32),'選手名簿'!$A$1:$E$65536,4,FALSE))=TRUE,"",VLOOKUP(CONCATENATE($W$9,"_",T32),'選手名簿'!$A$1:$E$65536,4,FALSE))</f>
        <v/>
      </c>
      <c r="T32" s="1028"/>
      <c r="U32" s="1022" t="str">
        <f>IF(ISERROR(VLOOKUP(CONCATENATE($W$9,"_",T32),'選手名簿'!$A$1:$E$65536,5,FALSE))=TRUE,"",VLOOKUP(CONCATENATE($W$9,"_",T32),'選手名簿'!$A$1:$E$65536,5,FALSE))</f>
        <v/>
      </c>
      <c r="V32" s="1023"/>
      <c r="W32" s="1023"/>
      <c r="X32" s="1023"/>
      <c r="Y32" s="1024"/>
      <c r="Z32" s="1021" t="str">
        <f>IF(ISERROR(VLOOKUP(CONCATENATE($W$9,"_",T32),'選手名簿'!$A$1:$G$65536,7,FALSE))=TRUE,"",VLOOKUP(CONCATENATE($W$9,"_",T32),'選手名簿'!$A$1:$G$65536,7,FALSE))</f>
        <v/>
      </c>
      <c r="AA32" s="987"/>
      <c r="AB32" s="1019"/>
      <c r="AC32" s="987"/>
      <c r="AD32" s="1019"/>
      <c r="AE32" s="987"/>
      <c r="AF32" s="1019"/>
      <c r="AG32" s="987"/>
      <c r="AH32" s="1019"/>
      <c r="AI32" s="1029"/>
      <c r="AJ32" s="989">
        <f t="shared" si="1"/>
        <v>0</v>
      </c>
      <c r="AN32" s="873"/>
      <c r="AO32" s="873"/>
      <c r="AP32" s="875"/>
      <c r="AQ32" s="875"/>
      <c r="AR32" s="875"/>
      <c r="AS32" s="875"/>
      <c r="AT32" s="875"/>
      <c r="AU32" s="873"/>
      <c r="AV32" s="873"/>
      <c r="AW32" s="873"/>
      <c r="AX32" s="873"/>
      <c r="AY32" s="875"/>
      <c r="AZ32" s="875"/>
      <c r="BA32" s="875"/>
      <c r="BB32" s="873"/>
      <c r="BC32" s="873"/>
      <c r="BD32" s="873"/>
    </row>
    <row r="33" spans="1:56" s="1020" customFormat="1" ht="20.15" customHeight="1">
      <c r="A33" s="994"/>
      <c r="B33" s="965">
        <f>SUM(C33:J33)</f>
        <v>6</v>
      </c>
      <c r="C33" s="996"/>
      <c r="D33" s="997">
        <f>SUM(D16:D23,D25:D32)</f>
        <v>0</v>
      </c>
      <c r="E33" s="965"/>
      <c r="F33" s="997">
        <f>SUM(F16:F23,F25:F32)</f>
        <v>0</v>
      </c>
      <c r="G33" s="996"/>
      <c r="H33" s="997">
        <f>SUM(H16:H23,H25:H32)</f>
        <v>1</v>
      </c>
      <c r="I33" s="996"/>
      <c r="J33" s="997">
        <f>SUM(J16:J23,J25:J32)</f>
        <v>5</v>
      </c>
      <c r="K33" s="990" t="s">
        <v>755</v>
      </c>
      <c r="L33" s="971">
        <f>SUM(D33,F33,H33,J33)</f>
        <v>6</v>
      </c>
      <c r="M33" s="964"/>
      <c r="N33" s="964"/>
      <c r="O33" s="964"/>
      <c r="P33" s="966"/>
      <c r="Q33" s="990" t="s">
        <v>756</v>
      </c>
      <c r="R33" s="971" t="s">
        <v>757</v>
      </c>
      <c r="S33" s="966"/>
      <c r="T33" s="990" t="s">
        <v>756</v>
      </c>
      <c r="U33" s="971">
        <f>SUM(AB33,AD33,AF33,AH33)</f>
        <v>7</v>
      </c>
      <c r="V33" s="964"/>
      <c r="W33" s="964"/>
      <c r="X33" s="964"/>
      <c r="Y33" s="966"/>
      <c r="Z33" s="990" t="s">
        <v>755</v>
      </c>
      <c r="AA33" s="996"/>
      <c r="AB33" s="997">
        <f>SUM(AB16:AB23,AB25:AB32)</f>
        <v>5</v>
      </c>
      <c r="AC33" s="996"/>
      <c r="AD33" s="997">
        <f>SUM(AD16:AD23,AD25:AD32)</f>
        <v>2</v>
      </c>
      <c r="AE33" s="996"/>
      <c r="AF33" s="997">
        <f>SUM(AF16:AF23,AF25:AF32)</f>
        <v>0</v>
      </c>
      <c r="AG33" s="996"/>
      <c r="AH33" s="997">
        <f>SUM(AH16:AH23,AH25:AH32)</f>
        <v>0</v>
      </c>
      <c r="AI33" s="965"/>
      <c r="AJ33" s="998">
        <f>SUM(AA33:AH33)</f>
        <v>7</v>
      </c>
      <c r="AN33" s="873"/>
      <c r="AO33" s="873"/>
      <c r="AP33" s="875"/>
      <c r="AQ33" s="875"/>
      <c r="AR33" s="875"/>
      <c r="AS33" s="875"/>
      <c r="AT33" s="875"/>
      <c r="AU33" s="873"/>
      <c r="AV33" s="873"/>
      <c r="AW33" s="873"/>
      <c r="AX33" s="873"/>
      <c r="AY33" s="875"/>
      <c r="AZ33" s="875"/>
      <c r="BA33" s="875"/>
      <c r="BB33" s="873"/>
      <c r="BC33" s="873"/>
      <c r="BD33" s="873"/>
    </row>
    <row r="34" spans="1:56" s="913" customFormat="1" ht="20.15" customHeight="1">
      <c r="A34" s="1037"/>
      <c r="B34" s="1038"/>
      <c r="C34" s="1039" t="s">
        <v>758</v>
      </c>
      <c r="D34" s="1039"/>
      <c r="E34" s="1039"/>
      <c r="F34" s="1039"/>
      <c r="G34" s="1039"/>
      <c r="H34" s="1039"/>
      <c r="I34" s="1039"/>
      <c r="J34" s="1039" t="s">
        <v>759</v>
      </c>
      <c r="K34" s="1039" t="s">
        <v>760</v>
      </c>
      <c r="L34" s="1039"/>
      <c r="M34" s="1039"/>
      <c r="N34" s="1039"/>
      <c r="O34" s="1039"/>
      <c r="P34" s="1039"/>
      <c r="Q34" s="1039"/>
      <c r="R34" s="1040" t="s">
        <v>761</v>
      </c>
      <c r="S34" s="1040"/>
      <c r="T34" s="1038"/>
      <c r="U34" s="1039" t="s">
        <v>758</v>
      </c>
      <c r="V34" s="1039"/>
      <c r="W34" s="1039"/>
      <c r="X34" s="1039"/>
      <c r="Y34" s="1039"/>
      <c r="Z34" s="1039"/>
      <c r="AA34" s="1039"/>
      <c r="AB34" s="1039" t="s">
        <v>759</v>
      </c>
      <c r="AC34" s="1039" t="s">
        <v>760</v>
      </c>
      <c r="AD34" s="1039"/>
      <c r="AE34" s="1039"/>
      <c r="AF34" s="1039"/>
      <c r="AG34" s="1039"/>
      <c r="AH34" s="1039"/>
      <c r="AI34" s="1039"/>
      <c r="AJ34" s="1041"/>
      <c r="AN34" s="873"/>
      <c r="AO34" s="873"/>
      <c r="AP34" s="875"/>
      <c r="AQ34" s="875"/>
      <c r="AR34" s="875"/>
      <c r="AS34" s="875"/>
      <c r="AT34" s="875"/>
      <c r="AU34" s="873"/>
      <c r="AV34" s="873"/>
      <c r="AW34" s="873"/>
      <c r="AX34" s="873"/>
      <c r="AY34" s="875"/>
      <c r="AZ34" s="875"/>
      <c r="BA34" s="875"/>
      <c r="BB34" s="873"/>
      <c r="BC34" s="873"/>
      <c r="BD34" s="873"/>
    </row>
    <row r="35" spans="1:56" s="913" customFormat="1" ht="20.15" customHeight="1">
      <c r="A35" s="1042"/>
      <c r="B35" s="1043"/>
      <c r="C35" s="1044"/>
      <c r="D35" s="1044"/>
      <c r="E35" s="1044"/>
      <c r="F35" s="1044"/>
      <c r="G35" s="1044"/>
      <c r="H35" s="1044"/>
      <c r="I35" s="1044"/>
      <c r="J35" s="1044"/>
      <c r="K35" s="1044"/>
      <c r="L35" s="1044"/>
      <c r="M35" s="1044"/>
      <c r="N35" s="1044"/>
      <c r="O35" s="1044"/>
      <c r="P35" s="1044"/>
      <c r="Q35" s="1044"/>
      <c r="R35" s="1045" t="s">
        <v>212</v>
      </c>
      <c r="S35" s="1046"/>
      <c r="U35" s="975"/>
      <c r="V35" s="975"/>
      <c r="W35" s="975"/>
      <c r="X35" s="975"/>
      <c r="Y35" s="975"/>
      <c r="Z35" s="975"/>
      <c r="AA35" s="975"/>
      <c r="AB35" s="975"/>
      <c r="AC35" s="975"/>
      <c r="AD35" s="975"/>
      <c r="AE35" s="975"/>
      <c r="AF35" s="975"/>
      <c r="AG35" s="975"/>
      <c r="AH35" s="975"/>
      <c r="AI35" s="975"/>
      <c r="AJ35" s="1047"/>
      <c r="AN35" s="873"/>
      <c r="AO35" s="873"/>
      <c r="AP35" s="875"/>
      <c r="AQ35" s="875"/>
      <c r="AR35" s="875"/>
      <c r="AS35" s="875"/>
      <c r="AT35" s="875"/>
      <c r="AU35" s="873"/>
      <c r="AV35" s="873"/>
      <c r="AW35" s="873"/>
      <c r="AX35" s="873"/>
      <c r="AY35" s="875"/>
      <c r="AZ35" s="875"/>
      <c r="BA35" s="875"/>
      <c r="BB35" s="873"/>
      <c r="BC35" s="873"/>
      <c r="BD35" s="873"/>
    </row>
    <row r="36" spans="1:56" s="1020" customFormat="1" ht="20.15" customHeight="1">
      <c r="A36" s="973">
        <v>11</v>
      </c>
      <c r="B36" s="913" t="s">
        <v>524</v>
      </c>
      <c r="C36" s="913">
        <v>13</v>
      </c>
      <c r="D36" s="913" t="s">
        <v>741</v>
      </c>
      <c r="E36" s="1039" t="str">
        <f>IF(ISERROR(VLOOKUP(CONCATENATE($B$9,"_",C36),'選手名簿'!$A$1:$E$65536,5,FALSE))=TRUE,"",VLOOKUP(CONCATENATE($B$9,"_",C36),'選手名簿'!$A$1:$E$65536,5,FALSE))</f>
        <v>下郡　悠翔</v>
      </c>
      <c r="F36" s="1039"/>
      <c r="G36" s="1039"/>
      <c r="H36" s="1039"/>
      <c r="I36" s="1039"/>
      <c r="J36" s="913" t="s">
        <v>759</v>
      </c>
      <c r="K36" s="913">
        <v>9</v>
      </c>
      <c r="L36" s="913" t="s">
        <v>741</v>
      </c>
      <c r="M36" s="1039" t="str">
        <f>IF(ISERROR(VLOOKUP(CONCATENATE($B$9,"_",K36),'選手名簿'!$A$1:$E$65536,5,FALSE))=TRUE,"",VLOOKUP(CONCATENATE($B$9,"_",K36),'選手名簿'!$A$1:$E$65536,5,FALSE))</f>
        <v>原園　英虎</v>
      </c>
      <c r="N36" s="1039"/>
      <c r="O36" s="1039"/>
      <c r="P36" s="1039"/>
      <c r="Q36" s="1039"/>
      <c r="R36" s="913"/>
      <c r="S36" s="1037"/>
      <c r="T36" s="1038" t="s">
        <v>524</v>
      </c>
      <c r="U36" s="1038"/>
      <c r="V36" s="1038" t="s">
        <v>741</v>
      </c>
      <c r="W36" s="1039" t="str">
        <f>IF(ISERROR(VLOOKUP(CONCATENATE($W$9,"_",U36),'選手名簿'!$A$1:$E$65536,5,FALSE))=TRUE,"",VLOOKUP(CONCATENATE($W$9,"_",U36),'選手名簿'!$A$1:$E$65536,5,FALSE))</f>
        <v/>
      </c>
      <c r="X36" s="1039"/>
      <c r="Y36" s="1039"/>
      <c r="Z36" s="1039"/>
      <c r="AA36" s="1039"/>
      <c r="AB36" s="1038" t="s">
        <v>759</v>
      </c>
      <c r="AC36" s="1038"/>
      <c r="AD36" s="1038" t="s">
        <v>741</v>
      </c>
      <c r="AE36" s="1039" t="str">
        <f>IF(ISERROR(VLOOKUP(CONCATENATE($W$9,"_",AC36),'選手名簿'!$A$1:$E$65536,5,FALSE))=TRUE,"",VLOOKUP(CONCATENATE($W$9,"_",AC36),'選手名簿'!$A$1:$E$65536,5,FALSE))</f>
        <v/>
      </c>
      <c r="AF36" s="1039"/>
      <c r="AG36" s="1039"/>
      <c r="AH36" s="1039"/>
      <c r="AI36" s="1039"/>
      <c r="AJ36" s="1048"/>
      <c r="AK36" s="913"/>
      <c r="AL36" s="913"/>
      <c r="AN36" s="873"/>
      <c r="AO36" s="873"/>
      <c r="AP36" s="875"/>
      <c r="AQ36" s="875"/>
      <c r="AR36" s="875"/>
      <c r="AS36" s="875"/>
      <c r="AT36" s="875"/>
      <c r="AU36" s="873"/>
      <c r="AV36" s="873"/>
      <c r="AW36" s="873"/>
      <c r="AX36" s="873"/>
      <c r="AY36" s="875"/>
      <c r="AZ36" s="875"/>
      <c r="BA36" s="875"/>
      <c r="BB36" s="873"/>
      <c r="BC36" s="873"/>
      <c r="BD36" s="873"/>
    </row>
    <row r="37" spans="1:56" s="1020" customFormat="1" ht="19.5" customHeight="1">
      <c r="A37" s="973" t="s">
        <v>762</v>
      </c>
      <c r="B37" s="913" t="s">
        <v>524</v>
      </c>
      <c r="C37" s="913">
        <v>5</v>
      </c>
      <c r="D37" s="913" t="s">
        <v>741</v>
      </c>
      <c r="E37" s="975" t="str">
        <f>IF(ISERROR(VLOOKUP(CONCATENATE($B$9,"_",C37),'選手名簿'!$A$1:$E$65536,5,FALSE))=TRUE,"",VLOOKUP(CONCATENATE($B$9,"_",C37),'選手名簿'!$A$1:$E$65536,5,FALSE))</f>
        <v>有村　泰史郎</v>
      </c>
      <c r="F37" s="975"/>
      <c r="G37" s="975"/>
      <c r="H37" s="975"/>
      <c r="I37" s="975"/>
      <c r="J37" s="913" t="s">
        <v>759</v>
      </c>
      <c r="K37" s="913">
        <v>12</v>
      </c>
      <c r="L37" s="913" t="s">
        <v>741</v>
      </c>
      <c r="M37" s="975" t="str">
        <f>IF(ISERROR(VLOOKUP(CONCATENATE($B$9,"_",K37),'選手名簿'!$A$1:$E$65536,5,FALSE))=TRUE,"",VLOOKUP(CONCATENATE($B$9,"_",K37),'選手名簿'!$A$1:$E$65536,5,FALSE))</f>
        <v>堤　和杜</v>
      </c>
      <c r="N37" s="975"/>
      <c r="O37" s="975"/>
      <c r="P37" s="975"/>
      <c r="Q37" s="975"/>
      <c r="R37" s="913"/>
      <c r="S37" s="973"/>
      <c r="T37" s="913" t="s">
        <v>524</v>
      </c>
      <c r="U37" s="913"/>
      <c r="V37" s="913" t="s">
        <v>741</v>
      </c>
      <c r="W37" s="975" t="str">
        <f>IF(ISERROR(VLOOKUP(CONCATENATE($W$9,"_",U37),'選手名簿'!$A$1:$E$65536,5,FALSE))=TRUE,"",VLOOKUP(CONCATENATE($W$9,"_",U37),'選手名簿'!$A$1:$E$65536,5,FALSE))</f>
        <v/>
      </c>
      <c r="X37" s="975"/>
      <c r="Y37" s="975"/>
      <c r="Z37" s="975"/>
      <c r="AA37" s="975"/>
      <c r="AB37" s="913" t="s">
        <v>759</v>
      </c>
      <c r="AC37" s="913"/>
      <c r="AD37" s="913" t="s">
        <v>741</v>
      </c>
      <c r="AE37" s="975" t="str">
        <f>IF(ISERROR(VLOOKUP(CONCATENATE($W$9,"_",AC37),'選手名簿'!$A$1:$E$65536,5,FALSE))=TRUE,"",VLOOKUP(CONCATENATE($W$9,"_",AC37),'選手名簿'!$A$1:$E$65536,5,FALSE))</f>
        <v/>
      </c>
      <c r="AF37" s="975"/>
      <c r="AG37" s="975"/>
      <c r="AH37" s="975"/>
      <c r="AI37" s="975"/>
      <c r="AJ37" s="1049"/>
      <c r="AK37" s="913"/>
      <c r="AL37" s="913"/>
      <c r="AN37" s="873"/>
      <c r="AO37" s="873"/>
      <c r="AP37" s="875"/>
      <c r="AQ37" s="875"/>
      <c r="AR37" s="875"/>
      <c r="AS37" s="875"/>
      <c r="AT37" s="875"/>
      <c r="AU37" s="873"/>
      <c r="AV37" s="873"/>
      <c r="AW37" s="873"/>
      <c r="AX37" s="873"/>
      <c r="AY37" s="875"/>
      <c r="AZ37" s="875"/>
      <c r="BA37" s="875"/>
      <c r="BB37" s="873"/>
      <c r="BC37" s="873"/>
      <c r="BD37" s="873"/>
    </row>
    <row r="38" spans="1:56" s="1020" customFormat="1" ht="20.15" customHeight="1">
      <c r="A38" s="973"/>
      <c r="B38" s="913" t="s">
        <v>524</v>
      </c>
      <c r="C38" s="913"/>
      <c r="D38" s="913" t="s">
        <v>741</v>
      </c>
      <c r="E38" s="975" t="str">
        <f>IF(ISERROR(VLOOKUP(CONCATENATE($B$9,"_",C38),'選手名簿'!$A$1:$E$65536,5,FALSE))=TRUE,"",VLOOKUP(CONCATENATE($B$9,"_",C38),'選手名簿'!$A$1:$E$65536,5,FALSE))</f>
        <v/>
      </c>
      <c r="F38" s="975"/>
      <c r="G38" s="975"/>
      <c r="H38" s="975"/>
      <c r="I38" s="975"/>
      <c r="J38" s="913" t="s">
        <v>759</v>
      </c>
      <c r="K38" s="913"/>
      <c r="L38" s="913" t="s">
        <v>741</v>
      </c>
      <c r="M38" s="975" t="str">
        <f>IF(ISERROR(VLOOKUP(CONCATENATE($B$9,"_",K38),'選手名簿'!$A$1:$E$65536,5,FALSE))=TRUE,"",VLOOKUP(CONCATENATE($B$9,"_",K38),'選手名簿'!$A$1:$E$65536,5,FALSE))</f>
        <v/>
      </c>
      <c r="N38" s="975"/>
      <c r="O38" s="975"/>
      <c r="P38" s="975"/>
      <c r="Q38" s="975"/>
      <c r="R38" s="913"/>
      <c r="S38" s="973"/>
      <c r="T38" s="913" t="s">
        <v>524</v>
      </c>
      <c r="U38" s="913"/>
      <c r="V38" s="913" t="s">
        <v>741</v>
      </c>
      <c r="W38" s="975" t="str">
        <f>IF(ISERROR(VLOOKUP(CONCATENATE($W$9,"_",U38),'選手名簿'!$A$1:$E$65536,5,FALSE))=TRUE,"",VLOOKUP(CONCATENATE($W$9,"_",U38),'選手名簿'!$A$1:$E$65536,5,FALSE))</f>
        <v/>
      </c>
      <c r="X38" s="975"/>
      <c r="Y38" s="975"/>
      <c r="Z38" s="975"/>
      <c r="AA38" s="975"/>
      <c r="AB38" s="913" t="s">
        <v>759</v>
      </c>
      <c r="AC38" s="913"/>
      <c r="AD38" s="913" t="s">
        <v>741</v>
      </c>
      <c r="AE38" s="975" t="str">
        <f>IF(ISERROR(VLOOKUP(CONCATENATE($W$9,"_",AC38),'選手名簿'!$A$1:$E$65536,5,FALSE))=TRUE,"",VLOOKUP(CONCATENATE($W$9,"_",AC38),'選手名簿'!$A$1:$E$65536,5,FALSE))</f>
        <v/>
      </c>
      <c r="AF38" s="975"/>
      <c r="AG38" s="975"/>
      <c r="AH38" s="975"/>
      <c r="AI38" s="975"/>
      <c r="AJ38" s="1049"/>
      <c r="AK38" s="913"/>
      <c r="AL38" s="913"/>
      <c r="AN38" s="873"/>
      <c r="AO38" s="873"/>
      <c r="AP38" s="875"/>
      <c r="AQ38" s="875"/>
      <c r="AR38" s="875"/>
      <c r="AS38" s="875"/>
      <c r="AT38" s="875"/>
      <c r="AU38" s="873"/>
      <c r="AV38" s="873"/>
      <c r="AW38" s="873"/>
      <c r="AX38" s="873"/>
      <c r="AY38" s="875"/>
      <c r="AZ38" s="875"/>
      <c r="BA38" s="875"/>
      <c r="BB38" s="873"/>
      <c r="BC38" s="873"/>
      <c r="BD38" s="873"/>
    </row>
    <row r="39" spans="1:56" s="1020" customFormat="1" ht="20.15" customHeight="1">
      <c r="A39" s="973"/>
      <c r="B39" s="913" t="s">
        <v>524</v>
      </c>
      <c r="C39" s="913"/>
      <c r="D39" s="913" t="s">
        <v>741</v>
      </c>
      <c r="E39" s="975" t="str">
        <f>IF(ISERROR(VLOOKUP(CONCATENATE($B$9,"_",C39),'選手名簿'!$A$1:$E$65536,5,FALSE))=TRUE,"",VLOOKUP(CONCATENATE($B$9,"_",C39),'選手名簿'!$A$1:$E$65536,5,FALSE))</f>
        <v/>
      </c>
      <c r="F39" s="975"/>
      <c r="G39" s="975"/>
      <c r="H39" s="975"/>
      <c r="I39" s="975"/>
      <c r="J39" s="913" t="s">
        <v>759</v>
      </c>
      <c r="K39" s="913"/>
      <c r="L39" s="913" t="s">
        <v>741</v>
      </c>
      <c r="M39" s="975" t="str">
        <f>IF(ISERROR(VLOOKUP(CONCATENATE($B$9,"_",K39),'選手名簿'!$A$1:$E$65536,5,FALSE))=TRUE,"",VLOOKUP(CONCATENATE($B$9,"_",K39),'選手名簿'!$A$1:$E$65536,5,FALSE))</f>
        <v/>
      </c>
      <c r="N39" s="975"/>
      <c r="O39" s="975"/>
      <c r="P39" s="975"/>
      <c r="Q39" s="975"/>
      <c r="R39" s="913"/>
      <c r="S39" s="973"/>
      <c r="T39" s="913" t="s">
        <v>524</v>
      </c>
      <c r="U39" s="913"/>
      <c r="V39" s="913" t="s">
        <v>741</v>
      </c>
      <c r="W39" s="975" t="str">
        <f>IF(ISERROR(VLOOKUP(CONCATENATE($W$9,"_",U39),'選手名簿'!$A$1:$E$65536,5,FALSE))=TRUE,"",VLOOKUP(CONCATENATE($W$9,"_",U39),'選手名簿'!$A$1:$E$65536,5,FALSE))</f>
        <v/>
      </c>
      <c r="X39" s="975"/>
      <c r="Y39" s="975"/>
      <c r="Z39" s="975"/>
      <c r="AA39" s="975"/>
      <c r="AB39" s="913" t="s">
        <v>759</v>
      </c>
      <c r="AC39" s="913"/>
      <c r="AD39" s="913" t="s">
        <v>741</v>
      </c>
      <c r="AE39" s="975" t="str">
        <f>IF(ISERROR(VLOOKUP(CONCATENATE($W$9,"_",AC39),'選手名簿'!$A$1:$E$65536,5,FALSE))=TRUE,"",VLOOKUP(CONCATENATE($W$9,"_",AC39),'選手名簿'!$A$1:$E$65536,5,FALSE))</f>
        <v/>
      </c>
      <c r="AF39" s="975"/>
      <c r="AG39" s="975"/>
      <c r="AH39" s="975"/>
      <c r="AI39" s="975"/>
      <c r="AJ39" s="1049"/>
      <c r="AK39" s="913"/>
      <c r="AL39" s="913"/>
      <c r="AN39" s="873"/>
      <c r="AO39" s="873"/>
      <c r="AP39" s="875"/>
      <c r="AQ39" s="875"/>
      <c r="AR39" s="875"/>
      <c r="AS39" s="875"/>
      <c r="AT39" s="875"/>
      <c r="AU39" s="873"/>
      <c r="AV39" s="873"/>
      <c r="AW39" s="873"/>
      <c r="AX39" s="873"/>
      <c r="AY39" s="875"/>
      <c r="AZ39" s="875"/>
      <c r="BA39" s="875"/>
      <c r="BB39" s="873"/>
      <c r="BC39" s="873"/>
      <c r="BD39" s="873"/>
    </row>
    <row r="40" spans="1:56" s="1020" customFormat="1" ht="20.15" customHeight="1">
      <c r="A40" s="973"/>
      <c r="B40" s="913" t="s">
        <v>524</v>
      </c>
      <c r="C40" s="913"/>
      <c r="D40" s="913" t="s">
        <v>741</v>
      </c>
      <c r="E40" s="975" t="str">
        <f>IF(ISERROR(VLOOKUP(CONCATENATE($B$9,"_",C40),'選手名簿'!$A$1:$E$65536,5,FALSE))=TRUE,"",VLOOKUP(CONCATENATE($B$9,"_",C40),'選手名簿'!$A$1:$E$65536,5,FALSE))</f>
        <v/>
      </c>
      <c r="F40" s="975"/>
      <c r="G40" s="975"/>
      <c r="H40" s="975"/>
      <c r="I40" s="975"/>
      <c r="J40" s="913" t="s">
        <v>759</v>
      </c>
      <c r="K40" s="913"/>
      <c r="L40" s="913" t="s">
        <v>741</v>
      </c>
      <c r="M40" s="975" t="str">
        <f>IF(ISERROR(VLOOKUP(CONCATENATE($B$9,"_",K40),'選手名簿'!$A$1:$E$65536,5,FALSE))=TRUE,"",VLOOKUP(CONCATENATE($B$9,"_",K40),'選手名簿'!$A$1:$E$65536,5,FALSE))</f>
        <v/>
      </c>
      <c r="N40" s="975"/>
      <c r="O40" s="975"/>
      <c r="P40" s="975"/>
      <c r="Q40" s="975"/>
      <c r="R40" s="913"/>
      <c r="S40" s="973"/>
      <c r="T40" s="913" t="s">
        <v>524</v>
      </c>
      <c r="U40" s="913"/>
      <c r="V40" s="913" t="s">
        <v>741</v>
      </c>
      <c r="W40" s="975" t="str">
        <f>IF(ISERROR(VLOOKUP(CONCATENATE($W$9,"_",U40),'選手名簿'!$A$1:$E$65536,5,FALSE))=TRUE,"",VLOOKUP(CONCATENATE($W$9,"_",U40),'選手名簿'!$A$1:$E$65536,5,FALSE))</f>
        <v/>
      </c>
      <c r="X40" s="975"/>
      <c r="Y40" s="975"/>
      <c r="Z40" s="975"/>
      <c r="AA40" s="975"/>
      <c r="AB40" s="913" t="s">
        <v>759</v>
      </c>
      <c r="AC40" s="913"/>
      <c r="AD40" s="913" t="s">
        <v>741</v>
      </c>
      <c r="AE40" s="975" t="str">
        <f>IF(ISERROR(VLOOKUP(CONCATENATE($W$9,"_",AC40),'選手名簿'!$A$1:$E$65536,5,FALSE))=TRUE,"",VLOOKUP(CONCATENATE($W$9,"_",AC40),'選手名簿'!$A$1:$E$65536,5,FALSE))</f>
        <v/>
      </c>
      <c r="AF40" s="975"/>
      <c r="AG40" s="975"/>
      <c r="AH40" s="975"/>
      <c r="AI40" s="975"/>
      <c r="AJ40" s="1049"/>
      <c r="AK40" s="913"/>
      <c r="AL40" s="913"/>
      <c r="AN40" s="873"/>
      <c r="AO40" s="873"/>
      <c r="AP40" s="875"/>
      <c r="AQ40" s="875"/>
      <c r="AR40" s="875"/>
      <c r="AS40" s="875"/>
      <c r="AT40" s="875"/>
      <c r="AU40" s="873"/>
      <c r="AV40" s="873"/>
      <c r="AW40" s="873"/>
      <c r="AX40" s="873"/>
      <c r="AY40" s="875"/>
      <c r="AZ40" s="875"/>
      <c r="BA40" s="875"/>
      <c r="BB40" s="873"/>
      <c r="BC40" s="873"/>
      <c r="BD40" s="873"/>
    </row>
    <row r="41" spans="1:56" s="1020" customFormat="1" ht="20.15" customHeight="1">
      <c r="A41" s="973"/>
      <c r="B41" s="913" t="s">
        <v>524</v>
      </c>
      <c r="C41" s="913"/>
      <c r="D41" s="913" t="s">
        <v>741</v>
      </c>
      <c r="E41" s="975" t="str">
        <f>IF(ISERROR(VLOOKUP(CONCATENATE($B$9,"_",C41),'選手名簿'!$A$1:$E$65536,5,FALSE))=TRUE,"",VLOOKUP(CONCATENATE($B$9,"_",C41),'選手名簿'!$A$1:$E$65536,5,FALSE))</f>
        <v/>
      </c>
      <c r="F41" s="975"/>
      <c r="G41" s="975"/>
      <c r="H41" s="975"/>
      <c r="I41" s="975"/>
      <c r="J41" s="913" t="s">
        <v>759</v>
      </c>
      <c r="K41" s="913"/>
      <c r="L41" s="913" t="s">
        <v>741</v>
      </c>
      <c r="M41" s="975" t="str">
        <f>IF(ISERROR(VLOOKUP(CONCATENATE($B$9,"_",K41),'選手名簿'!$A$1:$E$65536,5,FALSE))=TRUE,"",VLOOKUP(CONCATENATE($B$9,"_",K41),'選手名簿'!$A$1:$E$65536,5,FALSE))</f>
        <v/>
      </c>
      <c r="N41" s="975"/>
      <c r="O41" s="975"/>
      <c r="P41" s="975"/>
      <c r="Q41" s="975"/>
      <c r="R41" s="913"/>
      <c r="S41" s="973"/>
      <c r="T41" s="913" t="s">
        <v>524</v>
      </c>
      <c r="U41" s="913"/>
      <c r="V41" s="913" t="s">
        <v>741</v>
      </c>
      <c r="W41" s="975" t="str">
        <f>IF(ISERROR(VLOOKUP(CONCATENATE($W$9,"_",U41),'選手名簿'!$A$1:$E$65536,5,FALSE))=TRUE,"",VLOOKUP(CONCATENATE($W$9,"_",U41),'選手名簿'!$A$1:$E$65536,5,FALSE))</f>
        <v/>
      </c>
      <c r="X41" s="975"/>
      <c r="Y41" s="975"/>
      <c r="Z41" s="975"/>
      <c r="AA41" s="975"/>
      <c r="AB41" s="913" t="s">
        <v>759</v>
      </c>
      <c r="AC41" s="913"/>
      <c r="AD41" s="913" t="s">
        <v>741</v>
      </c>
      <c r="AE41" s="975" t="str">
        <f>IF(ISERROR(VLOOKUP(CONCATENATE($W$9,"_",AC41),'選手名簿'!$A$1:$E$65536,5,FALSE))=TRUE,"",VLOOKUP(CONCATENATE($W$9,"_",AC41),'選手名簿'!$A$1:$E$65536,5,FALSE))</f>
        <v/>
      </c>
      <c r="AF41" s="975"/>
      <c r="AG41" s="975"/>
      <c r="AH41" s="975"/>
      <c r="AI41" s="975"/>
      <c r="AJ41" s="1049"/>
      <c r="AK41" s="913"/>
      <c r="AL41" s="913"/>
      <c r="AN41" s="873"/>
      <c r="AO41" s="873"/>
      <c r="AP41" s="875"/>
      <c r="AQ41" s="875"/>
      <c r="AR41" s="875"/>
      <c r="AS41" s="875"/>
      <c r="AT41" s="875"/>
      <c r="AU41" s="873"/>
      <c r="AV41" s="873"/>
      <c r="AW41" s="873"/>
      <c r="AX41" s="873"/>
      <c r="AY41" s="875"/>
      <c r="AZ41" s="875"/>
      <c r="BA41" s="875"/>
      <c r="BB41" s="873"/>
      <c r="BC41" s="873"/>
      <c r="BD41" s="873"/>
    </row>
    <row r="42" spans="1:56" s="1020" customFormat="1" ht="20.15" customHeight="1">
      <c r="A42" s="973"/>
      <c r="B42" s="913" t="s">
        <v>524</v>
      </c>
      <c r="C42" s="913"/>
      <c r="D42" s="913" t="s">
        <v>741</v>
      </c>
      <c r="E42" s="975" t="str">
        <f>IF(ISERROR(VLOOKUP(CONCATENATE($B$9,"_",C42),'選手名簿'!$A$1:$E$65536,5,FALSE))=TRUE,"",VLOOKUP(CONCATENATE($B$9,"_",C42),'選手名簿'!$A$1:$E$65536,5,FALSE))</f>
        <v/>
      </c>
      <c r="F42" s="975"/>
      <c r="G42" s="975"/>
      <c r="H42" s="975"/>
      <c r="I42" s="975"/>
      <c r="J42" s="913" t="s">
        <v>759</v>
      </c>
      <c r="K42" s="913"/>
      <c r="L42" s="913" t="s">
        <v>741</v>
      </c>
      <c r="M42" s="975" t="str">
        <f>IF(ISERROR(VLOOKUP(CONCATENATE($B$9,"_",K42),'選手名簿'!$A$1:$E$65536,5,FALSE))=TRUE,"",VLOOKUP(CONCATENATE($B$9,"_",K42),'選手名簿'!$A$1:$E$65536,5,FALSE))</f>
        <v/>
      </c>
      <c r="N42" s="975"/>
      <c r="O42" s="975"/>
      <c r="P42" s="975"/>
      <c r="Q42" s="975"/>
      <c r="R42" s="913"/>
      <c r="S42" s="973"/>
      <c r="T42" s="913" t="s">
        <v>524</v>
      </c>
      <c r="U42" s="913"/>
      <c r="V42" s="913" t="s">
        <v>741</v>
      </c>
      <c r="W42" s="975" t="str">
        <f>IF(ISERROR(VLOOKUP(CONCATENATE($W$9,"_",U42),'選手名簿'!$A$1:$E$65536,5,FALSE))=TRUE,"",VLOOKUP(CONCATENATE($W$9,"_",U42),'選手名簿'!$A$1:$E$65536,5,FALSE))</f>
        <v/>
      </c>
      <c r="X42" s="975"/>
      <c r="Y42" s="975"/>
      <c r="Z42" s="975"/>
      <c r="AA42" s="975"/>
      <c r="AB42" s="913" t="s">
        <v>759</v>
      </c>
      <c r="AC42" s="913"/>
      <c r="AD42" s="913" t="s">
        <v>741</v>
      </c>
      <c r="AE42" s="975" t="str">
        <f>IF(ISERROR(VLOOKUP(CONCATENATE($W$9,"_",AC42),'選手名簿'!$A$1:$E$65536,5,FALSE))=TRUE,"",VLOOKUP(CONCATENATE($W$9,"_",AC42),'選手名簿'!$A$1:$E$65536,5,FALSE))</f>
        <v/>
      </c>
      <c r="AF42" s="975"/>
      <c r="AG42" s="975"/>
      <c r="AH42" s="975"/>
      <c r="AI42" s="975"/>
      <c r="AJ42" s="1049"/>
      <c r="AK42" s="913"/>
      <c r="AL42" s="913"/>
      <c r="AN42" s="873"/>
      <c r="AO42" s="873"/>
      <c r="AP42" s="875"/>
      <c r="AQ42" s="875"/>
      <c r="AR42" s="875"/>
      <c r="AS42" s="875"/>
      <c r="AT42" s="875"/>
      <c r="AU42" s="873"/>
      <c r="AV42" s="873"/>
      <c r="AW42" s="873"/>
      <c r="AX42" s="873"/>
      <c r="AY42" s="875"/>
      <c r="AZ42" s="875"/>
      <c r="BA42" s="875"/>
      <c r="BB42" s="873"/>
      <c r="BC42" s="873"/>
      <c r="BD42" s="873"/>
    </row>
    <row r="43" spans="1:56" s="1020" customFormat="1" ht="20.15" customHeight="1">
      <c r="A43" s="1042"/>
      <c r="B43" s="1043" t="s">
        <v>524</v>
      </c>
      <c r="C43" s="1043"/>
      <c r="D43" s="1043" t="s">
        <v>741</v>
      </c>
      <c r="E43" s="1044" t="str">
        <f>IF(ISERROR(VLOOKUP(CONCATENATE($B$9,"_",C43),'選手名簿'!$A$1:$E$65536,5,FALSE))=TRUE,"",VLOOKUP(CONCATENATE($B$9,"_",C43),'選手名簿'!$A$1:$E$65536,5,FALSE))</f>
        <v/>
      </c>
      <c r="F43" s="1044"/>
      <c r="G43" s="1044"/>
      <c r="H43" s="1044"/>
      <c r="I43" s="1044"/>
      <c r="J43" s="1043" t="s">
        <v>759</v>
      </c>
      <c r="K43" s="1043"/>
      <c r="L43" s="1043" t="s">
        <v>741</v>
      </c>
      <c r="M43" s="1044" t="str">
        <f>IF(ISERROR(VLOOKUP(CONCATENATE($B$9,"_",K43),'選手名簿'!$A$1:$E$65536,5,FALSE))=TRUE,"",VLOOKUP(CONCATENATE($B$9,"_",K43),'選手名簿'!$A$1:$E$65536,5,FALSE))</f>
        <v/>
      </c>
      <c r="N43" s="1044"/>
      <c r="O43" s="1044"/>
      <c r="P43" s="1044"/>
      <c r="Q43" s="1044"/>
      <c r="R43" s="1043"/>
      <c r="S43" s="1042"/>
      <c r="T43" s="1043" t="s">
        <v>524</v>
      </c>
      <c r="U43" s="1043"/>
      <c r="V43" s="1043" t="s">
        <v>741</v>
      </c>
      <c r="W43" s="1044" t="str">
        <f>IF(ISERROR(VLOOKUP(CONCATENATE($W$9,"_",U43),'選手名簿'!$A$1:$E$65536,5,FALSE))=TRUE,"",VLOOKUP(CONCATENATE($W$9,"_",U43),'選手名簿'!$A$1:$E$65536,5,FALSE))</f>
        <v/>
      </c>
      <c r="X43" s="1044"/>
      <c r="Y43" s="1044"/>
      <c r="Z43" s="1044"/>
      <c r="AA43" s="1044"/>
      <c r="AB43" s="1043" t="s">
        <v>759</v>
      </c>
      <c r="AC43" s="1043"/>
      <c r="AD43" s="1043" t="s">
        <v>741</v>
      </c>
      <c r="AE43" s="1044" t="str">
        <f>IF(ISERROR(VLOOKUP(CONCATENATE($W$9,"_",AC43),'選手名簿'!$A$1:$E$65536,5,FALSE))=TRUE,"",VLOOKUP(CONCATENATE($W$9,"_",AC43),'選手名簿'!$A$1:$E$65536,5,FALSE))</f>
        <v/>
      </c>
      <c r="AF43" s="1044"/>
      <c r="AG43" s="1044"/>
      <c r="AH43" s="1044"/>
      <c r="AI43" s="1044"/>
      <c r="AJ43" s="1050"/>
      <c r="AK43" s="913"/>
      <c r="AL43" s="913"/>
      <c r="AN43" s="873"/>
      <c r="AO43" s="873"/>
      <c r="AP43" s="875"/>
      <c r="AQ43" s="875"/>
      <c r="AR43" s="875"/>
      <c r="AS43" s="875"/>
      <c r="AT43" s="875"/>
      <c r="AU43" s="873"/>
      <c r="AV43" s="873"/>
      <c r="AW43" s="873"/>
      <c r="AX43" s="873"/>
      <c r="AY43" s="875"/>
      <c r="AZ43" s="875"/>
      <c r="BA43" s="875"/>
      <c r="BB43" s="873"/>
      <c r="BC43" s="873"/>
      <c r="BD43" s="873"/>
    </row>
    <row r="44" spans="1:56" s="913" customFormat="1" ht="36" customHeight="1">
      <c r="A44" s="1013" t="s">
        <v>763</v>
      </c>
      <c r="B44" s="982"/>
      <c r="C44" s="982"/>
      <c r="D44" s="982"/>
      <c r="E44" s="982"/>
      <c r="F44" s="982"/>
      <c r="G44" s="983"/>
      <c r="H44" s="984" t="s">
        <v>756</v>
      </c>
      <c r="I44" s="983"/>
      <c r="J44" s="984" t="s">
        <v>735</v>
      </c>
      <c r="K44" s="983"/>
      <c r="L44" s="982" t="s">
        <v>734</v>
      </c>
      <c r="M44" s="983"/>
      <c r="N44" s="984" t="s">
        <v>552</v>
      </c>
      <c r="O44" s="983"/>
      <c r="P44" s="984" t="s">
        <v>548</v>
      </c>
      <c r="Q44" s="983"/>
      <c r="R44" s="1051" t="s">
        <v>764</v>
      </c>
      <c r="S44" s="1052"/>
      <c r="T44" s="984" t="s">
        <v>548</v>
      </c>
      <c r="U44" s="983"/>
      <c r="V44" s="984" t="s">
        <v>552</v>
      </c>
      <c r="W44" s="983"/>
      <c r="X44" s="982" t="s">
        <v>734</v>
      </c>
      <c r="Y44" s="983"/>
      <c r="Z44" s="984" t="s">
        <v>735</v>
      </c>
      <c r="AA44" s="982"/>
      <c r="AB44" s="984" t="s">
        <v>756</v>
      </c>
      <c r="AC44" s="983"/>
      <c r="AD44" s="984" t="s">
        <v>763</v>
      </c>
      <c r="AE44" s="982"/>
      <c r="AF44" s="982"/>
      <c r="AG44" s="982"/>
      <c r="AH44" s="982"/>
      <c r="AI44" s="982"/>
      <c r="AJ44" s="1017"/>
      <c r="AN44" s="873"/>
      <c r="AO44" s="873"/>
      <c r="AP44" s="875"/>
      <c r="AQ44" s="875"/>
      <c r="AR44" s="875"/>
      <c r="AS44" s="875"/>
      <c r="AT44" s="875"/>
      <c r="AU44" s="873"/>
      <c r="AV44" s="873"/>
      <c r="AW44" s="873"/>
      <c r="AX44" s="873"/>
      <c r="AY44" s="875"/>
      <c r="AZ44" s="875"/>
      <c r="BA44" s="875"/>
      <c r="BB44" s="873"/>
      <c r="BC44" s="873"/>
      <c r="BD44" s="873"/>
    </row>
    <row r="45" spans="1:56" s="913" customFormat="1" ht="20.15" customHeight="1">
      <c r="A45" s="963"/>
      <c r="B45" s="964"/>
      <c r="C45" s="964"/>
      <c r="D45" s="964"/>
      <c r="E45" s="964"/>
      <c r="F45" s="964"/>
      <c r="G45" s="966"/>
      <c r="H45" s="988">
        <f aca="true" t="shared" si="2" ref="H45:H49">SUM(J45:Q45)</f>
        <v>6</v>
      </c>
      <c r="I45" s="988"/>
      <c r="J45" s="988"/>
      <c r="K45" s="988"/>
      <c r="L45" s="995"/>
      <c r="M45" s="970"/>
      <c r="N45" s="969">
        <v>3</v>
      </c>
      <c r="O45" s="970"/>
      <c r="P45" s="969">
        <v>3</v>
      </c>
      <c r="Q45" s="970"/>
      <c r="R45" s="987" t="s">
        <v>765</v>
      </c>
      <c r="S45" s="991" t="s">
        <v>766</v>
      </c>
      <c r="T45" s="969">
        <v>2</v>
      </c>
      <c r="U45" s="970"/>
      <c r="V45" s="969">
        <v>6</v>
      </c>
      <c r="W45" s="970"/>
      <c r="X45" s="995"/>
      <c r="Y45" s="970"/>
      <c r="Z45" s="988"/>
      <c r="AA45" s="988"/>
      <c r="AB45" s="988">
        <f aca="true" t="shared" si="3" ref="AB45:AB49">SUM(T45:AA45)</f>
        <v>8</v>
      </c>
      <c r="AC45" s="988"/>
      <c r="AD45" s="965"/>
      <c r="AE45" s="965"/>
      <c r="AF45" s="965"/>
      <c r="AG45" s="965"/>
      <c r="AH45" s="965"/>
      <c r="AI45" s="965"/>
      <c r="AJ45" s="998"/>
      <c r="AN45" s="873"/>
      <c r="AO45" s="873"/>
      <c r="AP45" s="875"/>
      <c r="AQ45" s="875"/>
      <c r="AR45" s="875"/>
      <c r="AS45" s="875"/>
      <c r="AT45" s="875"/>
      <c r="AU45" s="873"/>
      <c r="AV45" s="873"/>
      <c r="AW45" s="873"/>
      <c r="AX45" s="873"/>
      <c r="AY45" s="875"/>
      <c r="AZ45" s="875"/>
      <c r="BA45" s="875"/>
      <c r="BB45" s="873"/>
      <c r="BC45" s="873"/>
      <c r="BD45" s="873"/>
    </row>
    <row r="46" spans="1:56" s="913" customFormat="1" ht="20.15" customHeight="1">
      <c r="A46" s="1053"/>
      <c r="B46" s="975"/>
      <c r="C46" s="975"/>
      <c r="D46" s="975"/>
      <c r="E46" s="975"/>
      <c r="F46" s="975"/>
      <c r="G46" s="976"/>
      <c r="H46" s="988">
        <f t="shared" si="2"/>
        <v>1</v>
      </c>
      <c r="I46" s="988"/>
      <c r="J46" s="988"/>
      <c r="K46" s="988"/>
      <c r="L46" s="995"/>
      <c r="M46" s="970"/>
      <c r="N46" s="969">
        <v>1</v>
      </c>
      <c r="O46" s="970"/>
      <c r="P46" s="969">
        <v>0</v>
      </c>
      <c r="Q46" s="970"/>
      <c r="R46" s="987" t="s">
        <v>767</v>
      </c>
      <c r="S46" s="991" t="s">
        <v>766</v>
      </c>
      <c r="T46" s="969">
        <v>3</v>
      </c>
      <c r="U46" s="970"/>
      <c r="V46" s="969">
        <v>0</v>
      </c>
      <c r="W46" s="970"/>
      <c r="X46" s="995"/>
      <c r="Y46" s="970"/>
      <c r="Z46" s="988"/>
      <c r="AA46" s="988"/>
      <c r="AB46" s="988">
        <f t="shared" si="3"/>
        <v>3</v>
      </c>
      <c r="AC46" s="988"/>
      <c r="AJ46" s="1047"/>
      <c r="AN46" s="873"/>
      <c r="AO46" s="873"/>
      <c r="AP46" s="875"/>
      <c r="AQ46" s="875"/>
      <c r="AR46" s="875"/>
      <c r="AS46" s="875"/>
      <c r="AT46" s="875"/>
      <c r="AU46" s="873"/>
      <c r="AV46" s="873"/>
      <c r="AW46" s="873"/>
      <c r="AX46" s="873"/>
      <c r="AY46" s="875"/>
      <c r="AZ46" s="875"/>
      <c r="BA46" s="875"/>
      <c r="BB46" s="873"/>
      <c r="BC46" s="873"/>
      <c r="BD46" s="873"/>
    </row>
    <row r="47" spans="1:56" s="913" customFormat="1" ht="20.15" customHeight="1">
      <c r="A47" s="1053"/>
      <c r="B47" s="975"/>
      <c r="C47" s="975"/>
      <c r="D47" s="975"/>
      <c r="E47" s="975"/>
      <c r="F47" s="975"/>
      <c r="G47" s="976"/>
      <c r="H47" s="988">
        <f t="shared" si="2"/>
        <v>3</v>
      </c>
      <c r="I47" s="988"/>
      <c r="J47" s="988"/>
      <c r="K47" s="988"/>
      <c r="L47" s="995"/>
      <c r="M47" s="970"/>
      <c r="N47" s="969">
        <v>0</v>
      </c>
      <c r="O47" s="970"/>
      <c r="P47" s="969">
        <v>3</v>
      </c>
      <c r="Q47" s="970"/>
      <c r="R47" s="987" t="s">
        <v>768</v>
      </c>
      <c r="S47" s="991" t="s">
        <v>769</v>
      </c>
      <c r="T47" s="969">
        <v>3</v>
      </c>
      <c r="U47" s="970"/>
      <c r="V47" s="969">
        <v>4</v>
      </c>
      <c r="W47" s="970"/>
      <c r="X47" s="995"/>
      <c r="Y47" s="970"/>
      <c r="Z47" s="988"/>
      <c r="AA47" s="988"/>
      <c r="AB47" s="988">
        <f t="shared" si="3"/>
        <v>7</v>
      </c>
      <c r="AC47" s="988"/>
      <c r="AJ47" s="1047"/>
      <c r="AN47" s="873"/>
      <c r="AO47" s="873"/>
      <c r="AP47" s="875"/>
      <c r="AQ47" s="875"/>
      <c r="AR47" s="875"/>
      <c r="AS47" s="875"/>
      <c r="AT47" s="875"/>
      <c r="AU47" s="873"/>
      <c r="AV47" s="873"/>
      <c r="AW47" s="873"/>
      <c r="AX47" s="873"/>
      <c r="AY47" s="875"/>
      <c r="AZ47" s="875"/>
      <c r="BA47" s="875"/>
      <c r="BB47" s="873"/>
      <c r="BC47" s="873"/>
      <c r="BD47" s="873"/>
    </row>
    <row r="48" spans="1:56" s="913" customFormat="1" ht="20.15" customHeight="1">
      <c r="A48" s="1053"/>
      <c r="B48" s="975"/>
      <c r="C48" s="975"/>
      <c r="D48" s="975"/>
      <c r="E48" s="975"/>
      <c r="F48" s="975"/>
      <c r="G48" s="976"/>
      <c r="H48" s="988">
        <f t="shared" si="2"/>
        <v>1</v>
      </c>
      <c r="I48" s="988"/>
      <c r="J48" s="988"/>
      <c r="K48" s="988"/>
      <c r="L48" s="995"/>
      <c r="M48" s="970"/>
      <c r="N48" s="969">
        <v>0</v>
      </c>
      <c r="O48" s="970"/>
      <c r="P48" s="969">
        <v>1</v>
      </c>
      <c r="Q48" s="970"/>
      <c r="R48" s="987" t="s">
        <v>770</v>
      </c>
      <c r="S48" s="991" t="s">
        <v>769</v>
      </c>
      <c r="T48" s="969">
        <v>0</v>
      </c>
      <c r="U48" s="970"/>
      <c r="V48" s="969">
        <v>2</v>
      </c>
      <c r="W48" s="970"/>
      <c r="X48" s="995"/>
      <c r="Y48" s="970"/>
      <c r="Z48" s="988"/>
      <c r="AA48" s="988"/>
      <c r="AB48" s="988">
        <f t="shared" si="3"/>
        <v>2</v>
      </c>
      <c r="AC48" s="988"/>
      <c r="AJ48" s="1047"/>
      <c r="AN48" s="873"/>
      <c r="AO48" s="873"/>
      <c r="AP48" s="875"/>
      <c r="AQ48" s="875"/>
      <c r="AR48" s="875"/>
      <c r="AS48" s="875"/>
      <c r="AT48" s="875"/>
      <c r="AU48" s="873"/>
      <c r="AV48" s="873"/>
      <c r="AW48" s="873"/>
      <c r="AX48" s="873"/>
      <c r="AY48" s="875"/>
      <c r="AZ48" s="875"/>
      <c r="BA48" s="875"/>
      <c r="BB48" s="873"/>
      <c r="BC48" s="873"/>
      <c r="BD48" s="873"/>
    </row>
    <row r="49" spans="1:56" s="913" customFormat="1" ht="20.15" customHeight="1">
      <c r="A49" s="1013"/>
      <c r="B49" s="982"/>
      <c r="C49" s="982"/>
      <c r="D49" s="982"/>
      <c r="E49" s="982"/>
      <c r="F49" s="982"/>
      <c r="G49" s="983"/>
      <c r="H49" s="988">
        <f t="shared" si="2"/>
        <v>0</v>
      </c>
      <c r="I49" s="988"/>
      <c r="J49" s="988"/>
      <c r="K49" s="988"/>
      <c r="L49" s="995"/>
      <c r="M49" s="970"/>
      <c r="N49" s="969">
        <v>0</v>
      </c>
      <c r="O49" s="970"/>
      <c r="P49" s="969">
        <v>0</v>
      </c>
      <c r="Q49" s="970"/>
      <c r="R49" s="987" t="s">
        <v>771</v>
      </c>
      <c r="S49" s="997" t="s">
        <v>766</v>
      </c>
      <c r="T49" s="969">
        <v>0</v>
      </c>
      <c r="U49" s="970"/>
      <c r="V49" s="969">
        <v>0</v>
      </c>
      <c r="W49" s="970"/>
      <c r="X49" s="995"/>
      <c r="Y49" s="970"/>
      <c r="Z49" s="988"/>
      <c r="AA49" s="988"/>
      <c r="AB49" s="988">
        <f t="shared" si="3"/>
        <v>0</v>
      </c>
      <c r="AC49" s="988"/>
      <c r="AD49" s="981"/>
      <c r="AE49" s="981"/>
      <c r="AF49" s="981"/>
      <c r="AG49" s="981"/>
      <c r="AH49" s="981"/>
      <c r="AI49" s="981"/>
      <c r="AJ49" s="985"/>
      <c r="AN49" s="873"/>
      <c r="AO49" s="873"/>
      <c r="AP49" s="875"/>
      <c r="AQ49" s="875"/>
      <c r="AR49" s="875"/>
      <c r="AS49" s="875"/>
      <c r="AT49" s="875"/>
      <c r="AU49" s="873"/>
      <c r="AV49" s="873"/>
      <c r="AW49" s="873"/>
      <c r="AX49" s="873"/>
      <c r="AY49" s="875"/>
      <c r="AZ49" s="875"/>
      <c r="BA49" s="875"/>
      <c r="BB49" s="873"/>
      <c r="BC49" s="873"/>
      <c r="BD49" s="873"/>
    </row>
    <row r="50" spans="1:56" s="913" customFormat="1" ht="20.15" customHeight="1">
      <c r="A50" s="1054" t="s">
        <v>698</v>
      </c>
      <c r="B50" s="995"/>
      <c r="C50" s="970"/>
      <c r="D50" s="969" t="s">
        <v>558</v>
      </c>
      <c r="E50" s="970"/>
      <c r="F50" s="969" t="s">
        <v>772</v>
      </c>
      <c r="G50" s="995"/>
      <c r="H50" s="995"/>
      <c r="I50" s="995"/>
      <c r="J50" s="995"/>
      <c r="K50" s="995"/>
      <c r="L50" s="995"/>
      <c r="M50" s="995"/>
      <c r="N50" s="995"/>
      <c r="O50" s="995"/>
      <c r="P50" s="995"/>
      <c r="Q50" s="995"/>
      <c r="R50" s="1055"/>
      <c r="S50" s="1054" t="s">
        <v>698</v>
      </c>
      <c r="T50" s="995"/>
      <c r="U50" s="970"/>
      <c r="V50" s="969" t="s">
        <v>558</v>
      </c>
      <c r="W50" s="970"/>
      <c r="X50" s="969" t="s">
        <v>772</v>
      </c>
      <c r="Y50" s="995"/>
      <c r="Z50" s="995"/>
      <c r="AA50" s="995"/>
      <c r="AB50" s="995"/>
      <c r="AC50" s="995"/>
      <c r="AD50" s="995"/>
      <c r="AE50" s="995"/>
      <c r="AF50" s="995"/>
      <c r="AG50" s="995"/>
      <c r="AH50" s="995"/>
      <c r="AI50" s="995"/>
      <c r="AJ50" s="1055"/>
      <c r="AN50" s="873"/>
      <c r="AO50" s="873"/>
      <c r="AP50" s="875"/>
      <c r="AQ50" s="875"/>
      <c r="AR50" s="875"/>
      <c r="AS50" s="875"/>
      <c r="AT50" s="875"/>
      <c r="AU50" s="873"/>
      <c r="AV50" s="873"/>
      <c r="AW50" s="873"/>
      <c r="AX50" s="873"/>
      <c r="AY50" s="875"/>
      <c r="AZ50" s="875"/>
      <c r="BA50" s="875"/>
      <c r="BB50" s="873"/>
      <c r="BC50" s="873"/>
      <c r="BD50" s="873"/>
    </row>
    <row r="51" spans="1:56" s="913" customFormat="1" ht="20.15" customHeight="1">
      <c r="A51" s="986"/>
      <c r="B51" s="1030">
        <v>10</v>
      </c>
      <c r="C51" s="991" t="s">
        <v>524</v>
      </c>
      <c r="D51" s="969">
        <v>10</v>
      </c>
      <c r="E51" s="970"/>
      <c r="F51" s="969" t="s">
        <v>773</v>
      </c>
      <c r="G51" s="995"/>
      <c r="H51" s="995"/>
      <c r="I51" s="995"/>
      <c r="J51" s="995"/>
      <c r="K51" s="995"/>
      <c r="L51" s="995"/>
      <c r="M51" s="995"/>
      <c r="N51" s="995"/>
      <c r="O51" s="995"/>
      <c r="P51" s="995"/>
      <c r="Q51" s="995"/>
      <c r="R51" s="1055"/>
      <c r="S51" s="986"/>
      <c r="T51" s="1030">
        <v>7</v>
      </c>
      <c r="U51" s="991" t="s">
        <v>524</v>
      </c>
      <c r="V51" s="969">
        <v>10</v>
      </c>
      <c r="W51" s="970"/>
      <c r="X51" s="969" t="s">
        <v>774</v>
      </c>
      <c r="Y51" s="995"/>
      <c r="Z51" s="995"/>
      <c r="AA51" s="995"/>
      <c r="AB51" s="995"/>
      <c r="AC51" s="995"/>
      <c r="AD51" s="995"/>
      <c r="AE51" s="995"/>
      <c r="AF51" s="995"/>
      <c r="AG51" s="995"/>
      <c r="AH51" s="995"/>
      <c r="AI51" s="995"/>
      <c r="AJ51" s="1055"/>
      <c r="AN51" s="873"/>
      <c r="AO51" s="873"/>
      <c r="AP51" s="875"/>
      <c r="AQ51" s="875"/>
      <c r="AR51" s="875"/>
      <c r="AS51" s="875"/>
      <c r="AT51" s="875"/>
      <c r="AU51" s="873"/>
      <c r="AV51" s="873"/>
      <c r="AW51" s="873"/>
      <c r="AX51" s="873"/>
      <c r="AY51" s="875"/>
      <c r="AZ51" s="875"/>
      <c r="BA51" s="875"/>
      <c r="BB51" s="873"/>
      <c r="BC51" s="873"/>
      <c r="BD51" s="873"/>
    </row>
    <row r="52" spans="1:56" s="913" customFormat="1" ht="20.15" customHeight="1">
      <c r="A52" s="986"/>
      <c r="B52" s="1030">
        <v>17</v>
      </c>
      <c r="C52" s="991" t="s">
        <v>524</v>
      </c>
      <c r="D52" s="969">
        <v>11</v>
      </c>
      <c r="E52" s="970"/>
      <c r="F52" s="969" t="s">
        <v>775</v>
      </c>
      <c r="G52" s="995"/>
      <c r="H52" s="995"/>
      <c r="I52" s="995"/>
      <c r="J52" s="995"/>
      <c r="K52" s="995"/>
      <c r="L52" s="995"/>
      <c r="M52" s="995"/>
      <c r="N52" s="995"/>
      <c r="O52" s="995"/>
      <c r="P52" s="995"/>
      <c r="Q52" s="995"/>
      <c r="R52" s="1055"/>
      <c r="S52" s="986"/>
      <c r="T52" s="1030"/>
      <c r="U52" s="991" t="s">
        <v>524</v>
      </c>
      <c r="V52" s="969"/>
      <c r="W52" s="970"/>
      <c r="X52" s="969"/>
      <c r="Y52" s="995"/>
      <c r="Z52" s="995"/>
      <c r="AA52" s="995"/>
      <c r="AB52" s="995"/>
      <c r="AC52" s="995"/>
      <c r="AD52" s="995"/>
      <c r="AE52" s="995"/>
      <c r="AF52" s="995"/>
      <c r="AG52" s="995"/>
      <c r="AH52" s="995"/>
      <c r="AI52" s="995"/>
      <c r="AJ52" s="1055"/>
      <c r="AN52" s="873"/>
      <c r="AO52" s="873"/>
      <c r="AP52" s="875"/>
      <c r="AQ52" s="875"/>
      <c r="AR52" s="875"/>
      <c r="AS52" s="875"/>
      <c r="AT52" s="875"/>
      <c r="AU52" s="873"/>
      <c r="AV52" s="873"/>
      <c r="AW52" s="873"/>
      <c r="AX52" s="873"/>
      <c r="AY52" s="875"/>
      <c r="AZ52" s="875"/>
      <c r="BA52" s="875"/>
      <c r="BB52" s="873"/>
      <c r="BC52" s="873"/>
      <c r="BD52" s="873"/>
    </row>
    <row r="53" spans="1:56" s="913" customFormat="1" ht="20.15" customHeight="1">
      <c r="A53" s="986"/>
      <c r="B53" s="1030"/>
      <c r="C53" s="991" t="s">
        <v>524</v>
      </c>
      <c r="D53" s="969"/>
      <c r="E53" s="970"/>
      <c r="F53" s="969"/>
      <c r="G53" s="995"/>
      <c r="H53" s="995"/>
      <c r="I53" s="995"/>
      <c r="J53" s="995"/>
      <c r="K53" s="995"/>
      <c r="L53" s="995"/>
      <c r="M53" s="995"/>
      <c r="N53" s="995"/>
      <c r="O53" s="995"/>
      <c r="P53" s="995"/>
      <c r="Q53" s="995"/>
      <c r="R53" s="1055"/>
      <c r="S53" s="986"/>
      <c r="T53" s="1030"/>
      <c r="U53" s="991" t="s">
        <v>524</v>
      </c>
      <c r="V53" s="969"/>
      <c r="W53" s="970"/>
      <c r="X53" s="969"/>
      <c r="Y53" s="995"/>
      <c r="Z53" s="995"/>
      <c r="AA53" s="995"/>
      <c r="AB53" s="995"/>
      <c r="AC53" s="995"/>
      <c r="AD53" s="995"/>
      <c r="AE53" s="995"/>
      <c r="AF53" s="995"/>
      <c r="AG53" s="995"/>
      <c r="AH53" s="995"/>
      <c r="AI53" s="995"/>
      <c r="AJ53" s="1055"/>
      <c r="AN53" s="873"/>
      <c r="AO53" s="873"/>
      <c r="AP53" s="875"/>
      <c r="AQ53" s="875"/>
      <c r="AR53" s="875"/>
      <c r="AS53" s="875"/>
      <c r="AT53" s="875"/>
      <c r="AU53" s="873"/>
      <c r="AV53" s="873"/>
      <c r="AW53" s="873"/>
      <c r="AX53" s="873"/>
      <c r="AY53" s="875"/>
      <c r="AZ53" s="875"/>
      <c r="BA53" s="875"/>
      <c r="BB53" s="873"/>
      <c r="BC53" s="873"/>
      <c r="BD53" s="873"/>
    </row>
    <row r="54" spans="1:56" s="913" customFormat="1" ht="20.15" customHeight="1">
      <c r="A54" s="986"/>
      <c r="B54" s="1030"/>
      <c r="C54" s="991" t="s">
        <v>524</v>
      </c>
      <c r="D54" s="969"/>
      <c r="E54" s="970"/>
      <c r="F54" s="969"/>
      <c r="G54" s="995"/>
      <c r="H54" s="995"/>
      <c r="I54" s="995"/>
      <c r="J54" s="995"/>
      <c r="K54" s="995"/>
      <c r="L54" s="995"/>
      <c r="M54" s="995"/>
      <c r="N54" s="995"/>
      <c r="O54" s="995"/>
      <c r="P54" s="995"/>
      <c r="Q54" s="995"/>
      <c r="R54" s="1055"/>
      <c r="S54" s="986"/>
      <c r="T54" s="1030"/>
      <c r="U54" s="991" t="s">
        <v>524</v>
      </c>
      <c r="V54" s="969"/>
      <c r="W54" s="970"/>
      <c r="X54" s="969"/>
      <c r="Y54" s="995"/>
      <c r="Z54" s="995"/>
      <c r="AA54" s="995"/>
      <c r="AB54" s="995"/>
      <c r="AC54" s="995"/>
      <c r="AD54" s="995"/>
      <c r="AE54" s="995"/>
      <c r="AF54" s="995"/>
      <c r="AG54" s="995"/>
      <c r="AH54" s="995"/>
      <c r="AI54" s="995"/>
      <c r="AJ54" s="1055"/>
      <c r="AN54" s="873"/>
      <c r="AO54" s="873"/>
      <c r="AP54" s="875"/>
      <c r="AQ54" s="875"/>
      <c r="AR54" s="875"/>
      <c r="AS54" s="875"/>
      <c r="AT54" s="875"/>
      <c r="AU54" s="873"/>
      <c r="AV54" s="873"/>
      <c r="AW54" s="873"/>
      <c r="AX54" s="873"/>
      <c r="AY54" s="875"/>
      <c r="AZ54" s="875"/>
      <c r="BA54" s="875"/>
      <c r="BB54" s="873"/>
      <c r="BC54" s="873"/>
      <c r="BD54" s="873"/>
    </row>
    <row r="55" spans="1:56" s="913" customFormat="1" ht="20.15" customHeight="1">
      <c r="A55" s="986"/>
      <c r="B55" s="1030"/>
      <c r="C55" s="991" t="s">
        <v>524</v>
      </c>
      <c r="D55" s="969"/>
      <c r="E55" s="970"/>
      <c r="F55" s="969"/>
      <c r="G55" s="995"/>
      <c r="H55" s="995"/>
      <c r="I55" s="995"/>
      <c r="J55" s="995"/>
      <c r="K55" s="995"/>
      <c r="L55" s="995"/>
      <c r="M55" s="995"/>
      <c r="N55" s="995"/>
      <c r="O55" s="995"/>
      <c r="P55" s="995"/>
      <c r="Q55" s="995"/>
      <c r="R55" s="1055"/>
      <c r="S55" s="986"/>
      <c r="T55" s="1030"/>
      <c r="U55" s="991" t="s">
        <v>524</v>
      </c>
      <c r="V55" s="969"/>
      <c r="W55" s="970"/>
      <c r="X55" s="969"/>
      <c r="Y55" s="995"/>
      <c r="Z55" s="995"/>
      <c r="AA55" s="995"/>
      <c r="AB55" s="995"/>
      <c r="AC55" s="995"/>
      <c r="AD55" s="995"/>
      <c r="AE55" s="995"/>
      <c r="AF55" s="995"/>
      <c r="AG55" s="995"/>
      <c r="AH55" s="995"/>
      <c r="AI55" s="995"/>
      <c r="AJ55" s="1055"/>
      <c r="AN55" s="873"/>
      <c r="AO55" s="873"/>
      <c r="AP55" s="875"/>
      <c r="AQ55" s="875"/>
      <c r="AR55" s="875"/>
      <c r="AS55" s="875"/>
      <c r="AT55" s="875"/>
      <c r="AU55" s="873"/>
      <c r="AV55" s="873"/>
      <c r="AW55" s="873"/>
      <c r="AX55" s="873"/>
      <c r="AY55" s="875"/>
      <c r="AZ55" s="875"/>
      <c r="BA55" s="875"/>
      <c r="BB55" s="873"/>
      <c r="BC55" s="873"/>
      <c r="BD55" s="873"/>
    </row>
    <row r="56" spans="1:56" s="913" customFormat="1" ht="20.15" customHeight="1">
      <c r="A56" s="986"/>
      <c r="B56" s="1030"/>
      <c r="C56" s="991" t="s">
        <v>524</v>
      </c>
      <c r="D56" s="969"/>
      <c r="E56" s="970"/>
      <c r="F56" s="969"/>
      <c r="G56" s="995"/>
      <c r="H56" s="995"/>
      <c r="I56" s="995"/>
      <c r="J56" s="995"/>
      <c r="K56" s="995"/>
      <c r="L56" s="995"/>
      <c r="M56" s="995"/>
      <c r="N56" s="995"/>
      <c r="O56" s="995"/>
      <c r="P56" s="995"/>
      <c r="Q56" s="995"/>
      <c r="R56" s="1055"/>
      <c r="S56" s="986"/>
      <c r="T56" s="1030"/>
      <c r="U56" s="991" t="s">
        <v>524</v>
      </c>
      <c r="V56" s="969"/>
      <c r="W56" s="970"/>
      <c r="X56" s="969"/>
      <c r="Y56" s="995"/>
      <c r="Z56" s="995"/>
      <c r="AA56" s="995"/>
      <c r="AB56" s="995"/>
      <c r="AC56" s="995"/>
      <c r="AD56" s="995"/>
      <c r="AE56" s="995"/>
      <c r="AF56" s="995"/>
      <c r="AG56" s="995"/>
      <c r="AH56" s="995"/>
      <c r="AI56" s="995"/>
      <c r="AJ56" s="1055"/>
      <c r="AN56" s="873"/>
      <c r="AO56" s="873"/>
      <c r="AP56" s="875"/>
      <c r="AQ56" s="875"/>
      <c r="AR56" s="875"/>
      <c r="AS56" s="875"/>
      <c r="AT56" s="875"/>
      <c r="AU56" s="873"/>
      <c r="AV56" s="873"/>
      <c r="AW56" s="873"/>
      <c r="AX56" s="873"/>
      <c r="AY56" s="875"/>
      <c r="AZ56" s="875"/>
      <c r="BA56" s="875"/>
      <c r="BB56" s="873"/>
      <c r="BC56" s="873"/>
      <c r="BD56" s="873"/>
    </row>
    <row r="57" spans="1:56" s="913" customFormat="1" ht="20.15" customHeight="1">
      <c r="A57" s="1056" t="s">
        <v>776</v>
      </c>
      <c r="B57" s="1057"/>
      <c r="C57" s="1058"/>
      <c r="D57" s="1059" t="s">
        <v>777</v>
      </c>
      <c r="E57" s="1059"/>
      <c r="F57" s="1059"/>
      <c r="G57" s="1058"/>
      <c r="H57" s="1059" t="s">
        <v>778</v>
      </c>
      <c r="I57" s="1059"/>
      <c r="J57" s="1058" t="s">
        <v>779</v>
      </c>
      <c r="K57" s="1058"/>
      <c r="L57" s="1059" t="s">
        <v>780</v>
      </c>
      <c r="M57" s="1059"/>
      <c r="N57" s="1059"/>
      <c r="O57" s="1058" t="s">
        <v>759</v>
      </c>
      <c r="P57" s="1058"/>
      <c r="Q57" s="1059" t="s">
        <v>781</v>
      </c>
      <c r="R57" s="1059"/>
      <c r="S57" s="1058" t="s">
        <v>782</v>
      </c>
      <c r="T57" s="1058"/>
      <c r="U57" s="1059" t="s">
        <v>783</v>
      </c>
      <c r="V57" s="1059"/>
      <c r="W57" s="1058" t="s">
        <v>408</v>
      </c>
      <c r="X57" s="1058"/>
      <c r="Y57" s="1059" t="s">
        <v>784</v>
      </c>
      <c r="Z57" s="1059"/>
      <c r="AA57" s="1059"/>
      <c r="AB57" s="1058" t="s">
        <v>785</v>
      </c>
      <c r="AC57" s="1058"/>
      <c r="AD57" s="1059" t="s">
        <v>786</v>
      </c>
      <c r="AE57" s="1059"/>
      <c r="AF57" s="1058" t="s">
        <v>787</v>
      </c>
      <c r="AG57" s="1058"/>
      <c r="AH57" s="1058"/>
      <c r="AI57" s="1058"/>
      <c r="AJ57" s="1060"/>
      <c r="AN57" s="873"/>
      <c r="AO57" s="873"/>
      <c r="AP57" s="875"/>
      <c r="AQ57" s="875"/>
      <c r="AR57" s="875"/>
      <c r="AS57" s="875"/>
      <c r="AT57" s="875"/>
      <c r="AU57" s="873"/>
      <c r="AV57" s="873"/>
      <c r="AW57" s="873"/>
      <c r="AX57" s="873"/>
      <c r="AY57" s="875"/>
      <c r="AZ57" s="875"/>
      <c r="BA57" s="875"/>
      <c r="BB57" s="873"/>
      <c r="BC57" s="873"/>
      <c r="BD57" s="873"/>
    </row>
    <row r="58" spans="1:36" s="1062" customFormat="1" ht="20.15" customHeight="1">
      <c r="A58" s="1061" t="s">
        <v>788</v>
      </c>
      <c r="B58" s="1061"/>
      <c r="C58" s="1061"/>
      <c r="D58" s="1061"/>
      <c r="E58" s="1061"/>
      <c r="F58" s="1061"/>
      <c r="G58" s="1061"/>
      <c r="H58" s="1061"/>
      <c r="I58" s="1061"/>
      <c r="J58" s="1061"/>
      <c r="K58" s="1061"/>
      <c r="L58" s="1061"/>
      <c r="M58" s="1061"/>
      <c r="N58" s="1061"/>
      <c r="O58" s="1061"/>
      <c r="P58" s="1061"/>
      <c r="Q58" s="1061"/>
      <c r="R58" s="1061"/>
      <c r="S58" s="1061"/>
      <c r="T58" s="1061"/>
      <c r="U58" s="1061"/>
      <c r="V58" s="1061"/>
      <c r="W58" s="1061"/>
      <c r="X58" s="1061"/>
      <c r="Y58" s="1061"/>
      <c r="Z58" s="1061"/>
      <c r="AA58" s="1061"/>
      <c r="AB58" s="1061"/>
      <c r="AC58" s="1061"/>
      <c r="AD58" s="1061"/>
      <c r="AE58" s="1061"/>
      <c r="AF58" s="1061"/>
      <c r="AG58" s="1061"/>
      <c r="AH58" s="1061"/>
      <c r="AI58" s="1061"/>
      <c r="AJ58" s="1061"/>
    </row>
    <row r="59" spans="1:36" s="1062" customFormat="1" ht="20.15" customHeight="1">
      <c r="A59" s="1063" t="s">
        <v>789</v>
      </c>
      <c r="B59" s="1063"/>
      <c r="C59" s="1063"/>
      <c r="D59" s="1063"/>
      <c r="E59" s="1063"/>
      <c r="F59" s="1063"/>
      <c r="G59" s="1063"/>
      <c r="H59" s="1063"/>
      <c r="I59" s="1063"/>
      <c r="J59" s="1063"/>
      <c r="K59" s="1063"/>
      <c r="L59" s="1063"/>
      <c r="M59" s="1063"/>
      <c r="N59" s="1063"/>
      <c r="O59" s="1063"/>
      <c r="P59" s="1063"/>
      <c r="Q59" s="1063"/>
      <c r="R59" s="1063"/>
      <c r="S59" s="1063"/>
      <c r="T59" s="1063"/>
      <c r="U59" s="1063"/>
      <c r="V59" s="1063"/>
      <c r="W59" s="1063"/>
      <c r="X59" s="1063"/>
      <c r="Y59" s="1063"/>
      <c r="Z59" s="1063"/>
      <c r="AA59" s="1063"/>
      <c r="AB59" s="1063"/>
      <c r="AC59" s="1063"/>
      <c r="AD59" s="1063"/>
      <c r="AE59" s="1063"/>
      <c r="AF59" s="1063"/>
      <c r="AG59" s="1063"/>
      <c r="AH59" s="1063"/>
      <c r="AI59" s="1063"/>
      <c r="AJ59" s="1063"/>
    </row>
    <row r="60" spans="1:36" s="1065" customFormat="1" ht="18.75" customHeight="1" hidden="1">
      <c r="A60" s="1064"/>
      <c r="B60" s="1064"/>
      <c r="C60" s="1064"/>
      <c r="D60" s="1064"/>
      <c r="E60" s="1064"/>
      <c r="F60" s="1064"/>
      <c r="G60" s="1064"/>
      <c r="H60" s="1064"/>
      <c r="I60" s="1064"/>
      <c r="J60" s="1064"/>
      <c r="K60" s="1064"/>
      <c r="L60" s="1064"/>
      <c r="M60" s="1064"/>
      <c r="N60" s="1064"/>
      <c r="O60" s="1064"/>
      <c r="P60" s="1064"/>
      <c r="Q60" s="1064"/>
      <c r="R60" s="1064"/>
      <c r="S60" s="1064"/>
      <c r="T60" s="1064"/>
      <c r="U60" s="1064"/>
      <c r="V60" s="1064"/>
      <c r="W60" s="1064"/>
      <c r="X60" s="1064"/>
      <c r="Y60" s="1064"/>
      <c r="Z60" s="1064"/>
      <c r="AA60" s="1064"/>
      <c r="AB60" s="1064"/>
      <c r="AC60" s="1064"/>
      <c r="AD60" s="1064"/>
      <c r="AE60" s="1064"/>
      <c r="AF60" s="1064"/>
      <c r="AG60" s="1064"/>
      <c r="AH60" s="1064"/>
      <c r="AI60" s="1064"/>
      <c r="AJ60" s="1064"/>
    </row>
    <row r="61" spans="1:36" s="1071" customFormat="1" ht="20.15" customHeight="1" hidden="1">
      <c r="A61" s="1066" t="s">
        <v>790</v>
      </c>
      <c r="B61" s="1067"/>
      <c r="C61" s="1067"/>
      <c r="D61" s="1067"/>
      <c r="E61" s="1068" t="s">
        <v>294</v>
      </c>
      <c r="F61" s="1067"/>
      <c r="G61" s="1067"/>
      <c r="H61" s="1067"/>
      <c r="I61" s="1067"/>
      <c r="J61" s="1067"/>
      <c r="K61" s="1068" t="s">
        <v>549</v>
      </c>
      <c r="L61" s="1067" t="s">
        <v>791</v>
      </c>
      <c r="M61" s="1067"/>
      <c r="N61" s="1067"/>
      <c r="O61" s="1067"/>
      <c r="P61" s="1067"/>
      <c r="Q61" s="1067"/>
      <c r="R61" s="1067"/>
      <c r="S61" s="1068" t="s">
        <v>294</v>
      </c>
      <c r="T61" s="1069"/>
      <c r="U61" s="1069"/>
      <c r="V61" s="1069"/>
      <c r="W61" s="1069"/>
      <c r="X61" s="1069"/>
      <c r="Y61" s="1069"/>
      <c r="Z61" s="1069"/>
      <c r="AA61" s="1069"/>
      <c r="AB61" s="1069"/>
      <c r="AC61" s="1069"/>
      <c r="AD61" s="1069"/>
      <c r="AE61" s="1069"/>
      <c r="AF61" s="1069"/>
      <c r="AG61" s="1069"/>
      <c r="AH61" s="1069"/>
      <c r="AI61" s="1068" t="s">
        <v>792</v>
      </c>
      <c r="AJ61" s="1070"/>
    </row>
    <row r="62" spans="1:36" s="1065" customFormat="1" ht="20.15" customHeight="1" hidden="1">
      <c r="A62" s="1072"/>
      <c r="B62" s="1073"/>
      <c r="C62" s="1073"/>
      <c r="D62" s="1073"/>
      <c r="E62" s="1073"/>
      <c r="F62" s="1073"/>
      <c r="G62" s="1073"/>
      <c r="H62" s="1073"/>
      <c r="I62" s="1073"/>
      <c r="J62" s="1073"/>
      <c r="K62" s="1073"/>
      <c r="L62" s="1073"/>
      <c r="M62" s="1073"/>
      <c r="N62" s="1073"/>
      <c r="O62" s="1073"/>
      <c r="P62" s="1073"/>
      <c r="Q62" s="1073"/>
      <c r="R62" s="1073"/>
      <c r="S62" s="1073"/>
      <c r="T62" s="1073"/>
      <c r="U62" s="1073"/>
      <c r="V62" s="1073"/>
      <c r="W62" s="1073"/>
      <c r="X62" s="1073"/>
      <c r="Y62" s="1073"/>
      <c r="Z62" s="1073"/>
      <c r="AA62" s="1073"/>
      <c r="AB62" s="1073"/>
      <c r="AC62" s="1073"/>
      <c r="AD62" s="1073"/>
      <c r="AE62" s="1073"/>
      <c r="AF62" s="1073"/>
      <c r="AG62" s="1073"/>
      <c r="AH62" s="1073"/>
      <c r="AI62" s="1073"/>
      <c r="AJ62" s="1074"/>
    </row>
    <row r="63" spans="1:36" s="1065" customFormat="1" ht="20.15" customHeight="1" hidden="1">
      <c r="A63" s="1075"/>
      <c r="B63" s="1076"/>
      <c r="C63" s="1076"/>
      <c r="D63" s="1076"/>
      <c r="E63" s="1076"/>
      <c r="F63" s="1076"/>
      <c r="G63" s="1076"/>
      <c r="H63" s="1076"/>
      <c r="I63" s="1076"/>
      <c r="J63" s="1076"/>
      <c r="K63" s="1076"/>
      <c r="L63" s="1076"/>
      <c r="M63" s="1076"/>
      <c r="N63" s="1076"/>
      <c r="O63" s="1076"/>
      <c r="P63" s="1076"/>
      <c r="Q63" s="1076"/>
      <c r="R63" s="1076"/>
      <c r="S63" s="1076"/>
      <c r="T63" s="1076"/>
      <c r="U63" s="1076"/>
      <c r="V63" s="1076"/>
      <c r="W63" s="1076"/>
      <c r="X63" s="1076"/>
      <c r="Y63" s="1076"/>
      <c r="Z63" s="1076"/>
      <c r="AA63" s="1076"/>
      <c r="AB63" s="1076"/>
      <c r="AC63" s="1076"/>
      <c r="AD63" s="1076"/>
      <c r="AE63" s="1076"/>
      <c r="AF63" s="1076"/>
      <c r="AG63" s="1076"/>
      <c r="AH63" s="1076"/>
      <c r="AI63" s="1076"/>
      <c r="AJ63" s="1077"/>
    </row>
    <row r="64" spans="1:36" s="1065" customFormat="1" ht="20.15" customHeight="1" hidden="1">
      <c r="A64" s="1075"/>
      <c r="B64" s="1076"/>
      <c r="C64" s="1076"/>
      <c r="D64" s="1076"/>
      <c r="E64" s="1076"/>
      <c r="F64" s="1076"/>
      <c r="G64" s="1076"/>
      <c r="H64" s="1076"/>
      <c r="I64" s="1076"/>
      <c r="J64" s="1076"/>
      <c r="K64" s="1076"/>
      <c r="L64" s="1076"/>
      <c r="M64" s="1076"/>
      <c r="N64" s="1076"/>
      <c r="O64" s="1076"/>
      <c r="P64" s="1076"/>
      <c r="Q64" s="1076"/>
      <c r="R64" s="1076"/>
      <c r="S64" s="1076"/>
      <c r="T64" s="1076"/>
      <c r="U64" s="1076"/>
      <c r="V64" s="1076"/>
      <c r="W64" s="1076"/>
      <c r="X64" s="1076"/>
      <c r="Y64" s="1076"/>
      <c r="Z64" s="1076"/>
      <c r="AA64" s="1076"/>
      <c r="AB64" s="1076"/>
      <c r="AC64" s="1076"/>
      <c r="AD64" s="1076"/>
      <c r="AE64" s="1076"/>
      <c r="AF64" s="1076"/>
      <c r="AG64" s="1076"/>
      <c r="AH64" s="1076"/>
      <c r="AI64" s="1076"/>
      <c r="AJ64" s="1077"/>
    </row>
    <row r="65" spans="1:36" s="1065" customFormat="1" ht="20.15" customHeight="1" hidden="1">
      <c r="A65" s="1075"/>
      <c r="B65" s="1076"/>
      <c r="C65" s="1076"/>
      <c r="D65" s="1076"/>
      <c r="E65" s="1076"/>
      <c r="F65" s="1076"/>
      <c r="G65" s="1076"/>
      <c r="H65" s="1076"/>
      <c r="I65" s="1076"/>
      <c r="J65" s="1076"/>
      <c r="K65" s="1076"/>
      <c r="L65" s="1076"/>
      <c r="M65" s="1076"/>
      <c r="N65" s="1076"/>
      <c r="O65" s="1076"/>
      <c r="P65" s="1076"/>
      <c r="Q65" s="1076"/>
      <c r="R65" s="1076"/>
      <c r="S65" s="1076"/>
      <c r="T65" s="1076"/>
      <c r="U65" s="1076"/>
      <c r="V65" s="1076"/>
      <c r="W65" s="1076"/>
      <c r="X65" s="1076"/>
      <c r="Y65" s="1076"/>
      <c r="Z65" s="1076"/>
      <c r="AA65" s="1076"/>
      <c r="AB65" s="1076"/>
      <c r="AC65" s="1076"/>
      <c r="AD65" s="1076"/>
      <c r="AE65" s="1076"/>
      <c r="AF65" s="1076"/>
      <c r="AG65" s="1076"/>
      <c r="AH65" s="1076"/>
      <c r="AI65" s="1076"/>
      <c r="AJ65" s="1077"/>
    </row>
    <row r="66" spans="1:36" s="1065" customFormat="1" ht="20.15" customHeight="1" hidden="1">
      <c r="A66" s="1075"/>
      <c r="B66" s="1076"/>
      <c r="C66" s="1076"/>
      <c r="D66" s="1076"/>
      <c r="E66" s="1076"/>
      <c r="F66" s="1076"/>
      <c r="G66" s="1076"/>
      <c r="H66" s="1076"/>
      <c r="I66" s="1076"/>
      <c r="J66" s="1076"/>
      <c r="K66" s="1076"/>
      <c r="L66" s="1076"/>
      <c r="M66" s="1076"/>
      <c r="N66" s="1076"/>
      <c r="O66" s="1076"/>
      <c r="P66" s="1076"/>
      <c r="Q66" s="1076"/>
      <c r="R66" s="1076"/>
      <c r="S66" s="1076"/>
      <c r="T66" s="1076"/>
      <c r="U66" s="1076"/>
      <c r="V66" s="1076"/>
      <c r="W66" s="1076"/>
      <c r="X66" s="1076"/>
      <c r="Y66" s="1076"/>
      <c r="Z66" s="1076"/>
      <c r="AA66" s="1076"/>
      <c r="AB66" s="1076"/>
      <c r="AC66" s="1076"/>
      <c r="AD66" s="1076"/>
      <c r="AE66" s="1076"/>
      <c r="AF66" s="1076"/>
      <c r="AG66" s="1076"/>
      <c r="AH66" s="1076"/>
      <c r="AI66" s="1076"/>
      <c r="AJ66" s="1077"/>
    </row>
    <row r="67" spans="1:36" s="1065" customFormat="1" ht="20.15" customHeight="1" hidden="1">
      <c r="A67" s="1075"/>
      <c r="B67" s="1076"/>
      <c r="C67" s="1076"/>
      <c r="D67" s="1076"/>
      <c r="E67" s="1076"/>
      <c r="F67" s="1076"/>
      <c r="G67" s="1076"/>
      <c r="H67" s="1076"/>
      <c r="I67" s="1076"/>
      <c r="J67" s="1076"/>
      <c r="K67" s="1076"/>
      <c r="L67" s="1076"/>
      <c r="M67" s="1076"/>
      <c r="N67" s="1076"/>
      <c r="O67" s="1076"/>
      <c r="P67" s="1076"/>
      <c r="Q67" s="1076"/>
      <c r="R67" s="1076"/>
      <c r="S67" s="1076"/>
      <c r="T67" s="1076"/>
      <c r="U67" s="1076"/>
      <c r="V67" s="1076"/>
      <c r="W67" s="1076"/>
      <c r="X67" s="1076"/>
      <c r="Y67" s="1076"/>
      <c r="Z67" s="1076"/>
      <c r="AA67" s="1076"/>
      <c r="AB67" s="1076"/>
      <c r="AC67" s="1076"/>
      <c r="AD67" s="1076"/>
      <c r="AE67" s="1076"/>
      <c r="AF67" s="1076"/>
      <c r="AG67" s="1076"/>
      <c r="AH67" s="1076"/>
      <c r="AI67" s="1076"/>
      <c r="AJ67" s="1077"/>
    </row>
    <row r="68" spans="1:36" s="1065" customFormat="1" ht="20.15" customHeight="1" hidden="1">
      <c r="A68" s="1078"/>
      <c r="B68" s="1079"/>
      <c r="C68" s="1079"/>
      <c r="D68" s="1079"/>
      <c r="E68" s="1079"/>
      <c r="F68" s="1079"/>
      <c r="G68" s="1079"/>
      <c r="H68" s="1079"/>
      <c r="I68" s="1079"/>
      <c r="J68" s="1079"/>
      <c r="K68" s="1079"/>
      <c r="L68" s="1079"/>
      <c r="M68" s="1079"/>
      <c r="N68" s="1079"/>
      <c r="O68" s="1079"/>
      <c r="P68" s="1079"/>
      <c r="Q68" s="1079"/>
      <c r="R68" s="1079"/>
      <c r="S68" s="1079"/>
      <c r="T68" s="1079"/>
      <c r="U68" s="1079"/>
      <c r="V68" s="1079"/>
      <c r="W68" s="1079"/>
      <c r="X68" s="1079"/>
      <c r="Y68" s="1079"/>
      <c r="Z68" s="1079"/>
      <c r="AA68" s="1079"/>
      <c r="AB68" s="1079"/>
      <c r="AC68" s="1079"/>
      <c r="AD68" s="1079"/>
      <c r="AE68" s="1079"/>
      <c r="AF68" s="1079"/>
      <c r="AG68" s="1079"/>
      <c r="AH68" s="1079"/>
      <c r="AI68" s="1079"/>
      <c r="AJ68" s="1080"/>
    </row>
    <row r="69" s="1065" customFormat="1" ht="13.5"/>
    <row r="70" spans="9:36" s="1081" customFormat="1" ht="16.75">
      <c r="I70" s="1082" t="s">
        <v>793</v>
      </c>
      <c r="J70" s="1082"/>
      <c r="K70" s="1082"/>
      <c r="L70" s="1082"/>
      <c r="M70" s="1082"/>
      <c r="N70" s="1082"/>
      <c r="O70" s="1082"/>
      <c r="P70" s="1082" t="s">
        <v>311</v>
      </c>
      <c r="Q70" s="1082"/>
      <c r="R70" s="1082"/>
      <c r="S70" s="1082"/>
      <c r="T70" s="1082"/>
      <c r="U70" s="1082"/>
      <c r="V70" s="1082"/>
      <c r="W70" s="1083" t="s">
        <v>794</v>
      </c>
      <c r="X70" s="1084"/>
      <c r="Y70" s="1084"/>
      <c r="Z70" s="1084"/>
      <c r="AA70" s="1084"/>
      <c r="AB70" s="1084"/>
      <c r="AC70" s="1085"/>
      <c r="AD70" s="1083" t="s">
        <v>795</v>
      </c>
      <c r="AE70" s="1084"/>
      <c r="AF70" s="1084"/>
      <c r="AG70" s="1084"/>
      <c r="AH70" s="1084"/>
      <c r="AI70" s="1084"/>
      <c r="AJ70" s="1085"/>
    </row>
    <row r="71" spans="9:36" s="1086" customFormat="1" ht="13.5" customHeight="1">
      <c r="I71" s="1087" t="s">
        <v>572</v>
      </c>
      <c r="J71" s="1087"/>
      <c r="K71" s="1087"/>
      <c r="L71" s="1087"/>
      <c r="M71" s="1087"/>
      <c r="N71" s="1087"/>
      <c r="O71" s="1087"/>
      <c r="P71" s="1087" t="s">
        <v>571</v>
      </c>
      <c r="Q71" s="1087"/>
      <c r="R71" s="1087"/>
      <c r="S71" s="1087"/>
      <c r="T71" s="1087"/>
      <c r="U71" s="1087"/>
      <c r="V71" s="1087"/>
      <c r="W71" s="1088" t="s">
        <v>583</v>
      </c>
      <c r="X71" s="1089"/>
      <c r="Y71" s="1089"/>
      <c r="Z71" s="1089"/>
      <c r="AA71" s="1089"/>
      <c r="AB71" s="1089"/>
      <c r="AC71" s="1090"/>
      <c r="AD71" s="1088" t="s">
        <v>720</v>
      </c>
      <c r="AE71" s="1089"/>
      <c r="AF71" s="1089"/>
      <c r="AG71" s="1089"/>
      <c r="AH71" s="1089"/>
      <c r="AI71" s="1089"/>
      <c r="AJ71" s="1090"/>
    </row>
    <row r="72" spans="9:36" s="1086" customFormat="1" ht="13.5" customHeight="1">
      <c r="I72" s="1087"/>
      <c r="J72" s="1087"/>
      <c r="K72" s="1087"/>
      <c r="L72" s="1087"/>
      <c r="M72" s="1087"/>
      <c r="N72" s="1087"/>
      <c r="O72" s="1087"/>
      <c r="P72" s="1087"/>
      <c r="Q72" s="1087"/>
      <c r="R72" s="1087"/>
      <c r="S72" s="1087"/>
      <c r="T72" s="1087"/>
      <c r="U72" s="1087"/>
      <c r="V72" s="1087"/>
      <c r="W72" s="1091"/>
      <c r="X72" s="1092"/>
      <c r="Y72" s="1092"/>
      <c r="Z72" s="1092"/>
      <c r="AA72" s="1092"/>
      <c r="AB72" s="1092"/>
      <c r="AC72" s="1093"/>
      <c r="AD72" s="1091"/>
      <c r="AE72" s="1092"/>
      <c r="AF72" s="1092"/>
      <c r="AG72" s="1092"/>
      <c r="AH72" s="1092"/>
      <c r="AI72" s="1092"/>
      <c r="AJ72" s="1093"/>
    </row>
    <row r="73" spans="9:36" s="1086" customFormat="1" ht="13.5" customHeight="1">
      <c r="I73" s="1087"/>
      <c r="J73" s="1087"/>
      <c r="K73" s="1087"/>
      <c r="L73" s="1087"/>
      <c r="M73" s="1087"/>
      <c r="N73" s="1087"/>
      <c r="O73" s="1087"/>
      <c r="P73" s="1087"/>
      <c r="Q73" s="1087"/>
      <c r="R73" s="1087"/>
      <c r="S73" s="1087"/>
      <c r="T73" s="1087"/>
      <c r="U73" s="1087"/>
      <c r="V73" s="1087"/>
      <c r="W73" s="1094"/>
      <c r="X73" s="1095"/>
      <c r="Y73" s="1095"/>
      <c r="Z73" s="1095"/>
      <c r="AA73" s="1095"/>
      <c r="AB73" s="1095"/>
      <c r="AC73" s="1096"/>
      <c r="AD73" s="1094"/>
      <c r="AE73" s="1095"/>
      <c r="AF73" s="1095"/>
      <c r="AG73" s="1095"/>
      <c r="AH73" s="1095"/>
      <c r="AI73" s="1095"/>
      <c r="AJ73" s="1096"/>
    </row>
  </sheetData>
  <mergeCells count="273">
    <mergeCell ref="A1:F1"/>
    <mergeCell ref="G1:J1"/>
    <mergeCell ref="K1:L1"/>
    <mergeCell ref="A2:B2"/>
    <mergeCell ref="C2:N4"/>
    <mergeCell ref="P2:Q2"/>
    <mergeCell ref="AC2:AD3"/>
    <mergeCell ref="AF2:AJ2"/>
    <mergeCell ref="A3:B3"/>
    <mergeCell ref="O3:P3"/>
    <mergeCell ref="Q3:R3"/>
    <mergeCell ref="S3:AA3"/>
    <mergeCell ref="AF3:AJ3"/>
    <mergeCell ref="A4:B4"/>
    <mergeCell ref="O4:P4"/>
    <mergeCell ref="Q4:R4"/>
    <mergeCell ref="S4:AA4"/>
    <mergeCell ref="AC4:AD4"/>
    <mergeCell ref="AF4:AJ4"/>
    <mergeCell ref="A5:B5"/>
    <mergeCell ref="C5:I7"/>
    <mergeCell ref="L5:M5"/>
    <mergeCell ref="S5:T5"/>
    <mergeCell ref="A6:B6"/>
    <mergeCell ref="L6:M6"/>
    <mergeCell ref="N6:O6"/>
    <mergeCell ref="S6:T6"/>
    <mergeCell ref="V6:Z6"/>
    <mergeCell ref="AA6:AE6"/>
    <mergeCell ref="AF6:AJ6"/>
    <mergeCell ref="A7:B7"/>
    <mergeCell ref="L7:M7"/>
    <mergeCell ref="N7:O7"/>
    <mergeCell ref="S7:T7"/>
    <mergeCell ref="AA7:AE7"/>
    <mergeCell ref="A8:C8"/>
    <mergeCell ref="L8:O8"/>
    <mergeCell ref="P8:P12"/>
    <mergeCell ref="R8:S8"/>
    <mergeCell ref="U8:U12"/>
    <mergeCell ref="V8:X8"/>
    <mergeCell ref="AG8:AJ8"/>
    <mergeCell ref="B9:K9"/>
    <mergeCell ref="L9:O9"/>
    <mergeCell ref="R9:S9"/>
    <mergeCell ref="W9:AF9"/>
    <mergeCell ref="AG9:AJ9"/>
    <mergeCell ref="M10:O10"/>
    <mergeCell ref="R10:S10"/>
    <mergeCell ref="V10:X10"/>
    <mergeCell ref="L11:M11"/>
    <mergeCell ref="N11:O11"/>
    <mergeCell ref="R11:S11"/>
    <mergeCell ref="V11:W11"/>
    <mergeCell ref="X11:Y11"/>
    <mergeCell ref="R12:S12"/>
    <mergeCell ref="C13:J13"/>
    <mergeCell ref="AA13:AH13"/>
    <mergeCell ref="AP13:AQ13"/>
    <mergeCell ref="A14:B14"/>
    <mergeCell ref="C14:D14"/>
    <mergeCell ref="E14:F14"/>
    <mergeCell ref="G14:H14"/>
    <mergeCell ref="I14:J14"/>
    <mergeCell ref="R14:S14"/>
    <mergeCell ref="AA14:AB14"/>
    <mergeCell ref="AC14:AD14"/>
    <mergeCell ref="AE14:AF14"/>
    <mergeCell ref="AG14:AH14"/>
    <mergeCell ref="AI14:AJ14"/>
    <mergeCell ref="AP14:AQ14"/>
    <mergeCell ref="A15:B15"/>
    <mergeCell ref="C15:D15"/>
    <mergeCell ref="E15:F15"/>
    <mergeCell ref="G15:H15"/>
    <mergeCell ref="I15:J15"/>
    <mergeCell ref="AA15:AB15"/>
    <mergeCell ref="AC15:AD15"/>
    <mergeCell ref="AE15:AF15"/>
    <mergeCell ref="AG15:AH15"/>
    <mergeCell ref="AI15:AJ15"/>
    <mergeCell ref="L16:P16"/>
    <mergeCell ref="U16:Y16"/>
    <mergeCell ref="L17:P17"/>
    <mergeCell ref="U17:Y17"/>
    <mergeCell ref="L18:P18"/>
    <mergeCell ref="U18:Y18"/>
    <mergeCell ref="L19:P19"/>
    <mergeCell ref="U19:Y19"/>
    <mergeCell ref="L20:P20"/>
    <mergeCell ref="U20:Y20"/>
    <mergeCell ref="L21:P21"/>
    <mergeCell ref="U21:Y21"/>
    <mergeCell ref="L22:P22"/>
    <mergeCell ref="U22:Y22"/>
    <mergeCell ref="L23:P23"/>
    <mergeCell ref="U23:Y23"/>
    <mergeCell ref="Q24:T24"/>
    <mergeCell ref="L25:P25"/>
    <mergeCell ref="U25:Y25"/>
    <mergeCell ref="L26:P26"/>
    <mergeCell ref="U26:Y26"/>
    <mergeCell ref="L27:P27"/>
    <mergeCell ref="U27:Y27"/>
    <mergeCell ref="L28:P28"/>
    <mergeCell ref="U28:Y28"/>
    <mergeCell ref="L29:P29"/>
    <mergeCell ref="U29:Y29"/>
    <mergeCell ref="L30:P30"/>
    <mergeCell ref="U30:Y30"/>
    <mergeCell ref="L31:P31"/>
    <mergeCell ref="U31:Y31"/>
    <mergeCell ref="L32:P32"/>
    <mergeCell ref="U32:Y32"/>
    <mergeCell ref="L33:P33"/>
    <mergeCell ref="R33:S33"/>
    <mergeCell ref="U33:Y33"/>
    <mergeCell ref="C34:I35"/>
    <mergeCell ref="J34:J35"/>
    <mergeCell ref="K34:Q35"/>
    <mergeCell ref="R34:S34"/>
    <mergeCell ref="U34:AA35"/>
    <mergeCell ref="AB34:AB35"/>
    <mergeCell ref="AC34:AI35"/>
    <mergeCell ref="R35:S35"/>
    <mergeCell ref="E36:I36"/>
    <mergeCell ref="M36:Q36"/>
    <mergeCell ref="W36:AA36"/>
    <mergeCell ref="AE36:AI36"/>
    <mergeCell ref="E37:I37"/>
    <mergeCell ref="M37:Q37"/>
    <mergeCell ref="W37:AA37"/>
    <mergeCell ref="AE37:AI37"/>
    <mergeCell ref="E38:I38"/>
    <mergeCell ref="M38:Q38"/>
    <mergeCell ref="W38:AA38"/>
    <mergeCell ref="AE38:AI38"/>
    <mergeCell ref="E39:I39"/>
    <mergeCell ref="M39:Q39"/>
    <mergeCell ref="W39:AA39"/>
    <mergeCell ref="AE39:AI39"/>
    <mergeCell ref="E40:I40"/>
    <mergeCell ref="M40:Q40"/>
    <mergeCell ref="W40:AA40"/>
    <mergeCell ref="AE40:AI40"/>
    <mergeCell ref="E41:I41"/>
    <mergeCell ref="M41:Q41"/>
    <mergeCell ref="W41:AA41"/>
    <mergeCell ref="AE41:AI41"/>
    <mergeCell ref="E42:I42"/>
    <mergeCell ref="M42:Q42"/>
    <mergeCell ref="W42:AA42"/>
    <mergeCell ref="AE42:AI42"/>
    <mergeCell ref="E43:I43"/>
    <mergeCell ref="M43:Q43"/>
    <mergeCell ref="W43:AA43"/>
    <mergeCell ref="AE43:AI43"/>
    <mergeCell ref="A44:G44"/>
    <mergeCell ref="H44:I44"/>
    <mergeCell ref="J44:K44"/>
    <mergeCell ref="L44:M44"/>
    <mergeCell ref="N44:O44"/>
    <mergeCell ref="P44:Q44"/>
    <mergeCell ref="R44:S44"/>
    <mergeCell ref="T44:U44"/>
    <mergeCell ref="V44:W44"/>
    <mergeCell ref="X44:Y44"/>
    <mergeCell ref="Z44:AA44"/>
    <mergeCell ref="AB44:AC44"/>
    <mergeCell ref="AD44:AJ44"/>
    <mergeCell ref="Z45:AA45"/>
    <mergeCell ref="AB45:AC45"/>
    <mergeCell ref="H46:I46"/>
    <mergeCell ref="J46:K46"/>
    <mergeCell ref="L46:M46"/>
    <mergeCell ref="N46:O46"/>
    <mergeCell ref="P46:Q46"/>
    <mergeCell ref="T46:U46"/>
    <mergeCell ref="V46:W46"/>
    <mergeCell ref="X46:Y46"/>
    <mergeCell ref="Z46:AA46"/>
    <mergeCell ref="AB46:AC46"/>
    <mergeCell ref="H45:I45"/>
    <mergeCell ref="J45:K45"/>
    <mergeCell ref="L45:M45"/>
    <mergeCell ref="N45:O45"/>
    <mergeCell ref="P45:Q45"/>
    <mergeCell ref="T45:U45"/>
    <mergeCell ref="V45:W45"/>
    <mergeCell ref="X45:Y45"/>
    <mergeCell ref="Z47:AA47"/>
    <mergeCell ref="AB47:AC47"/>
    <mergeCell ref="H48:I48"/>
    <mergeCell ref="J48:K48"/>
    <mergeCell ref="L48:M48"/>
    <mergeCell ref="N48:O48"/>
    <mergeCell ref="P48:Q48"/>
    <mergeCell ref="T48:U48"/>
    <mergeCell ref="V48:W48"/>
    <mergeCell ref="X48:Y48"/>
    <mergeCell ref="Z48:AA48"/>
    <mergeCell ref="AB48:AC48"/>
    <mergeCell ref="H47:I47"/>
    <mergeCell ref="J47:K47"/>
    <mergeCell ref="L47:M47"/>
    <mergeCell ref="N47:O47"/>
    <mergeCell ref="P47:Q47"/>
    <mergeCell ref="T47:U47"/>
    <mergeCell ref="V47:W47"/>
    <mergeCell ref="X47:Y47"/>
    <mergeCell ref="X49:Y49"/>
    <mergeCell ref="Z49:AA49"/>
    <mergeCell ref="AB49:AC49"/>
    <mergeCell ref="A50:C50"/>
    <mergeCell ref="D50:E50"/>
    <mergeCell ref="F50:R50"/>
    <mergeCell ref="S50:U50"/>
    <mergeCell ref="V50:W50"/>
    <mergeCell ref="X50:AJ50"/>
    <mergeCell ref="A45:G49"/>
    <mergeCell ref="H49:I49"/>
    <mergeCell ref="J49:K49"/>
    <mergeCell ref="L49:M49"/>
    <mergeCell ref="N49:O49"/>
    <mergeCell ref="P49:Q49"/>
    <mergeCell ref="T49:U49"/>
    <mergeCell ref="V49:W49"/>
    <mergeCell ref="D51:E51"/>
    <mergeCell ref="F51:R51"/>
    <mergeCell ref="V51:W51"/>
    <mergeCell ref="X51:AJ51"/>
    <mergeCell ref="D52:E52"/>
    <mergeCell ref="F52:R52"/>
    <mergeCell ref="V52:W52"/>
    <mergeCell ref="X52:AJ52"/>
    <mergeCell ref="D53:E53"/>
    <mergeCell ref="F53:R53"/>
    <mergeCell ref="V53:W53"/>
    <mergeCell ref="X53:AJ53"/>
    <mergeCell ref="D54:E54"/>
    <mergeCell ref="F54:R54"/>
    <mergeCell ref="V54:W54"/>
    <mergeCell ref="X54:AJ54"/>
    <mergeCell ref="D55:E55"/>
    <mergeCell ref="F55:R55"/>
    <mergeCell ref="V55:W55"/>
    <mergeCell ref="X55:AJ55"/>
    <mergeCell ref="D56:E56"/>
    <mergeCell ref="F56:R56"/>
    <mergeCell ref="V56:W56"/>
    <mergeCell ref="X56:AJ56"/>
    <mergeCell ref="D57:F57"/>
    <mergeCell ref="H57:I57"/>
    <mergeCell ref="L57:N57"/>
    <mergeCell ref="Q57:R57"/>
    <mergeCell ref="U57:V57"/>
    <mergeCell ref="Y57:AA57"/>
    <mergeCell ref="AD57:AE57"/>
    <mergeCell ref="A58:AJ58"/>
    <mergeCell ref="A59:AJ59"/>
    <mergeCell ref="I71:O73"/>
    <mergeCell ref="P71:V73"/>
    <mergeCell ref="W71:AC73"/>
    <mergeCell ref="AD71:AJ73"/>
    <mergeCell ref="A61:D61"/>
    <mergeCell ref="F61:J61"/>
    <mergeCell ref="L61:R61"/>
    <mergeCell ref="T61:AH61"/>
    <mergeCell ref="A62:AJ68"/>
    <mergeCell ref="I70:O70"/>
    <mergeCell ref="P70:V70"/>
    <mergeCell ref="W70:AC70"/>
    <mergeCell ref="AD70:AJ70"/>
  </mergeCells>
  <dataValidations count="2">
    <dataValidation type="list" allowBlank="1" showInputMessage="1" showErrorMessage="1" sqref="AF2:AJ4 G69:AA71">
      <formula1>項目!$G$1:$G$33</formula1>
    </dataValidation>
    <dataValidation type="list" allowBlank="1" showInputMessage="1" showErrorMessage="1" sqref="V6:Z6 AA6:AE6 AA7:AE7 AF6:AJ6 AB69:AJ71">
      <formula1>項目!$H$1:$H$33</formula1>
    </dataValidation>
  </dataValidations>
  <printOptions/>
  <pageMargins left="0" right="0" top="0" bottom="0" header="0.19685039370078738" footer="0.35433070866141736"/>
  <pageSetup fitToHeight="1" fitToWidth="1" horizontalDpi="600" verticalDpi="600" orientation="portrait" paperSize="9" scale="42"/>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indexed="10"/>
  </sheetPr>
  <dimension ref="A1:I26"/>
  <sheetViews>
    <sheetView workbookViewId="0" topLeftCell="A1">
      <selection activeCell="E12" sqref="E12"/>
    </sheetView>
  </sheetViews>
  <sheetFormatPr defaultColWidth="9.00390625" defaultRowHeight="13.5"/>
  <cols>
    <col min="1" max="1" width="28.375" style="414" bestFit="1" customWidth="1"/>
    <col min="2" max="2" width="9.00390625" style="414" customWidth="1"/>
    <col min="3" max="3" width="15.125" style="149" bestFit="1" customWidth="1"/>
    <col min="4" max="4" width="9.00390625" style="413" customWidth="1"/>
    <col min="5" max="5" width="37.125" style="413" bestFit="1" customWidth="1"/>
    <col min="6" max="6" width="9.00390625" style="413" customWidth="1"/>
    <col min="7" max="7" width="12.375" style="413" bestFit="1" customWidth="1"/>
    <col min="8" max="8" width="13.00390625" style="413" bestFit="1" customWidth="1"/>
    <col min="9" max="9" width="11.25390625" style="413" bestFit="1" customWidth="1"/>
    <col min="10" max="254" width="9.00390625" style="413" customWidth="1"/>
    <col min="255" max="255" width="28.375" style="413" bestFit="1" customWidth="1"/>
    <col min="256" max="256" width="9.00390625" style="413" customWidth="1"/>
    <col min="257" max="257" width="15.125" style="413" bestFit="1" customWidth="1"/>
    <col min="258" max="510" width="9.00390625" style="413" customWidth="1"/>
    <col min="511" max="511" width="28.375" style="413" bestFit="1" customWidth="1"/>
    <col min="512" max="512" width="9.00390625" style="413" customWidth="1"/>
    <col min="513" max="513" width="15.125" style="413" bestFit="1" customWidth="1"/>
    <col min="514" max="766" width="9.00390625" style="413" customWidth="1"/>
    <col min="767" max="767" width="28.375" style="413" bestFit="1" customWidth="1"/>
    <col min="768" max="768" width="9.00390625" style="413" customWidth="1"/>
    <col min="769" max="769" width="15.125" style="413" bestFit="1" customWidth="1"/>
    <col min="770" max="1022" width="9.00390625" style="413" customWidth="1"/>
    <col min="1023" max="1023" width="28.375" style="413" bestFit="1" customWidth="1"/>
    <col min="1024" max="1024" width="9.00390625" style="413" customWidth="1"/>
    <col min="1025" max="1025" width="15.125" style="413" bestFit="1" customWidth="1"/>
    <col min="1026" max="1278" width="9.00390625" style="413" customWidth="1"/>
    <col min="1279" max="1279" width="28.375" style="413" bestFit="1" customWidth="1"/>
    <col min="1280" max="1280" width="9.00390625" style="413" customWidth="1"/>
    <col min="1281" max="1281" width="15.125" style="413" bestFit="1" customWidth="1"/>
    <col min="1282" max="1534" width="9.00390625" style="413" customWidth="1"/>
    <col min="1535" max="1535" width="28.375" style="413" bestFit="1" customWidth="1"/>
    <col min="1536" max="1536" width="9.00390625" style="413" customWidth="1"/>
    <col min="1537" max="1537" width="15.125" style="413" bestFit="1" customWidth="1"/>
    <col min="1538" max="1790" width="9.00390625" style="413" customWidth="1"/>
    <col min="1791" max="1791" width="28.375" style="413" bestFit="1" customWidth="1"/>
    <col min="1792" max="1792" width="9.00390625" style="413" customWidth="1"/>
    <col min="1793" max="1793" width="15.125" style="413" bestFit="1" customWidth="1"/>
    <col min="1794" max="2046" width="9.00390625" style="413" customWidth="1"/>
    <col min="2047" max="2047" width="28.375" style="413" bestFit="1" customWidth="1"/>
    <col min="2048" max="2048" width="9.00390625" style="413" customWidth="1"/>
    <col min="2049" max="2049" width="15.125" style="413" bestFit="1" customWidth="1"/>
    <col min="2050" max="2302" width="9.00390625" style="413" customWidth="1"/>
    <col min="2303" max="2303" width="28.375" style="413" bestFit="1" customWidth="1"/>
    <col min="2304" max="2304" width="9.00390625" style="413" customWidth="1"/>
    <col min="2305" max="2305" width="15.125" style="413" bestFit="1" customWidth="1"/>
    <col min="2306" max="2558" width="9.00390625" style="413" customWidth="1"/>
    <col min="2559" max="2559" width="28.375" style="413" bestFit="1" customWidth="1"/>
    <col min="2560" max="2560" width="9.00390625" style="413" customWidth="1"/>
    <col min="2561" max="2561" width="15.125" style="413" bestFit="1" customWidth="1"/>
    <col min="2562" max="2814" width="9.00390625" style="413" customWidth="1"/>
    <col min="2815" max="2815" width="28.375" style="413" bestFit="1" customWidth="1"/>
    <col min="2816" max="2816" width="9.00390625" style="413" customWidth="1"/>
    <col min="2817" max="2817" width="15.125" style="413" bestFit="1" customWidth="1"/>
    <col min="2818" max="3070" width="9.00390625" style="413" customWidth="1"/>
    <col min="3071" max="3071" width="28.375" style="413" bestFit="1" customWidth="1"/>
    <col min="3072" max="3072" width="9.00390625" style="413" customWidth="1"/>
    <col min="3073" max="3073" width="15.125" style="413" bestFit="1" customWidth="1"/>
    <col min="3074" max="3326" width="9.00390625" style="413" customWidth="1"/>
    <col min="3327" max="3327" width="28.375" style="413" bestFit="1" customWidth="1"/>
    <col min="3328" max="3328" width="9.00390625" style="413" customWidth="1"/>
    <col min="3329" max="3329" width="15.125" style="413" bestFit="1" customWidth="1"/>
    <col min="3330" max="3582" width="9.00390625" style="413" customWidth="1"/>
    <col min="3583" max="3583" width="28.375" style="413" bestFit="1" customWidth="1"/>
    <col min="3584" max="3584" width="9.00390625" style="413" customWidth="1"/>
    <col min="3585" max="3585" width="15.125" style="413" bestFit="1" customWidth="1"/>
    <col min="3586" max="3838" width="9.00390625" style="413" customWidth="1"/>
    <col min="3839" max="3839" width="28.375" style="413" bestFit="1" customWidth="1"/>
    <col min="3840" max="3840" width="9.00390625" style="413" customWidth="1"/>
    <col min="3841" max="3841" width="15.125" style="413" bestFit="1" customWidth="1"/>
    <col min="3842" max="4094" width="9.00390625" style="413" customWidth="1"/>
    <col min="4095" max="4095" width="28.375" style="413" bestFit="1" customWidth="1"/>
    <col min="4096" max="4096" width="9.00390625" style="413" customWidth="1"/>
    <col min="4097" max="4097" width="15.125" style="413" bestFit="1" customWidth="1"/>
    <col min="4098" max="4350" width="9.00390625" style="413" customWidth="1"/>
    <col min="4351" max="4351" width="28.375" style="413" bestFit="1" customWidth="1"/>
    <col min="4352" max="4352" width="9.00390625" style="413" customWidth="1"/>
    <col min="4353" max="4353" width="15.125" style="413" bestFit="1" customWidth="1"/>
    <col min="4354" max="4606" width="9.00390625" style="413" customWidth="1"/>
    <col min="4607" max="4607" width="28.375" style="413" bestFit="1" customWidth="1"/>
    <col min="4608" max="4608" width="9.00390625" style="413" customWidth="1"/>
    <col min="4609" max="4609" width="15.125" style="413" bestFit="1" customWidth="1"/>
    <col min="4610" max="4862" width="9.00390625" style="413" customWidth="1"/>
    <col min="4863" max="4863" width="28.375" style="413" bestFit="1" customWidth="1"/>
    <col min="4864" max="4864" width="9.00390625" style="413" customWidth="1"/>
    <col min="4865" max="4865" width="15.125" style="413" bestFit="1" customWidth="1"/>
    <col min="4866" max="5118" width="9.00390625" style="413" customWidth="1"/>
    <col min="5119" max="5119" width="28.375" style="413" bestFit="1" customWidth="1"/>
    <col min="5120" max="5120" width="9.00390625" style="413" customWidth="1"/>
    <col min="5121" max="5121" width="15.125" style="413" bestFit="1" customWidth="1"/>
    <col min="5122" max="5374" width="9.00390625" style="413" customWidth="1"/>
    <col min="5375" max="5375" width="28.375" style="413" bestFit="1" customWidth="1"/>
    <col min="5376" max="5376" width="9.00390625" style="413" customWidth="1"/>
    <col min="5377" max="5377" width="15.125" style="413" bestFit="1" customWidth="1"/>
    <col min="5378" max="5630" width="9.00390625" style="413" customWidth="1"/>
    <col min="5631" max="5631" width="28.375" style="413" bestFit="1" customWidth="1"/>
    <col min="5632" max="5632" width="9.00390625" style="413" customWidth="1"/>
    <col min="5633" max="5633" width="15.125" style="413" bestFit="1" customWidth="1"/>
    <col min="5634" max="5886" width="9.00390625" style="413" customWidth="1"/>
    <col min="5887" max="5887" width="28.375" style="413" bestFit="1" customWidth="1"/>
    <col min="5888" max="5888" width="9.00390625" style="413" customWidth="1"/>
    <col min="5889" max="5889" width="15.125" style="413" bestFit="1" customWidth="1"/>
    <col min="5890" max="6142" width="9.00390625" style="413" customWidth="1"/>
    <col min="6143" max="6143" width="28.375" style="413" bestFit="1" customWidth="1"/>
    <col min="6144" max="6144" width="9.00390625" style="413" customWidth="1"/>
    <col min="6145" max="6145" width="15.125" style="413" bestFit="1" customWidth="1"/>
    <col min="6146" max="6398" width="9.00390625" style="413" customWidth="1"/>
    <col min="6399" max="6399" width="28.375" style="413" bestFit="1" customWidth="1"/>
    <col min="6400" max="6400" width="9.00390625" style="413" customWidth="1"/>
    <col min="6401" max="6401" width="15.125" style="413" bestFit="1" customWidth="1"/>
    <col min="6402" max="6654" width="9.00390625" style="413" customWidth="1"/>
    <col min="6655" max="6655" width="28.375" style="413" bestFit="1" customWidth="1"/>
    <col min="6656" max="6656" width="9.00390625" style="413" customWidth="1"/>
    <col min="6657" max="6657" width="15.125" style="413" bestFit="1" customWidth="1"/>
    <col min="6658" max="6910" width="9.00390625" style="413" customWidth="1"/>
    <col min="6911" max="6911" width="28.375" style="413" bestFit="1" customWidth="1"/>
    <col min="6912" max="6912" width="9.00390625" style="413" customWidth="1"/>
    <col min="6913" max="6913" width="15.125" style="413" bestFit="1" customWidth="1"/>
    <col min="6914" max="7166" width="9.00390625" style="413" customWidth="1"/>
    <col min="7167" max="7167" width="28.375" style="413" bestFit="1" customWidth="1"/>
    <col min="7168" max="7168" width="9.00390625" style="413" customWidth="1"/>
    <col min="7169" max="7169" width="15.125" style="413" bestFit="1" customWidth="1"/>
    <col min="7170" max="7422" width="9.00390625" style="413" customWidth="1"/>
    <col min="7423" max="7423" width="28.375" style="413" bestFit="1" customWidth="1"/>
    <col min="7424" max="7424" width="9.00390625" style="413" customWidth="1"/>
    <col min="7425" max="7425" width="15.125" style="413" bestFit="1" customWidth="1"/>
    <col min="7426" max="7678" width="9.00390625" style="413" customWidth="1"/>
    <col min="7679" max="7679" width="28.375" style="413" bestFit="1" customWidth="1"/>
    <col min="7680" max="7680" width="9.00390625" style="413" customWidth="1"/>
    <col min="7681" max="7681" width="15.125" style="413" bestFit="1" customWidth="1"/>
    <col min="7682" max="7934" width="9.00390625" style="413" customWidth="1"/>
    <col min="7935" max="7935" width="28.375" style="413" bestFit="1" customWidth="1"/>
    <col min="7936" max="7936" width="9.00390625" style="413" customWidth="1"/>
    <col min="7937" max="7937" width="15.125" style="413" bestFit="1" customWidth="1"/>
    <col min="7938" max="8190" width="9.00390625" style="413" customWidth="1"/>
    <col min="8191" max="8191" width="28.375" style="413" bestFit="1" customWidth="1"/>
    <col min="8192" max="8192" width="9.00390625" style="413" customWidth="1"/>
    <col min="8193" max="8193" width="15.125" style="413" bestFit="1" customWidth="1"/>
    <col min="8194" max="8446" width="9.00390625" style="413" customWidth="1"/>
    <col min="8447" max="8447" width="28.375" style="413" bestFit="1" customWidth="1"/>
    <col min="8448" max="8448" width="9.00390625" style="413" customWidth="1"/>
    <col min="8449" max="8449" width="15.125" style="413" bestFit="1" customWidth="1"/>
    <col min="8450" max="8702" width="9.00390625" style="413" customWidth="1"/>
    <col min="8703" max="8703" width="28.375" style="413" bestFit="1" customWidth="1"/>
    <col min="8704" max="8704" width="9.00390625" style="413" customWidth="1"/>
    <col min="8705" max="8705" width="15.125" style="413" bestFit="1" customWidth="1"/>
    <col min="8706" max="8958" width="9.00390625" style="413" customWidth="1"/>
    <col min="8959" max="8959" width="28.375" style="413" bestFit="1" customWidth="1"/>
    <col min="8960" max="8960" width="9.00390625" style="413" customWidth="1"/>
    <col min="8961" max="8961" width="15.125" style="413" bestFit="1" customWidth="1"/>
    <col min="8962" max="9214" width="9.00390625" style="413" customWidth="1"/>
    <col min="9215" max="9215" width="28.375" style="413" bestFit="1" customWidth="1"/>
    <col min="9216" max="9216" width="9.00390625" style="413" customWidth="1"/>
    <col min="9217" max="9217" width="15.125" style="413" bestFit="1" customWidth="1"/>
    <col min="9218" max="9470" width="9.00390625" style="413" customWidth="1"/>
    <col min="9471" max="9471" width="28.375" style="413" bestFit="1" customWidth="1"/>
    <col min="9472" max="9472" width="9.00390625" style="413" customWidth="1"/>
    <col min="9473" max="9473" width="15.125" style="413" bestFit="1" customWidth="1"/>
    <col min="9474" max="9726" width="9.00390625" style="413" customWidth="1"/>
    <col min="9727" max="9727" width="28.375" style="413" bestFit="1" customWidth="1"/>
    <col min="9728" max="9728" width="9.00390625" style="413" customWidth="1"/>
    <col min="9729" max="9729" width="15.125" style="413" bestFit="1" customWidth="1"/>
    <col min="9730" max="9982" width="9.00390625" style="413" customWidth="1"/>
    <col min="9983" max="9983" width="28.375" style="413" bestFit="1" customWidth="1"/>
    <col min="9984" max="9984" width="9.00390625" style="413" customWidth="1"/>
    <col min="9985" max="9985" width="15.125" style="413" bestFit="1" customWidth="1"/>
    <col min="9986" max="10238" width="9.00390625" style="413" customWidth="1"/>
    <col min="10239" max="10239" width="28.375" style="413" bestFit="1" customWidth="1"/>
    <col min="10240" max="10240" width="9.00390625" style="413" customWidth="1"/>
    <col min="10241" max="10241" width="15.125" style="413" bestFit="1" customWidth="1"/>
    <col min="10242" max="10494" width="9.00390625" style="413" customWidth="1"/>
    <col min="10495" max="10495" width="28.375" style="413" bestFit="1" customWidth="1"/>
    <col min="10496" max="10496" width="9.00390625" style="413" customWidth="1"/>
    <col min="10497" max="10497" width="15.125" style="413" bestFit="1" customWidth="1"/>
    <col min="10498" max="10750" width="9.00390625" style="413" customWidth="1"/>
    <col min="10751" max="10751" width="28.375" style="413" bestFit="1" customWidth="1"/>
    <col min="10752" max="10752" width="9.00390625" style="413" customWidth="1"/>
    <col min="10753" max="10753" width="15.125" style="413" bestFit="1" customWidth="1"/>
    <col min="10754" max="11006" width="9.00390625" style="413" customWidth="1"/>
    <col min="11007" max="11007" width="28.375" style="413" bestFit="1" customWidth="1"/>
    <col min="11008" max="11008" width="9.00390625" style="413" customWidth="1"/>
    <col min="11009" max="11009" width="15.125" style="413" bestFit="1" customWidth="1"/>
    <col min="11010" max="11262" width="9.00390625" style="413" customWidth="1"/>
    <col min="11263" max="11263" width="28.375" style="413" bestFit="1" customWidth="1"/>
    <col min="11264" max="11264" width="9.00390625" style="413" customWidth="1"/>
    <col min="11265" max="11265" width="15.125" style="413" bestFit="1" customWidth="1"/>
    <col min="11266" max="11518" width="9.00390625" style="413" customWidth="1"/>
    <col min="11519" max="11519" width="28.375" style="413" bestFit="1" customWidth="1"/>
    <col min="11520" max="11520" width="9.00390625" style="413" customWidth="1"/>
    <col min="11521" max="11521" width="15.125" style="413" bestFit="1" customWidth="1"/>
    <col min="11522" max="11774" width="9.00390625" style="413" customWidth="1"/>
    <col min="11775" max="11775" width="28.375" style="413" bestFit="1" customWidth="1"/>
    <col min="11776" max="11776" width="9.00390625" style="413" customWidth="1"/>
    <col min="11777" max="11777" width="15.125" style="413" bestFit="1" customWidth="1"/>
    <col min="11778" max="12030" width="9.00390625" style="413" customWidth="1"/>
    <col min="12031" max="12031" width="28.375" style="413" bestFit="1" customWidth="1"/>
    <col min="12032" max="12032" width="9.00390625" style="413" customWidth="1"/>
    <col min="12033" max="12033" width="15.125" style="413" bestFit="1" customWidth="1"/>
    <col min="12034" max="12286" width="9.00390625" style="413" customWidth="1"/>
    <col min="12287" max="12287" width="28.375" style="413" bestFit="1" customWidth="1"/>
    <col min="12288" max="12288" width="9.00390625" style="413" customWidth="1"/>
    <col min="12289" max="12289" width="15.125" style="413" bestFit="1" customWidth="1"/>
    <col min="12290" max="12542" width="9.00390625" style="413" customWidth="1"/>
    <col min="12543" max="12543" width="28.375" style="413" bestFit="1" customWidth="1"/>
    <col min="12544" max="12544" width="9.00390625" style="413" customWidth="1"/>
    <col min="12545" max="12545" width="15.125" style="413" bestFit="1" customWidth="1"/>
    <col min="12546" max="12798" width="9.00390625" style="413" customWidth="1"/>
    <col min="12799" max="12799" width="28.375" style="413" bestFit="1" customWidth="1"/>
    <col min="12800" max="12800" width="9.00390625" style="413" customWidth="1"/>
    <col min="12801" max="12801" width="15.125" style="413" bestFit="1" customWidth="1"/>
    <col min="12802" max="13054" width="9.00390625" style="413" customWidth="1"/>
    <col min="13055" max="13055" width="28.375" style="413" bestFit="1" customWidth="1"/>
    <col min="13056" max="13056" width="9.00390625" style="413" customWidth="1"/>
    <col min="13057" max="13057" width="15.125" style="413" bestFit="1" customWidth="1"/>
    <col min="13058" max="13310" width="9.00390625" style="413" customWidth="1"/>
    <col min="13311" max="13311" width="28.375" style="413" bestFit="1" customWidth="1"/>
    <col min="13312" max="13312" width="9.00390625" style="413" customWidth="1"/>
    <col min="13313" max="13313" width="15.125" style="413" bestFit="1" customWidth="1"/>
    <col min="13314" max="13566" width="9.00390625" style="413" customWidth="1"/>
    <col min="13567" max="13567" width="28.375" style="413" bestFit="1" customWidth="1"/>
    <col min="13568" max="13568" width="9.00390625" style="413" customWidth="1"/>
    <col min="13569" max="13569" width="15.125" style="413" bestFit="1" customWidth="1"/>
    <col min="13570" max="13822" width="9.00390625" style="413" customWidth="1"/>
    <col min="13823" max="13823" width="28.375" style="413" bestFit="1" customWidth="1"/>
    <col min="13824" max="13824" width="9.00390625" style="413" customWidth="1"/>
    <col min="13825" max="13825" width="15.125" style="413" bestFit="1" customWidth="1"/>
    <col min="13826" max="14078" width="9.00390625" style="413" customWidth="1"/>
    <col min="14079" max="14079" width="28.375" style="413" bestFit="1" customWidth="1"/>
    <col min="14080" max="14080" width="9.00390625" style="413" customWidth="1"/>
    <col min="14081" max="14081" width="15.125" style="413" bestFit="1" customWidth="1"/>
    <col min="14082" max="14334" width="9.00390625" style="413" customWidth="1"/>
    <col min="14335" max="14335" width="28.375" style="413" bestFit="1" customWidth="1"/>
    <col min="14336" max="14336" width="9.00390625" style="413" customWidth="1"/>
    <col min="14337" max="14337" width="15.125" style="413" bestFit="1" customWidth="1"/>
    <col min="14338" max="14590" width="9.00390625" style="413" customWidth="1"/>
    <col min="14591" max="14591" width="28.375" style="413" bestFit="1" customWidth="1"/>
    <col min="14592" max="14592" width="9.00390625" style="413" customWidth="1"/>
    <col min="14593" max="14593" width="15.125" style="413" bestFit="1" customWidth="1"/>
    <col min="14594" max="14846" width="9.00390625" style="413" customWidth="1"/>
    <col min="14847" max="14847" width="28.375" style="413" bestFit="1" customWidth="1"/>
    <col min="14848" max="14848" width="9.00390625" style="413" customWidth="1"/>
    <col min="14849" max="14849" width="15.125" style="413" bestFit="1" customWidth="1"/>
    <col min="14850" max="15102" width="9.00390625" style="413" customWidth="1"/>
    <col min="15103" max="15103" width="28.375" style="413" bestFit="1" customWidth="1"/>
    <col min="15104" max="15104" width="9.00390625" style="413" customWidth="1"/>
    <col min="15105" max="15105" width="15.125" style="413" bestFit="1" customWidth="1"/>
    <col min="15106" max="15358" width="9.00390625" style="413" customWidth="1"/>
    <col min="15359" max="15359" width="28.375" style="413" bestFit="1" customWidth="1"/>
    <col min="15360" max="15360" width="9.00390625" style="413" customWidth="1"/>
    <col min="15361" max="15361" width="15.125" style="413" bestFit="1" customWidth="1"/>
    <col min="15362" max="15614" width="9.00390625" style="413" customWidth="1"/>
    <col min="15615" max="15615" width="28.375" style="413" bestFit="1" customWidth="1"/>
    <col min="15616" max="15616" width="9.00390625" style="413" customWidth="1"/>
    <col min="15617" max="15617" width="15.125" style="413" bestFit="1" customWidth="1"/>
    <col min="15618" max="15870" width="9.00390625" style="413" customWidth="1"/>
    <col min="15871" max="15871" width="28.375" style="413" bestFit="1" customWidth="1"/>
    <col min="15872" max="15872" width="9.00390625" style="413" customWidth="1"/>
    <col min="15873" max="15873" width="15.125" style="413" bestFit="1" customWidth="1"/>
    <col min="15874" max="16126" width="9.00390625" style="413" customWidth="1"/>
    <col min="16127" max="16127" width="28.375" style="413" bestFit="1" customWidth="1"/>
    <col min="16128" max="16128" width="9.00390625" style="413" customWidth="1"/>
    <col min="16129" max="16129" width="15.125" style="413" bestFit="1" customWidth="1"/>
    <col min="16130" max="16382" width="9.00390625" style="413" customWidth="1"/>
    <col min="16383" max="16384" width="9.00390625" style="413" customWidth="1"/>
  </cols>
  <sheetData>
    <row r="1" spans="1:8" ht="13.5">
      <c r="A1" s="415" t="s">
        <v>419</v>
      </c>
      <c r="B1" s="415"/>
      <c r="C1" s="415" t="s">
        <v>796</v>
      </c>
      <c r="E1" s="415" t="s">
        <v>797</v>
      </c>
      <c r="G1" s="415" t="s">
        <v>798</v>
      </c>
      <c r="H1" s="415" t="s">
        <v>799</v>
      </c>
    </row>
    <row r="2" spans="1:9" ht="13.5">
      <c r="A2" s="415" t="s">
        <v>421</v>
      </c>
      <c r="B2" s="415"/>
      <c r="C2" s="415" t="s">
        <v>422</v>
      </c>
      <c r="E2" s="413" t="s">
        <v>800</v>
      </c>
      <c r="G2" s="413" t="s">
        <v>16</v>
      </c>
      <c r="H2" s="416" t="s">
        <v>801</v>
      </c>
      <c r="I2" s="413" t="s">
        <v>587</v>
      </c>
    </row>
    <row r="3" spans="1:9" ht="13.5">
      <c r="A3" s="415" t="s">
        <v>802</v>
      </c>
      <c r="B3" s="417"/>
      <c r="C3" s="415" t="s">
        <v>423</v>
      </c>
      <c r="E3" s="413" t="s">
        <v>489</v>
      </c>
      <c r="G3" s="413" t="s">
        <v>547</v>
      </c>
      <c r="H3" s="416" t="s">
        <v>803</v>
      </c>
      <c r="I3" s="413" t="s">
        <v>575</v>
      </c>
    </row>
    <row r="4" spans="1:9" ht="13.5">
      <c r="A4" s="418" t="s">
        <v>804</v>
      </c>
      <c r="B4" s="415"/>
      <c r="C4" s="415" t="s">
        <v>805</v>
      </c>
      <c r="E4" s="413" t="s">
        <v>806</v>
      </c>
      <c r="G4" s="413" t="s">
        <v>807</v>
      </c>
      <c r="H4" s="416" t="s">
        <v>808</v>
      </c>
      <c r="I4" s="413" t="s">
        <v>580</v>
      </c>
    </row>
    <row r="5" spans="1:9" ht="13.5">
      <c r="A5" s="415"/>
      <c r="B5" s="415"/>
      <c r="C5" s="415" t="s">
        <v>809</v>
      </c>
      <c r="E5" s="413" t="s">
        <v>490</v>
      </c>
      <c r="G5" s="413" t="s">
        <v>572</v>
      </c>
      <c r="H5" s="416" t="s">
        <v>810</v>
      </c>
      <c r="I5" s="413" t="s">
        <v>560</v>
      </c>
    </row>
    <row r="6" spans="1:9" ht="13.5">
      <c r="A6" s="415"/>
      <c r="B6" s="415"/>
      <c r="C6" s="415" t="s">
        <v>811</v>
      </c>
      <c r="G6" s="413" t="s">
        <v>583</v>
      </c>
      <c r="H6" s="413" t="s">
        <v>812</v>
      </c>
      <c r="I6" s="413" t="s">
        <v>600</v>
      </c>
    </row>
    <row r="7" spans="1:9" ht="13.5">
      <c r="A7" s="415"/>
      <c r="B7" s="415"/>
      <c r="C7" s="415" t="s">
        <v>813</v>
      </c>
      <c r="G7" s="413" t="s">
        <v>677</v>
      </c>
      <c r="H7" s="413" t="s">
        <v>814</v>
      </c>
      <c r="I7" s="413" t="s">
        <v>599</v>
      </c>
    </row>
    <row r="8" spans="1:9" ht="13.5">
      <c r="A8" s="415"/>
      <c r="B8" s="415"/>
      <c r="C8" s="415" t="s">
        <v>815</v>
      </c>
      <c r="G8" s="413" t="s">
        <v>816</v>
      </c>
      <c r="H8" s="413" t="s">
        <v>817</v>
      </c>
      <c r="I8" s="413" t="s">
        <v>574</v>
      </c>
    </row>
    <row r="9" spans="1:9" ht="13.5">
      <c r="A9" s="415"/>
      <c r="B9" s="415"/>
      <c r="C9" s="415" t="s">
        <v>818</v>
      </c>
      <c r="G9" s="413" t="s">
        <v>819</v>
      </c>
      <c r="H9" s="413" t="s">
        <v>820</v>
      </c>
      <c r="I9" s="413" t="s">
        <v>589</v>
      </c>
    </row>
    <row r="10" spans="1:9" ht="13.5">
      <c r="A10" s="415"/>
      <c r="B10" s="415"/>
      <c r="C10" s="415" t="s">
        <v>821</v>
      </c>
      <c r="G10" s="413" t="s">
        <v>822</v>
      </c>
      <c r="H10" s="413" t="s">
        <v>823</v>
      </c>
      <c r="I10" s="413" t="s">
        <v>672</v>
      </c>
    </row>
    <row r="11" spans="1:9" ht="13.5">
      <c r="A11" s="415"/>
      <c r="B11" s="415"/>
      <c r="C11" s="415" t="s">
        <v>824</v>
      </c>
      <c r="G11" s="413" t="s">
        <v>825</v>
      </c>
      <c r="H11" s="413" t="s">
        <v>826</v>
      </c>
      <c r="I11" s="413" t="s">
        <v>605</v>
      </c>
    </row>
    <row r="12" spans="1:9" ht="13.5">
      <c r="A12" s="415"/>
      <c r="B12" s="415"/>
      <c r="C12" s="415" t="s">
        <v>827</v>
      </c>
      <c r="G12" s="413" t="s">
        <v>828</v>
      </c>
      <c r="H12" s="413" t="s">
        <v>829</v>
      </c>
      <c r="I12" s="413" t="s">
        <v>592</v>
      </c>
    </row>
    <row r="13" spans="1:9" ht="13.5">
      <c r="A13" s="415"/>
      <c r="B13" s="415"/>
      <c r="C13" s="415" t="s">
        <v>830</v>
      </c>
      <c r="G13" s="413" t="s">
        <v>571</v>
      </c>
      <c r="H13" s="413" t="s">
        <v>831</v>
      </c>
      <c r="I13" s="413" t="s">
        <v>559</v>
      </c>
    </row>
    <row r="14" spans="1:9" ht="13.5">
      <c r="A14" s="415"/>
      <c r="B14" s="415"/>
      <c r="C14" s="415" t="s">
        <v>832</v>
      </c>
      <c r="G14" s="413" t="s">
        <v>833</v>
      </c>
      <c r="H14" s="413" t="s">
        <v>834</v>
      </c>
      <c r="I14" s="413" t="s">
        <v>671</v>
      </c>
    </row>
    <row r="15" spans="1:9" ht="13.5">
      <c r="A15" s="415"/>
      <c r="B15" s="415"/>
      <c r="C15" s="415" t="s">
        <v>835</v>
      </c>
      <c r="G15" s="413" t="s">
        <v>836</v>
      </c>
      <c r="H15" s="413" t="s">
        <v>837</v>
      </c>
      <c r="I15" s="413" t="s">
        <v>682</v>
      </c>
    </row>
    <row r="16" spans="1:9" ht="13.5">
      <c r="A16" s="415"/>
      <c r="B16" s="415"/>
      <c r="C16" s="415" t="s">
        <v>838</v>
      </c>
      <c r="G16" s="413" t="s">
        <v>598</v>
      </c>
      <c r="H16" s="413" t="s">
        <v>722</v>
      </c>
      <c r="I16" s="413" t="s">
        <v>678</v>
      </c>
    </row>
    <row r="17" spans="1:9" ht="13.5">
      <c r="A17" s="415"/>
      <c r="B17" s="415"/>
      <c r="C17" s="415" t="s">
        <v>839</v>
      </c>
      <c r="G17" s="413" t="s">
        <v>596</v>
      </c>
      <c r="H17" s="413" t="s">
        <v>840</v>
      </c>
      <c r="I17" s="413" t="s">
        <v>674</v>
      </c>
    </row>
    <row r="18" spans="1:9" ht="13.5">
      <c r="A18" s="415"/>
      <c r="B18" s="415"/>
      <c r="G18" s="413" t="s">
        <v>841</v>
      </c>
      <c r="H18" s="413" t="s">
        <v>842</v>
      </c>
      <c r="I18" s="413" t="s">
        <v>680</v>
      </c>
    </row>
    <row r="19" spans="7:9" ht="13.5">
      <c r="G19" s="413" t="s">
        <v>597</v>
      </c>
      <c r="H19" s="413" t="s">
        <v>843</v>
      </c>
      <c r="I19" s="413" t="s">
        <v>681</v>
      </c>
    </row>
    <row r="20" spans="7:9" ht="13.5">
      <c r="G20" s="413" t="s">
        <v>585</v>
      </c>
      <c r="H20" s="413" t="s">
        <v>721</v>
      </c>
      <c r="I20" s="413" t="s">
        <v>679</v>
      </c>
    </row>
    <row r="21" spans="7:9" ht="13.5">
      <c r="G21" s="413" t="s">
        <v>844</v>
      </c>
      <c r="H21" s="413" t="s">
        <v>845</v>
      </c>
      <c r="I21" s="413" t="s">
        <v>567</v>
      </c>
    </row>
    <row r="22" spans="7:9" ht="13.5">
      <c r="G22" s="413" t="s">
        <v>846</v>
      </c>
      <c r="H22" s="413" t="s">
        <v>731</v>
      </c>
      <c r="I22" s="413" t="s">
        <v>586</v>
      </c>
    </row>
    <row r="23" spans="7:9" ht="13.5">
      <c r="G23" s="413" t="s">
        <v>584</v>
      </c>
      <c r="H23" s="413" t="s">
        <v>720</v>
      </c>
      <c r="I23" s="413" t="s">
        <v>673</v>
      </c>
    </row>
    <row r="24" ht="13.5">
      <c r="G24" s="413" t="s">
        <v>550</v>
      </c>
    </row>
    <row r="25" ht="13.5">
      <c r="G25" s="413" t="s">
        <v>554</v>
      </c>
    </row>
    <row r="26" ht="13.5">
      <c r="G26" s="413" t="s">
        <v>573</v>
      </c>
    </row>
  </sheetData>
  <conditionalFormatting sqref="A1:C65536">
    <cfRule type="cellIs" priority="12" dxfId="2" operator="equal" stopIfTrue="1">
      <formula>"警告(累積2枚目次節出場停止）"</formula>
    </cfRule>
  </conditionalFormatting>
  <conditionalFormatting sqref="A1:C65536">
    <cfRule type="cellIs" priority="11" dxfId="1" operator="equal" stopIfTrue="1">
      <formula>"警告"</formula>
    </cfRule>
  </conditionalFormatting>
  <conditionalFormatting sqref="A1:C65536">
    <cfRule type="cellIs" priority="10" dxfId="0" operator="equal" stopIfTrue="1">
      <formula>"退場"</formula>
    </cfRule>
  </conditionalFormatting>
  <conditionalFormatting sqref="E1">
    <cfRule type="cellIs" priority="9" dxfId="2" operator="equal" stopIfTrue="1">
      <formula>"警告(累積2枚目次節出場停止）"</formula>
    </cfRule>
  </conditionalFormatting>
  <conditionalFormatting sqref="E1">
    <cfRule type="cellIs" priority="8" dxfId="1" operator="equal" stopIfTrue="1">
      <formula>"警告"</formula>
    </cfRule>
  </conditionalFormatting>
  <conditionalFormatting sqref="E1">
    <cfRule type="cellIs" priority="7" dxfId="0" operator="equal" stopIfTrue="1">
      <formula>"退場"</formula>
    </cfRule>
  </conditionalFormatting>
  <conditionalFormatting sqref="G1">
    <cfRule type="cellIs" priority="6" dxfId="2" operator="equal" stopIfTrue="1">
      <formula>"警告(累積2枚目次節出場停止）"</formula>
    </cfRule>
  </conditionalFormatting>
  <conditionalFormatting sqref="G1">
    <cfRule type="cellIs" priority="5" dxfId="1" operator="equal" stopIfTrue="1">
      <formula>"警告"</formula>
    </cfRule>
  </conditionalFormatting>
  <conditionalFormatting sqref="G1">
    <cfRule type="cellIs" priority="4" dxfId="0" operator="equal" stopIfTrue="1">
      <formula>"退場"</formula>
    </cfRule>
  </conditionalFormatting>
  <conditionalFormatting sqref="H1">
    <cfRule type="cellIs" priority="3" dxfId="2" operator="equal" stopIfTrue="1">
      <formula>"警告(累積2枚目次節出場停止）"</formula>
    </cfRule>
  </conditionalFormatting>
  <conditionalFormatting sqref="H1">
    <cfRule type="cellIs" priority="2" dxfId="1" operator="equal" stopIfTrue="1">
      <formula>"警告"</formula>
    </cfRule>
  </conditionalFormatting>
  <conditionalFormatting sqref="H1">
    <cfRule type="cellIs" priority="1" dxfId="0" operator="equal" stopIfTrue="1">
      <formula>"退場"</formula>
    </cfRule>
  </conditionalFormatting>
  <printOptions/>
  <pageMargins left="0.7" right="0.7" top="0.75" bottom="0.75" header="0.3" footer="0.3"/>
  <pageSetup horizontalDpi="600" verticalDpi="600"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indexed="10"/>
  </sheetPr>
  <dimension ref="A1:J1504"/>
  <sheetViews>
    <sheetView zoomScale="55" zoomScaleNormal="55" workbookViewId="0" topLeftCell="A1337"/>
  </sheetViews>
  <sheetFormatPr defaultColWidth="9.00390625" defaultRowHeight="13.5"/>
  <cols>
    <col min="1" max="1" width="46.75390625" style="419" bestFit="1" customWidth="1"/>
    <col min="2" max="2" width="62.75390625" style="307" bestFit="1" customWidth="1"/>
    <col min="3" max="3" width="7.00390625" style="307" bestFit="1" customWidth="1"/>
    <col min="4" max="4" width="11.00390625" style="307" bestFit="1" customWidth="1"/>
    <col min="5" max="5" width="17.125" style="307" bestFit="1" customWidth="1"/>
    <col min="6" max="6" width="25.50390625" style="307" bestFit="1" customWidth="1"/>
    <col min="7" max="7" width="5.00390625" style="307" bestFit="1" customWidth="1"/>
    <col min="8" max="8" width="11.00390625" style="307" bestFit="1" customWidth="1"/>
    <col min="9" max="9" width="13.00390625" style="307" bestFit="1" customWidth="1"/>
    <col min="10" max="10" width="11.00390625" style="307" bestFit="1" customWidth="1"/>
    <col min="11" max="16384" width="9.00390625" style="419" customWidth="1"/>
  </cols>
  <sheetData>
    <row r="1" spans="1:10" ht="13.5">
      <c r="A1" s="420" t="str">
        <f aca="true" t="shared" si="0" ref="A1:A64">CONCATENATE(B1,"_",C1)</f>
        <v>大会参加チーム名_背番号</v>
      </c>
      <c r="B1" s="307" t="s">
        <v>847</v>
      </c>
      <c r="C1" s="307" t="s">
        <v>417</v>
      </c>
      <c r="D1" s="307" t="s">
        <v>848</v>
      </c>
      <c r="E1" s="307" t="s">
        <v>849</v>
      </c>
      <c r="F1" s="307" t="s">
        <v>850</v>
      </c>
      <c r="G1" s="307" t="s">
        <v>203</v>
      </c>
      <c r="H1" s="307" t="s">
        <v>851</v>
      </c>
      <c r="I1" s="307" t="s">
        <v>852</v>
      </c>
      <c r="J1" s="307" t="s">
        <v>853</v>
      </c>
    </row>
    <row r="2" spans="1:9" ht="13.5">
      <c r="A2" s="419" t="str">
        <f t="shared" si="0"/>
        <v>ＭＦＣ三花少年サッカー教室_1</v>
      </c>
      <c r="B2" s="307" t="s">
        <v>854</v>
      </c>
      <c r="C2" s="307" t="str">
        <f>("1")</f>
        <v>1</v>
      </c>
      <c r="D2" s="307" t="s">
        <v>855</v>
      </c>
      <c r="E2" s="307" t="s">
        <v>856</v>
      </c>
      <c r="F2" s="307" t="s">
        <v>857</v>
      </c>
      <c r="G2" s="307">
        <v>6</v>
      </c>
      <c r="H2" s="307" t="s">
        <v>858</v>
      </c>
      <c r="I2" s="307" t="str">
        <f>("1004150039")</f>
        <v>1004150039</v>
      </c>
    </row>
    <row r="3" spans="1:9" ht="13.5">
      <c r="A3" s="419" t="str">
        <f t="shared" si="0"/>
        <v>ＭＦＣ三花少年サッカー教室_2</v>
      </c>
      <c r="B3" s="307" t="s">
        <v>854</v>
      </c>
      <c r="C3" s="307" t="str">
        <f>("2")</f>
        <v>2</v>
      </c>
      <c r="D3" s="307" t="s">
        <v>859</v>
      </c>
      <c r="E3" s="307" t="s">
        <v>860</v>
      </c>
      <c r="F3" s="307" t="s">
        <v>861</v>
      </c>
      <c r="G3" s="307">
        <v>6</v>
      </c>
      <c r="H3" s="307" t="s">
        <v>858</v>
      </c>
      <c r="I3" s="307" t="str">
        <f>("1006180244")</f>
        <v>1006180244</v>
      </c>
    </row>
    <row r="4" spans="1:9" ht="13.5">
      <c r="A4" s="419" t="str">
        <f t="shared" si="0"/>
        <v>ＭＦＣ三花少年サッカー教室_3</v>
      </c>
      <c r="B4" s="307" t="s">
        <v>854</v>
      </c>
      <c r="C4" s="307" t="str">
        <f>("3")</f>
        <v>3</v>
      </c>
      <c r="D4" s="307" t="s">
        <v>862</v>
      </c>
      <c r="E4" s="307" t="s">
        <v>863</v>
      </c>
      <c r="F4" s="307" t="s">
        <v>864</v>
      </c>
      <c r="G4" s="307">
        <v>3</v>
      </c>
      <c r="H4" s="307" t="s">
        <v>858</v>
      </c>
      <c r="I4" s="307" t="str">
        <f>("1308310010")</f>
        <v>1308310010</v>
      </c>
    </row>
    <row r="5" spans="1:9" ht="13.5">
      <c r="A5" s="419" t="str">
        <f t="shared" si="0"/>
        <v>ＭＦＣ三花少年サッカー教室_4</v>
      </c>
      <c r="B5" s="307" t="s">
        <v>854</v>
      </c>
      <c r="C5" s="307" t="str">
        <f>("4")</f>
        <v>4</v>
      </c>
      <c r="D5" s="307" t="s">
        <v>862</v>
      </c>
      <c r="E5" s="307" t="s">
        <v>865</v>
      </c>
      <c r="F5" s="307" t="s">
        <v>866</v>
      </c>
      <c r="G5" s="307">
        <v>4</v>
      </c>
      <c r="H5" s="307" t="s">
        <v>858</v>
      </c>
      <c r="I5" s="307" t="str">
        <f>("1212200141")</f>
        <v>1212200141</v>
      </c>
    </row>
    <row r="6" spans="1:9" ht="13.5">
      <c r="A6" s="419" t="str">
        <f t="shared" si="0"/>
        <v>ＭＦＣ三花少年サッカー教室_5</v>
      </c>
      <c r="B6" s="307" t="s">
        <v>854</v>
      </c>
      <c r="C6" s="307" t="str">
        <f>("5")</f>
        <v>5</v>
      </c>
      <c r="D6" s="307" t="s">
        <v>859</v>
      </c>
      <c r="E6" s="307" t="s">
        <v>867</v>
      </c>
      <c r="F6" s="307" t="s">
        <v>868</v>
      </c>
      <c r="G6" s="307">
        <v>5</v>
      </c>
      <c r="H6" s="307" t="s">
        <v>869</v>
      </c>
      <c r="I6" s="307" t="str">
        <f>("1109190101")</f>
        <v>1109190101</v>
      </c>
    </row>
    <row r="7" spans="1:9" ht="13.5">
      <c r="A7" s="419" t="str">
        <f t="shared" si="0"/>
        <v>ＭＦＣ三花少年サッカー教室_6</v>
      </c>
      <c r="B7" s="307" t="s">
        <v>854</v>
      </c>
      <c r="C7" s="307" t="str">
        <f>("6")</f>
        <v>6</v>
      </c>
      <c r="D7" s="307" t="s">
        <v>859</v>
      </c>
      <c r="E7" s="307" t="s">
        <v>870</v>
      </c>
      <c r="F7" s="307" t="s">
        <v>871</v>
      </c>
      <c r="G7" s="307">
        <v>5</v>
      </c>
      <c r="H7" s="307" t="s">
        <v>858</v>
      </c>
      <c r="I7" s="307" t="str">
        <f>("1107220088")</f>
        <v>1107220088</v>
      </c>
    </row>
    <row r="8" spans="1:9" ht="13.5">
      <c r="A8" s="419" t="str">
        <f t="shared" si="0"/>
        <v>ＭＦＣ三花少年サッカー教室_8</v>
      </c>
      <c r="B8" s="307" t="s">
        <v>854</v>
      </c>
      <c r="C8" s="307" t="str">
        <f>("8")</f>
        <v>8</v>
      </c>
      <c r="D8" s="307" t="s">
        <v>859</v>
      </c>
      <c r="E8" s="307" t="s">
        <v>872</v>
      </c>
      <c r="F8" s="307" t="s">
        <v>873</v>
      </c>
      <c r="G8" s="307">
        <v>5</v>
      </c>
      <c r="H8" s="307" t="s">
        <v>858</v>
      </c>
      <c r="I8" s="307" t="str">
        <f>("1104170008")</f>
        <v>1104170008</v>
      </c>
    </row>
    <row r="9" spans="1:9" ht="13.5">
      <c r="A9" s="419" t="str">
        <f t="shared" si="0"/>
        <v>ＭＦＣ三花少年サッカー教室_9</v>
      </c>
      <c r="B9" s="307" t="s">
        <v>854</v>
      </c>
      <c r="C9" s="307" t="str">
        <f>("9")</f>
        <v>9</v>
      </c>
      <c r="D9" s="307" t="s">
        <v>859</v>
      </c>
      <c r="E9" s="307" t="s">
        <v>874</v>
      </c>
      <c r="F9" s="307" t="s">
        <v>875</v>
      </c>
      <c r="G9" s="307">
        <v>5</v>
      </c>
      <c r="H9" s="307" t="s">
        <v>858</v>
      </c>
      <c r="I9" s="307" t="str">
        <f>("1107070019")</f>
        <v>1107070019</v>
      </c>
    </row>
    <row r="10" spans="1:10" ht="13.5">
      <c r="A10" s="419" t="str">
        <f t="shared" si="0"/>
        <v>ＭＦＣ三花少年サッカー教室_10</v>
      </c>
      <c r="B10" s="307" t="s">
        <v>854</v>
      </c>
      <c r="C10" s="307" t="str">
        <f>("10")</f>
        <v>10</v>
      </c>
      <c r="D10" s="307" t="s">
        <v>862</v>
      </c>
      <c r="E10" s="307" t="s">
        <v>876</v>
      </c>
      <c r="F10" s="307" t="s">
        <v>877</v>
      </c>
      <c r="G10" s="307">
        <v>6</v>
      </c>
      <c r="H10" s="307" t="s">
        <v>858</v>
      </c>
      <c r="I10" s="307" t="str">
        <f>("1011190010")</f>
        <v>1011190010</v>
      </c>
      <c r="J10" s="307" t="s">
        <v>15</v>
      </c>
    </row>
    <row r="11" spans="1:9" ht="13.5">
      <c r="A11" s="419" t="str">
        <f t="shared" si="0"/>
        <v>ＭＦＣ三花少年サッカー教室_11</v>
      </c>
      <c r="B11" s="307" t="s">
        <v>854</v>
      </c>
      <c r="C11" s="307" t="str">
        <f>("11")</f>
        <v>11</v>
      </c>
      <c r="D11" s="307" t="s">
        <v>859</v>
      </c>
      <c r="E11" s="307" t="s">
        <v>878</v>
      </c>
      <c r="F11" s="307" t="s">
        <v>879</v>
      </c>
      <c r="G11" s="307">
        <v>5</v>
      </c>
      <c r="H11" s="307" t="s">
        <v>858</v>
      </c>
      <c r="I11" s="307" t="str">
        <f>("1106090154")</f>
        <v>1106090154</v>
      </c>
    </row>
    <row r="12" spans="1:9" ht="13.5">
      <c r="A12" s="419" t="str">
        <f t="shared" si="0"/>
        <v>ＭＦＣ三花少年サッカー教室_12</v>
      </c>
      <c r="B12" s="307" t="s">
        <v>854</v>
      </c>
      <c r="C12" s="307" t="str">
        <f>("12")</f>
        <v>12</v>
      </c>
      <c r="D12" s="307" t="s">
        <v>862</v>
      </c>
      <c r="E12" s="307" t="s">
        <v>880</v>
      </c>
      <c r="F12" s="307" t="s">
        <v>881</v>
      </c>
      <c r="G12" s="307">
        <v>4</v>
      </c>
      <c r="H12" s="307" t="s">
        <v>858</v>
      </c>
      <c r="I12" s="307" t="str">
        <f>("1302150028")</f>
        <v>1302150028</v>
      </c>
    </row>
    <row r="13" spans="1:9" ht="13.5">
      <c r="A13" s="419" t="str">
        <f t="shared" si="0"/>
        <v>ＭＦＣ三花少年サッカー教室_13</v>
      </c>
      <c r="B13" s="307" t="s">
        <v>854</v>
      </c>
      <c r="C13" s="307" t="str">
        <f>("13")</f>
        <v>13</v>
      </c>
      <c r="D13" s="307" t="s">
        <v>859</v>
      </c>
      <c r="E13" s="307" t="s">
        <v>882</v>
      </c>
      <c r="F13" s="307" t="s">
        <v>883</v>
      </c>
      <c r="G13" s="307">
        <v>4</v>
      </c>
      <c r="H13" s="307" t="s">
        <v>858</v>
      </c>
      <c r="I13" s="307" t="str">
        <f>("1205180078")</f>
        <v>1205180078</v>
      </c>
    </row>
    <row r="14" spans="1:9" ht="13.5">
      <c r="A14" s="419" t="str">
        <f t="shared" si="0"/>
        <v>ＭＦＣ三花少年サッカー教室_14</v>
      </c>
      <c r="B14" s="307" t="s">
        <v>854</v>
      </c>
      <c r="C14" s="307" t="str">
        <f>("14")</f>
        <v>14</v>
      </c>
      <c r="D14" s="307" t="s">
        <v>884</v>
      </c>
      <c r="E14" s="307" t="s">
        <v>885</v>
      </c>
      <c r="F14" s="307" t="s">
        <v>886</v>
      </c>
      <c r="G14" s="307">
        <v>4</v>
      </c>
      <c r="H14" s="307" t="s">
        <v>858</v>
      </c>
      <c r="I14" s="307" t="str">
        <f>("1303100001")</f>
        <v>1303100001</v>
      </c>
    </row>
    <row r="15" spans="1:9" ht="13.5">
      <c r="A15" s="419" t="str">
        <f t="shared" si="0"/>
        <v>ＭＦＣ三花少年サッカー教室_15</v>
      </c>
      <c r="B15" s="307" t="s">
        <v>854</v>
      </c>
      <c r="C15" s="307" t="str">
        <f>("15")</f>
        <v>15</v>
      </c>
      <c r="D15" s="307" t="s">
        <v>855</v>
      </c>
      <c r="E15" s="307" t="s">
        <v>887</v>
      </c>
      <c r="F15" s="307" t="s">
        <v>888</v>
      </c>
      <c r="G15" s="307">
        <v>6</v>
      </c>
      <c r="H15" s="307" t="s">
        <v>858</v>
      </c>
      <c r="I15" s="307" t="str">
        <f>("1103250142")</f>
        <v>1103250142</v>
      </c>
    </row>
    <row r="16" spans="1:9" ht="13.5">
      <c r="A16" s="419" t="str">
        <f t="shared" si="0"/>
        <v>ＭＦＣ三花少年サッカー教室_16</v>
      </c>
      <c r="B16" s="307" t="s">
        <v>854</v>
      </c>
      <c r="C16" s="307" t="str">
        <f>("16")</f>
        <v>16</v>
      </c>
      <c r="D16" s="307" t="s">
        <v>884</v>
      </c>
      <c r="E16" s="307" t="s">
        <v>889</v>
      </c>
      <c r="F16" s="307" t="s">
        <v>890</v>
      </c>
      <c r="G16" s="307">
        <v>3</v>
      </c>
      <c r="H16" s="307" t="s">
        <v>858</v>
      </c>
      <c r="I16" s="307" t="str">
        <f>("1310070019")</f>
        <v>1310070019</v>
      </c>
    </row>
    <row r="17" spans="1:9" ht="13.5">
      <c r="A17" s="419" t="str">
        <f t="shared" si="0"/>
        <v>ＭＦＣ三花少年サッカー教室_17</v>
      </c>
      <c r="B17" s="307" t="s">
        <v>854</v>
      </c>
      <c r="C17" s="307" t="str">
        <f>("17")</f>
        <v>17</v>
      </c>
      <c r="D17" s="307" t="s">
        <v>884</v>
      </c>
      <c r="E17" s="307" t="s">
        <v>891</v>
      </c>
      <c r="F17" s="307" t="s">
        <v>892</v>
      </c>
      <c r="G17" s="307">
        <v>5</v>
      </c>
      <c r="H17" s="307" t="s">
        <v>858</v>
      </c>
      <c r="I17" s="307" t="str">
        <f>("1112160017")</f>
        <v>1112160017</v>
      </c>
    </row>
    <row r="18" spans="1:9" ht="13.5">
      <c r="A18" s="419" t="str">
        <f t="shared" si="0"/>
        <v>若宮サッカースポーツ少年団_1</v>
      </c>
      <c r="B18" s="307" t="s">
        <v>893</v>
      </c>
      <c r="C18" s="307" t="str">
        <f>("1")</f>
        <v>1</v>
      </c>
      <c r="D18" s="307" t="s">
        <v>855</v>
      </c>
      <c r="E18" s="307" t="s">
        <v>894</v>
      </c>
      <c r="F18" s="307" t="s">
        <v>895</v>
      </c>
      <c r="G18" s="307">
        <v>5</v>
      </c>
      <c r="H18" s="307" t="s">
        <v>858</v>
      </c>
      <c r="I18" s="307" t="str">
        <f>("1108100184")</f>
        <v>1108100184</v>
      </c>
    </row>
    <row r="19" spans="1:9" ht="13.5">
      <c r="A19" s="419" t="str">
        <f t="shared" si="0"/>
        <v>若宮サッカースポーツ少年団_2</v>
      </c>
      <c r="B19" s="307" t="s">
        <v>893</v>
      </c>
      <c r="C19" s="307" t="str">
        <f>("2")</f>
        <v>2</v>
      </c>
      <c r="D19" s="307" t="s">
        <v>862</v>
      </c>
      <c r="E19" s="307" t="s">
        <v>896</v>
      </c>
      <c r="F19" s="307" t="s">
        <v>897</v>
      </c>
      <c r="G19" s="307">
        <v>5</v>
      </c>
      <c r="H19" s="307" t="s">
        <v>858</v>
      </c>
      <c r="I19" s="307" t="str">
        <f>("1111020108")</f>
        <v>1111020108</v>
      </c>
    </row>
    <row r="20" spans="1:9" ht="13.5">
      <c r="A20" s="419" t="str">
        <f t="shared" si="0"/>
        <v>若宮サッカースポーツ少年団_3</v>
      </c>
      <c r="B20" s="307" t="s">
        <v>893</v>
      </c>
      <c r="C20" s="307" t="str">
        <f>("3")</f>
        <v>3</v>
      </c>
      <c r="D20" s="307" t="s">
        <v>859</v>
      </c>
      <c r="E20" s="307" t="s">
        <v>898</v>
      </c>
      <c r="F20" s="307" t="s">
        <v>899</v>
      </c>
      <c r="G20" s="307">
        <v>5</v>
      </c>
      <c r="H20" s="307" t="s">
        <v>858</v>
      </c>
      <c r="I20" s="307" t="str">
        <f>("1106010118")</f>
        <v>1106010118</v>
      </c>
    </row>
    <row r="21" spans="1:9" ht="13.5">
      <c r="A21" s="419" t="str">
        <f t="shared" si="0"/>
        <v>若宮サッカースポーツ少年団_4</v>
      </c>
      <c r="B21" s="307" t="s">
        <v>893</v>
      </c>
      <c r="C21" s="307" t="str">
        <f>("4")</f>
        <v>4</v>
      </c>
      <c r="D21" s="307" t="s">
        <v>884</v>
      </c>
      <c r="E21" s="307" t="s">
        <v>900</v>
      </c>
      <c r="F21" s="307" t="s">
        <v>901</v>
      </c>
      <c r="G21" s="307">
        <v>6</v>
      </c>
      <c r="H21" s="307" t="s">
        <v>858</v>
      </c>
      <c r="I21" s="307" t="str">
        <f>("1010100089")</f>
        <v>1010100089</v>
      </c>
    </row>
    <row r="22" spans="1:9" ht="13.5">
      <c r="A22" s="419" t="str">
        <f t="shared" si="0"/>
        <v>若宮サッカースポーツ少年団_5</v>
      </c>
      <c r="B22" s="307" t="s">
        <v>893</v>
      </c>
      <c r="C22" s="307" t="str">
        <f>("5")</f>
        <v>5</v>
      </c>
      <c r="D22" s="307" t="s">
        <v>862</v>
      </c>
      <c r="E22" s="307" t="s">
        <v>902</v>
      </c>
      <c r="F22" s="307" t="s">
        <v>903</v>
      </c>
      <c r="G22" s="307">
        <v>6</v>
      </c>
      <c r="H22" s="307" t="s">
        <v>869</v>
      </c>
      <c r="I22" s="307" t="str">
        <f>("1005200183")</f>
        <v>1005200183</v>
      </c>
    </row>
    <row r="23" spans="1:9" ht="13.5">
      <c r="A23" s="419" t="str">
        <f t="shared" si="0"/>
        <v>若宮サッカースポーツ少年団_6</v>
      </c>
      <c r="B23" s="307" t="s">
        <v>893</v>
      </c>
      <c r="C23" s="307" t="str">
        <f>("6")</f>
        <v>6</v>
      </c>
      <c r="D23" s="307" t="s">
        <v>859</v>
      </c>
      <c r="E23" s="307" t="s">
        <v>904</v>
      </c>
      <c r="F23" s="307" t="s">
        <v>905</v>
      </c>
      <c r="G23" s="307">
        <v>4</v>
      </c>
      <c r="H23" s="307" t="s">
        <v>858</v>
      </c>
      <c r="I23" s="307" t="str">
        <f>("1211110076")</f>
        <v>1211110076</v>
      </c>
    </row>
    <row r="24" spans="1:9" ht="13.5">
      <c r="A24" s="419" t="str">
        <f t="shared" si="0"/>
        <v>若宮サッカースポーツ少年団_7</v>
      </c>
      <c r="B24" s="307" t="s">
        <v>893</v>
      </c>
      <c r="C24" s="307" t="str">
        <f>("7")</f>
        <v>7</v>
      </c>
      <c r="D24" s="307" t="s">
        <v>859</v>
      </c>
      <c r="E24" s="307" t="s">
        <v>906</v>
      </c>
      <c r="F24" s="307" t="s">
        <v>907</v>
      </c>
      <c r="G24" s="307">
        <v>3</v>
      </c>
      <c r="H24" s="307" t="s">
        <v>858</v>
      </c>
      <c r="I24" s="307" t="str">
        <f>("1304070033")</f>
        <v>1304070033</v>
      </c>
    </row>
    <row r="25" spans="1:9" ht="13.5">
      <c r="A25" s="419" t="str">
        <f t="shared" si="0"/>
        <v>若宮サッカースポーツ少年団_8</v>
      </c>
      <c r="B25" s="307" t="s">
        <v>893</v>
      </c>
      <c r="C25" s="307" t="str">
        <f>("8")</f>
        <v>8</v>
      </c>
      <c r="D25" s="307" t="s">
        <v>859</v>
      </c>
      <c r="E25" s="307" t="s">
        <v>908</v>
      </c>
      <c r="F25" s="307" t="s">
        <v>909</v>
      </c>
      <c r="G25" s="307">
        <v>5</v>
      </c>
      <c r="H25" s="307" t="s">
        <v>858</v>
      </c>
      <c r="I25" s="307" t="str">
        <f>("1201240050")</f>
        <v>1201240050</v>
      </c>
    </row>
    <row r="26" spans="1:9" ht="13.5">
      <c r="A26" s="419" t="str">
        <f t="shared" si="0"/>
        <v>若宮サッカースポーツ少年団_9</v>
      </c>
      <c r="B26" s="307" t="s">
        <v>893</v>
      </c>
      <c r="C26" s="307" t="str">
        <f>("9")</f>
        <v>9</v>
      </c>
      <c r="D26" s="307" t="s">
        <v>884</v>
      </c>
      <c r="E26" s="307" t="s">
        <v>910</v>
      </c>
      <c r="F26" s="307" t="s">
        <v>911</v>
      </c>
      <c r="G26" s="307">
        <v>4</v>
      </c>
      <c r="H26" s="307" t="s">
        <v>858</v>
      </c>
      <c r="I26" s="307" t="str">
        <f>("1211050075")</f>
        <v>1211050075</v>
      </c>
    </row>
    <row r="27" spans="1:10" ht="13.5">
      <c r="A27" s="419" t="str">
        <f t="shared" si="0"/>
        <v>若宮サッカースポーツ少年団_10</v>
      </c>
      <c r="B27" s="307" t="s">
        <v>893</v>
      </c>
      <c r="C27" s="307" t="str">
        <f>("10")</f>
        <v>10</v>
      </c>
      <c r="D27" s="307" t="s">
        <v>862</v>
      </c>
      <c r="E27" s="307" t="s">
        <v>912</v>
      </c>
      <c r="F27" s="307" t="s">
        <v>913</v>
      </c>
      <c r="G27" s="307">
        <v>6</v>
      </c>
      <c r="H27" s="307" t="s">
        <v>858</v>
      </c>
      <c r="I27" s="307" t="str">
        <f>("1012040144")</f>
        <v>1012040144</v>
      </c>
      <c r="J27" s="307" t="s">
        <v>15</v>
      </c>
    </row>
    <row r="28" spans="1:9" ht="13.5">
      <c r="A28" s="419" t="str">
        <f t="shared" si="0"/>
        <v>若宮サッカースポーツ少年団_11</v>
      </c>
      <c r="B28" s="307" t="s">
        <v>893</v>
      </c>
      <c r="C28" s="307" t="str">
        <f>("11")</f>
        <v>11</v>
      </c>
      <c r="D28" s="307" t="s">
        <v>862</v>
      </c>
      <c r="E28" s="307" t="s">
        <v>914</v>
      </c>
      <c r="F28" s="307" t="s">
        <v>915</v>
      </c>
      <c r="G28" s="307">
        <v>3</v>
      </c>
      <c r="H28" s="307" t="s">
        <v>858</v>
      </c>
      <c r="I28" s="307" t="str">
        <f>("1309120006")</f>
        <v>1309120006</v>
      </c>
    </row>
    <row r="29" spans="1:9" ht="13.5">
      <c r="A29" s="419" t="str">
        <f t="shared" si="0"/>
        <v>若宮サッカースポーツ少年団_12</v>
      </c>
      <c r="B29" s="307" t="s">
        <v>893</v>
      </c>
      <c r="C29" s="307" t="str">
        <f>("12")</f>
        <v>12</v>
      </c>
      <c r="D29" s="307" t="s">
        <v>862</v>
      </c>
      <c r="E29" s="307" t="s">
        <v>916</v>
      </c>
      <c r="F29" s="307" t="s">
        <v>917</v>
      </c>
      <c r="G29" s="307">
        <v>4</v>
      </c>
      <c r="H29" s="307" t="s">
        <v>858</v>
      </c>
      <c r="I29" s="307" t="str">
        <f>("1302280091")</f>
        <v>1302280091</v>
      </c>
    </row>
    <row r="30" spans="1:9" ht="13.5">
      <c r="A30" s="419" t="str">
        <f t="shared" si="0"/>
        <v>若宮サッカースポーツ少年団_21</v>
      </c>
      <c r="B30" s="307" t="s">
        <v>893</v>
      </c>
      <c r="C30" s="307" t="str">
        <f>("21")</f>
        <v>21</v>
      </c>
      <c r="D30" s="307" t="s">
        <v>855</v>
      </c>
      <c r="E30" s="307" t="s">
        <v>918</v>
      </c>
      <c r="F30" s="307" t="s">
        <v>919</v>
      </c>
      <c r="G30" s="307">
        <v>3</v>
      </c>
      <c r="H30" s="307" t="s">
        <v>858</v>
      </c>
      <c r="I30" s="307" t="str">
        <f>("1401140025")</f>
        <v>1401140025</v>
      </c>
    </row>
    <row r="31" spans="1:9" ht="13.5">
      <c r="A31" s="419" t="str">
        <f t="shared" si="0"/>
        <v>咸宜日隈ｓｃ_1</v>
      </c>
      <c r="B31" s="307" t="s">
        <v>920</v>
      </c>
      <c r="C31" s="307" t="str">
        <f>("1")</f>
        <v>1</v>
      </c>
      <c r="D31" s="307" t="s">
        <v>855</v>
      </c>
      <c r="E31" s="307" t="s">
        <v>921</v>
      </c>
      <c r="F31" s="307" t="s">
        <v>922</v>
      </c>
      <c r="G31" s="307">
        <v>4</v>
      </c>
      <c r="H31" s="307" t="s">
        <v>858</v>
      </c>
      <c r="I31" s="307" t="str">
        <f>("1204300046")</f>
        <v>1204300046</v>
      </c>
    </row>
    <row r="32" spans="1:9" ht="13.5">
      <c r="A32" s="419" t="str">
        <f t="shared" si="0"/>
        <v>咸宜日隈ｓｃ_3</v>
      </c>
      <c r="B32" s="307" t="s">
        <v>920</v>
      </c>
      <c r="C32" s="307" t="str">
        <f>("3")</f>
        <v>3</v>
      </c>
      <c r="D32" s="307" t="s">
        <v>884</v>
      </c>
      <c r="E32" s="307" t="s">
        <v>923</v>
      </c>
      <c r="F32" s="307" t="s">
        <v>924</v>
      </c>
      <c r="G32" s="307">
        <v>4</v>
      </c>
      <c r="H32" s="307" t="s">
        <v>858</v>
      </c>
      <c r="I32" s="307" t="str">
        <f>("1301130018")</f>
        <v>1301130018</v>
      </c>
    </row>
    <row r="33" spans="1:9" ht="13.5">
      <c r="A33" s="419" t="str">
        <f t="shared" si="0"/>
        <v>咸宜日隈ｓｃ_4</v>
      </c>
      <c r="B33" s="307" t="s">
        <v>920</v>
      </c>
      <c r="C33" s="307" t="str">
        <f>("4")</f>
        <v>4</v>
      </c>
      <c r="D33" s="307" t="s">
        <v>862</v>
      </c>
      <c r="E33" s="307" t="s">
        <v>925</v>
      </c>
      <c r="F33" s="307" t="s">
        <v>926</v>
      </c>
      <c r="G33" s="307">
        <v>3</v>
      </c>
      <c r="H33" s="307" t="s">
        <v>869</v>
      </c>
      <c r="I33" s="307" t="str">
        <f>("1306240058")</f>
        <v>1306240058</v>
      </c>
    </row>
    <row r="34" spans="1:9" ht="13.5">
      <c r="A34" s="419" t="str">
        <f t="shared" si="0"/>
        <v>咸宜日隈ｓｃ_5</v>
      </c>
      <c r="B34" s="307" t="s">
        <v>920</v>
      </c>
      <c r="C34" s="307" t="str">
        <f>("5")</f>
        <v>5</v>
      </c>
      <c r="D34" s="307" t="s">
        <v>859</v>
      </c>
      <c r="E34" s="307" t="s">
        <v>927</v>
      </c>
      <c r="F34" s="307" t="s">
        <v>928</v>
      </c>
      <c r="G34" s="307">
        <v>4</v>
      </c>
      <c r="H34" s="307" t="s">
        <v>858</v>
      </c>
      <c r="I34" s="307" t="str">
        <f>("1208160038")</f>
        <v>1208160038</v>
      </c>
    </row>
    <row r="35" spans="1:9" ht="13.5">
      <c r="A35" s="419" t="str">
        <f t="shared" si="0"/>
        <v>咸宜日隈ｓｃ_9</v>
      </c>
      <c r="B35" s="307" t="s">
        <v>920</v>
      </c>
      <c r="C35" s="307" t="str">
        <f>("9")</f>
        <v>9</v>
      </c>
      <c r="D35" s="307" t="s">
        <v>859</v>
      </c>
      <c r="E35" s="307" t="s">
        <v>929</v>
      </c>
      <c r="F35" s="307" t="s">
        <v>930</v>
      </c>
      <c r="G35" s="307">
        <v>4</v>
      </c>
      <c r="H35" s="307" t="s">
        <v>858</v>
      </c>
      <c r="I35" s="307" t="str">
        <f>("1205280043")</f>
        <v>1205280043</v>
      </c>
    </row>
    <row r="36" spans="1:9" ht="13.5">
      <c r="A36" s="419" t="str">
        <f t="shared" si="0"/>
        <v>咸宜日隈ｓｃ_11</v>
      </c>
      <c r="B36" s="307" t="s">
        <v>920</v>
      </c>
      <c r="C36" s="307" t="str">
        <f>("11")</f>
        <v>11</v>
      </c>
      <c r="D36" s="307" t="s">
        <v>884</v>
      </c>
      <c r="E36" s="307" t="s">
        <v>931</v>
      </c>
      <c r="F36" s="307" t="s">
        <v>932</v>
      </c>
      <c r="G36" s="307">
        <v>3</v>
      </c>
      <c r="H36" s="307" t="s">
        <v>858</v>
      </c>
      <c r="I36" s="307" t="str">
        <f>("1309100063")</f>
        <v>1309100063</v>
      </c>
    </row>
    <row r="37" spans="1:9" ht="13.5">
      <c r="A37" s="419" t="str">
        <f t="shared" si="0"/>
        <v>咸宜日隈ｓｃ_12</v>
      </c>
      <c r="B37" s="307" t="s">
        <v>920</v>
      </c>
      <c r="C37" s="307" t="str">
        <f>("12")</f>
        <v>12</v>
      </c>
      <c r="D37" s="307" t="s">
        <v>862</v>
      </c>
      <c r="E37" s="307" t="s">
        <v>933</v>
      </c>
      <c r="F37" s="307" t="s">
        <v>934</v>
      </c>
      <c r="G37" s="307">
        <v>5</v>
      </c>
      <c r="H37" s="307" t="s">
        <v>869</v>
      </c>
      <c r="I37" s="307" t="str">
        <f>("1111050098")</f>
        <v>1111050098</v>
      </c>
    </row>
    <row r="38" spans="1:9" ht="13.5">
      <c r="A38" s="419" t="str">
        <f t="shared" si="0"/>
        <v>咸宜日隈ｓｃ_16</v>
      </c>
      <c r="B38" s="307" t="s">
        <v>920</v>
      </c>
      <c r="C38" s="307" t="str">
        <f>("16")</f>
        <v>16</v>
      </c>
      <c r="D38" s="307" t="s">
        <v>884</v>
      </c>
      <c r="E38" s="307" t="s">
        <v>935</v>
      </c>
      <c r="F38" s="307" t="s">
        <v>936</v>
      </c>
      <c r="G38" s="307">
        <v>6</v>
      </c>
      <c r="H38" s="307" t="s">
        <v>858</v>
      </c>
      <c r="I38" s="307" t="str">
        <f>("1102250155")</f>
        <v>1102250155</v>
      </c>
    </row>
    <row r="39" spans="1:9" ht="13.5">
      <c r="A39" s="419" t="str">
        <f t="shared" si="0"/>
        <v>咸宜日隈ｓｃ_19</v>
      </c>
      <c r="B39" s="307" t="s">
        <v>920</v>
      </c>
      <c r="C39" s="307" t="str">
        <f>("19")</f>
        <v>19</v>
      </c>
      <c r="D39" s="307" t="s">
        <v>884</v>
      </c>
      <c r="E39" s="307" t="s">
        <v>937</v>
      </c>
      <c r="F39" s="307" t="s">
        <v>938</v>
      </c>
      <c r="G39" s="307">
        <v>3</v>
      </c>
      <c r="H39" s="307" t="s">
        <v>858</v>
      </c>
      <c r="I39" s="307" t="str">
        <f>("1307030063")</f>
        <v>1307030063</v>
      </c>
    </row>
    <row r="40" spans="1:9" ht="13.5">
      <c r="A40" s="419" t="str">
        <f t="shared" si="0"/>
        <v>咸宜日隈ｓｃ_20</v>
      </c>
      <c r="B40" s="307" t="s">
        <v>920</v>
      </c>
      <c r="C40" s="307" t="str">
        <f>("20")</f>
        <v>20</v>
      </c>
      <c r="D40" s="307" t="s">
        <v>884</v>
      </c>
      <c r="E40" s="307" t="s">
        <v>939</v>
      </c>
      <c r="F40" s="307" t="s">
        <v>940</v>
      </c>
      <c r="G40" s="307">
        <v>6</v>
      </c>
      <c r="H40" s="307" t="s">
        <v>858</v>
      </c>
      <c r="I40" s="307" t="str">
        <f>("1007100227")</f>
        <v>1007100227</v>
      </c>
    </row>
    <row r="41" spans="1:9" ht="13.5">
      <c r="A41" s="419" t="str">
        <f t="shared" si="0"/>
        <v>咸宜日隈ｓｃ_23</v>
      </c>
      <c r="B41" s="307" t="s">
        <v>920</v>
      </c>
      <c r="C41" s="307" t="str">
        <f>("23")</f>
        <v>23</v>
      </c>
      <c r="D41" s="307" t="s">
        <v>862</v>
      </c>
      <c r="E41" s="307" t="s">
        <v>941</v>
      </c>
      <c r="F41" s="307" t="s">
        <v>942</v>
      </c>
      <c r="G41" s="307">
        <v>6</v>
      </c>
      <c r="H41" s="307" t="s">
        <v>858</v>
      </c>
      <c r="I41" s="307" t="str">
        <f>("1004250163")</f>
        <v>1004250163</v>
      </c>
    </row>
    <row r="42" spans="1:9" ht="13.5">
      <c r="A42" s="419" t="str">
        <f t="shared" si="0"/>
        <v>咸宜日隈ｓｃ_24</v>
      </c>
      <c r="B42" s="307" t="s">
        <v>920</v>
      </c>
      <c r="C42" s="307" t="str">
        <f>("24")</f>
        <v>24</v>
      </c>
      <c r="D42" s="307" t="s">
        <v>862</v>
      </c>
      <c r="E42" s="307" t="s">
        <v>943</v>
      </c>
      <c r="F42" s="307" t="s">
        <v>944</v>
      </c>
      <c r="G42" s="307">
        <v>5</v>
      </c>
      <c r="H42" s="307" t="s">
        <v>858</v>
      </c>
      <c r="I42" s="307" t="str">
        <f>("1109130132")</f>
        <v>1109130132</v>
      </c>
    </row>
    <row r="43" spans="1:10" ht="13.5">
      <c r="A43" s="419" t="str">
        <f t="shared" si="0"/>
        <v>咸宜日隈ｓｃ_26</v>
      </c>
      <c r="B43" s="307" t="s">
        <v>920</v>
      </c>
      <c r="C43" s="307" t="str">
        <f>("26")</f>
        <v>26</v>
      </c>
      <c r="D43" s="307" t="s">
        <v>862</v>
      </c>
      <c r="E43" s="307" t="s">
        <v>945</v>
      </c>
      <c r="F43" s="307" t="s">
        <v>946</v>
      </c>
      <c r="G43" s="307">
        <v>6</v>
      </c>
      <c r="H43" s="307" t="s">
        <v>858</v>
      </c>
      <c r="I43" s="307" t="str">
        <f>("1008070111")</f>
        <v>1008070111</v>
      </c>
      <c r="J43" s="307" t="s">
        <v>15</v>
      </c>
    </row>
    <row r="44" spans="1:9" ht="13.5">
      <c r="A44" s="419" t="str">
        <f t="shared" si="0"/>
        <v>咸宜日隈ｓｃ_27</v>
      </c>
      <c r="B44" s="307" t="s">
        <v>920</v>
      </c>
      <c r="C44" s="307" t="str">
        <f>("27")</f>
        <v>27</v>
      </c>
      <c r="D44" s="307" t="s">
        <v>859</v>
      </c>
      <c r="E44" s="307" t="s">
        <v>947</v>
      </c>
      <c r="F44" s="307" t="s">
        <v>948</v>
      </c>
      <c r="G44" s="307">
        <v>4</v>
      </c>
      <c r="H44" s="307" t="s">
        <v>858</v>
      </c>
      <c r="I44" s="307" t="str">
        <f>("1205290038")</f>
        <v>1205290038</v>
      </c>
    </row>
    <row r="45" spans="1:9" ht="13.5">
      <c r="A45" s="419" t="str">
        <f t="shared" si="0"/>
        <v>咸宜日隈ｓｃ_30</v>
      </c>
      <c r="B45" s="307" t="s">
        <v>920</v>
      </c>
      <c r="C45" s="307" t="str">
        <f>("30")</f>
        <v>30</v>
      </c>
      <c r="D45" s="307" t="s">
        <v>862</v>
      </c>
      <c r="E45" s="307" t="s">
        <v>949</v>
      </c>
      <c r="F45" s="307" t="s">
        <v>950</v>
      </c>
      <c r="G45" s="307">
        <v>5</v>
      </c>
      <c r="H45" s="307" t="s">
        <v>858</v>
      </c>
      <c r="I45" s="307" t="str">
        <f>("1110190125")</f>
        <v>1110190125</v>
      </c>
    </row>
    <row r="46" spans="1:9" ht="13.5">
      <c r="A46" s="419" t="str">
        <f t="shared" si="0"/>
        <v>ＦＣアリアーレ_1</v>
      </c>
      <c r="B46" s="307" t="s">
        <v>37</v>
      </c>
      <c r="C46" s="307" t="str">
        <f>("1")</f>
        <v>1</v>
      </c>
      <c r="D46" s="307" t="s">
        <v>855</v>
      </c>
      <c r="E46" s="307" t="s">
        <v>951</v>
      </c>
      <c r="F46" s="307" t="s">
        <v>952</v>
      </c>
      <c r="G46" s="307">
        <v>5</v>
      </c>
      <c r="H46" s="307" t="s">
        <v>858</v>
      </c>
      <c r="I46" s="307" t="str">
        <f>("1202250005")</f>
        <v>1202250005</v>
      </c>
    </row>
    <row r="47" spans="1:9" ht="13.5">
      <c r="A47" s="419" t="str">
        <f t="shared" si="0"/>
        <v>ＦＣアリアーレ_2</v>
      </c>
      <c r="B47" s="307" t="s">
        <v>37</v>
      </c>
      <c r="C47" s="307" t="str">
        <f>("2")</f>
        <v>2</v>
      </c>
      <c r="D47" s="307" t="s">
        <v>859</v>
      </c>
      <c r="E47" s="307" t="s">
        <v>953</v>
      </c>
      <c r="F47" s="307" t="s">
        <v>954</v>
      </c>
      <c r="G47" s="307">
        <v>5</v>
      </c>
      <c r="H47" s="307" t="s">
        <v>858</v>
      </c>
      <c r="I47" s="307" t="str">
        <f>("1104020021")</f>
        <v>1104020021</v>
      </c>
    </row>
    <row r="48" spans="1:9" ht="13.5">
      <c r="A48" s="419" t="str">
        <f t="shared" si="0"/>
        <v>ＦＣアリアーレ_3</v>
      </c>
      <c r="B48" s="307" t="s">
        <v>37</v>
      </c>
      <c r="C48" s="307" t="str">
        <f>("3")</f>
        <v>3</v>
      </c>
      <c r="D48" s="307" t="s">
        <v>862</v>
      </c>
      <c r="E48" s="307" t="s">
        <v>955</v>
      </c>
      <c r="F48" s="307" t="s">
        <v>956</v>
      </c>
      <c r="G48" s="307">
        <v>4</v>
      </c>
      <c r="H48" s="307" t="s">
        <v>858</v>
      </c>
      <c r="I48" s="307" t="str">
        <f>("1204230066")</f>
        <v>1204230066</v>
      </c>
    </row>
    <row r="49" spans="1:9" ht="13.5">
      <c r="A49" s="419" t="str">
        <f t="shared" si="0"/>
        <v>ＦＣアリアーレ_4</v>
      </c>
      <c r="B49" s="307" t="s">
        <v>37</v>
      </c>
      <c r="C49" s="307" t="str">
        <f>("4")</f>
        <v>4</v>
      </c>
      <c r="D49" s="307" t="s">
        <v>859</v>
      </c>
      <c r="E49" s="307" t="s">
        <v>957</v>
      </c>
      <c r="F49" s="307" t="s">
        <v>958</v>
      </c>
      <c r="G49" s="307">
        <v>5</v>
      </c>
      <c r="H49" s="307" t="s">
        <v>858</v>
      </c>
      <c r="I49" s="307" t="str">
        <f>("1202090032")</f>
        <v>1202090032</v>
      </c>
    </row>
    <row r="50" spans="1:9" ht="13.5">
      <c r="A50" s="419" t="str">
        <f t="shared" si="0"/>
        <v>ＦＣアリアーレ_5</v>
      </c>
      <c r="B50" s="307" t="s">
        <v>37</v>
      </c>
      <c r="C50" s="307" t="str">
        <f>("5")</f>
        <v>5</v>
      </c>
      <c r="D50" s="307" t="s">
        <v>862</v>
      </c>
      <c r="E50" s="307" t="s">
        <v>959</v>
      </c>
      <c r="F50" s="307" t="s">
        <v>960</v>
      </c>
      <c r="G50" s="307">
        <v>5</v>
      </c>
      <c r="H50" s="307" t="s">
        <v>858</v>
      </c>
      <c r="I50" s="307" t="str">
        <f>("1202060028")</f>
        <v>1202060028</v>
      </c>
    </row>
    <row r="51" spans="1:9" ht="13.5">
      <c r="A51" s="419" t="str">
        <f t="shared" si="0"/>
        <v>ＦＣアリアーレ_6</v>
      </c>
      <c r="B51" s="307" t="s">
        <v>37</v>
      </c>
      <c r="C51" s="307" t="str">
        <f>("6")</f>
        <v>6</v>
      </c>
      <c r="D51" s="307" t="s">
        <v>862</v>
      </c>
      <c r="E51" s="307" t="s">
        <v>961</v>
      </c>
      <c r="F51" s="307" t="s">
        <v>962</v>
      </c>
      <c r="G51" s="307">
        <v>5</v>
      </c>
      <c r="H51" s="307" t="s">
        <v>858</v>
      </c>
      <c r="I51" s="307" t="str">
        <f>("1203070025")</f>
        <v>1203070025</v>
      </c>
    </row>
    <row r="52" spans="1:10" ht="13.5">
      <c r="A52" s="419" t="str">
        <f t="shared" si="0"/>
        <v>ＦＣアリアーレ_7</v>
      </c>
      <c r="B52" s="307" t="s">
        <v>37</v>
      </c>
      <c r="C52" s="307" t="str">
        <f>("7")</f>
        <v>7</v>
      </c>
      <c r="D52" s="307" t="s">
        <v>862</v>
      </c>
      <c r="E52" s="307" t="s">
        <v>963</v>
      </c>
      <c r="F52" s="307" t="s">
        <v>964</v>
      </c>
      <c r="G52" s="307">
        <v>6</v>
      </c>
      <c r="H52" s="307" t="s">
        <v>858</v>
      </c>
      <c r="I52" s="307" t="str">
        <f>("1009230091")</f>
        <v>1009230091</v>
      </c>
      <c r="J52" s="307" t="s">
        <v>15</v>
      </c>
    </row>
    <row r="53" spans="1:9" ht="13.5">
      <c r="A53" s="419" t="str">
        <f t="shared" si="0"/>
        <v>ＦＣアリアーレ_8</v>
      </c>
      <c r="B53" s="307" t="s">
        <v>37</v>
      </c>
      <c r="C53" s="307" t="str">
        <f>("8")</f>
        <v>8</v>
      </c>
      <c r="D53" s="307" t="s">
        <v>859</v>
      </c>
      <c r="E53" s="307" t="s">
        <v>965</v>
      </c>
      <c r="F53" s="307" t="s">
        <v>966</v>
      </c>
      <c r="G53" s="307">
        <v>5</v>
      </c>
      <c r="H53" s="307" t="s">
        <v>858</v>
      </c>
      <c r="I53" s="307" t="str">
        <f>("1201260021")</f>
        <v>1201260021</v>
      </c>
    </row>
    <row r="54" spans="1:9" ht="13.5">
      <c r="A54" s="419" t="str">
        <f t="shared" si="0"/>
        <v>ＦＣアリアーレ_9</v>
      </c>
      <c r="B54" s="307" t="s">
        <v>37</v>
      </c>
      <c r="C54" s="307" t="str">
        <f>("9")</f>
        <v>9</v>
      </c>
      <c r="D54" s="307" t="s">
        <v>884</v>
      </c>
      <c r="E54" s="307" t="s">
        <v>967</v>
      </c>
      <c r="F54" s="307" t="s">
        <v>968</v>
      </c>
      <c r="G54" s="307">
        <v>5</v>
      </c>
      <c r="H54" s="307" t="s">
        <v>858</v>
      </c>
      <c r="I54" s="307" t="str">
        <f>("1104250162")</f>
        <v>1104250162</v>
      </c>
    </row>
    <row r="55" spans="1:9" ht="13.5">
      <c r="A55" s="419" t="str">
        <f t="shared" si="0"/>
        <v>ＦＣアリアーレ_10</v>
      </c>
      <c r="B55" s="307" t="s">
        <v>37</v>
      </c>
      <c r="C55" s="307" t="str">
        <f>("10")</f>
        <v>10</v>
      </c>
      <c r="D55" s="307" t="s">
        <v>862</v>
      </c>
      <c r="E55" s="307" t="s">
        <v>969</v>
      </c>
      <c r="F55" s="307" t="s">
        <v>970</v>
      </c>
      <c r="G55" s="307">
        <v>6</v>
      </c>
      <c r="H55" s="307" t="s">
        <v>858</v>
      </c>
      <c r="I55" s="307" t="str">
        <f>("1004080142")</f>
        <v>1004080142</v>
      </c>
    </row>
    <row r="56" spans="1:9" ht="13.5">
      <c r="A56" s="419" t="str">
        <f t="shared" si="0"/>
        <v>ＦＣアリアーレ_11</v>
      </c>
      <c r="B56" s="307" t="s">
        <v>37</v>
      </c>
      <c r="C56" s="307" t="str">
        <f>("11")</f>
        <v>11</v>
      </c>
      <c r="D56" s="307" t="s">
        <v>884</v>
      </c>
      <c r="E56" s="307" t="s">
        <v>971</v>
      </c>
      <c r="F56" s="307" t="s">
        <v>972</v>
      </c>
      <c r="G56" s="307">
        <v>5</v>
      </c>
      <c r="H56" s="307" t="s">
        <v>858</v>
      </c>
      <c r="I56" s="307" t="str">
        <f>("1109150014")</f>
        <v>1109150014</v>
      </c>
    </row>
    <row r="57" spans="1:9" ht="13.5">
      <c r="A57" s="419" t="str">
        <f t="shared" si="0"/>
        <v>ＦＣアリアーレ_12</v>
      </c>
      <c r="B57" s="307" t="s">
        <v>37</v>
      </c>
      <c r="C57" s="307" t="str">
        <f>("12")</f>
        <v>12</v>
      </c>
      <c r="D57" s="307" t="s">
        <v>859</v>
      </c>
      <c r="E57" s="307" t="s">
        <v>973</v>
      </c>
      <c r="F57" s="307" t="s">
        <v>974</v>
      </c>
      <c r="G57" s="307">
        <v>4</v>
      </c>
      <c r="H57" s="307" t="s">
        <v>858</v>
      </c>
      <c r="I57" s="307" t="str">
        <f>("1208030025")</f>
        <v>1208030025</v>
      </c>
    </row>
    <row r="58" spans="1:9" ht="13.5">
      <c r="A58" s="419" t="str">
        <f t="shared" si="0"/>
        <v>ＦＣアリアーレ_13</v>
      </c>
      <c r="B58" s="307" t="s">
        <v>37</v>
      </c>
      <c r="C58" s="307" t="str">
        <f>("13")</f>
        <v>13</v>
      </c>
      <c r="D58" s="307" t="s">
        <v>884</v>
      </c>
      <c r="E58" s="307" t="s">
        <v>975</v>
      </c>
      <c r="F58" s="307" t="s">
        <v>976</v>
      </c>
      <c r="G58" s="307">
        <v>4</v>
      </c>
      <c r="H58" s="307" t="s">
        <v>858</v>
      </c>
      <c r="I58" s="307" t="str">
        <f>("1204030053")</f>
        <v>1204030053</v>
      </c>
    </row>
    <row r="59" spans="1:9" ht="13.5">
      <c r="A59" s="419" t="str">
        <f t="shared" si="0"/>
        <v>ＦＣアリアーレ_14</v>
      </c>
      <c r="B59" s="307" t="s">
        <v>37</v>
      </c>
      <c r="C59" s="307" t="str">
        <f>("14")</f>
        <v>14</v>
      </c>
      <c r="D59" s="307" t="s">
        <v>862</v>
      </c>
      <c r="E59" s="307" t="s">
        <v>977</v>
      </c>
      <c r="F59" s="307" t="s">
        <v>978</v>
      </c>
      <c r="G59" s="307">
        <v>5</v>
      </c>
      <c r="H59" s="307" t="s">
        <v>858</v>
      </c>
      <c r="I59" s="307" t="str">
        <f>("1110240032")</f>
        <v>1110240032</v>
      </c>
    </row>
    <row r="60" spans="1:9" ht="13.5">
      <c r="A60" s="419" t="str">
        <f t="shared" si="0"/>
        <v>ＦＣアリアーレ_15</v>
      </c>
      <c r="B60" s="307" t="s">
        <v>37</v>
      </c>
      <c r="C60" s="307" t="str">
        <f>("15")</f>
        <v>15</v>
      </c>
      <c r="D60" s="307" t="s">
        <v>859</v>
      </c>
      <c r="E60" s="307" t="s">
        <v>979</v>
      </c>
      <c r="F60" s="307" t="s">
        <v>980</v>
      </c>
      <c r="G60" s="307">
        <v>4</v>
      </c>
      <c r="H60" s="307" t="s">
        <v>858</v>
      </c>
      <c r="I60" s="307" t="str">
        <f>("1210280026")</f>
        <v>1210280026</v>
      </c>
    </row>
    <row r="61" spans="1:9" ht="13.5">
      <c r="A61" s="419" t="str">
        <f t="shared" si="0"/>
        <v>ＦＣアリアーレ_16</v>
      </c>
      <c r="B61" s="307" t="s">
        <v>37</v>
      </c>
      <c r="C61" s="307" t="str">
        <f>("16")</f>
        <v>16</v>
      </c>
      <c r="D61" s="307" t="s">
        <v>884</v>
      </c>
      <c r="E61" s="307" t="s">
        <v>981</v>
      </c>
      <c r="F61" s="307" t="s">
        <v>982</v>
      </c>
      <c r="G61" s="307">
        <v>5</v>
      </c>
      <c r="H61" s="307" t="s">
        <v>858</v>
      </c>
      <c r="I61" s="307" t="str">
        <f>("1201210029")</f>
        <v>1201210029</v>
      </c>
    </row>
    <row r="62" spans="1:10" ht="13.5">
      <c r="A62" s="419" t="str">
        <f t="shared" si="0"/>
        <v>三芳少年サッカースクール_1</v>
      </c>
      <c r="B62" s="307" t="s">
        <v>983</v>
      </c>
      <c r="C62" s="307" t="str">
        <f>("1")</f>
        <v>1</v>
      </c>
      <c r="D62" s="307" t="s">
        <v>855</v>
      </c>
      <c r="E62" s="307" t="s">
        <v>984</v>
      </c>
      <c r="F62" s="307" t="s">
        <v>985</v>
      </c>
      <c r="G62" s="307">
        <v>6</v>
      </c>
      <c r="H62" s="307" t="s">
        <v>858</v>
      </c>
      <c r="I62" s="307" t="str">
        <f>("1102060013")</f>
        <v>1102060013</v>
      </c>
      <c r="J62" s="307" t="s">
        <v>15</v>
      </c>
    </row>
    <row r="63" spans="1:9" ht="13.5">
      <c r="A63" s="419" t="str">
        <f t="shared" si="0"/>
        <v>三芳少年サッカースクール_2</v>
      </c>
      <c r="B63" s="307" t="s">
        <v>983</v>
      </c>
      <c r="C63" s="307" t="str">
        <f>("2")</f>
        <v>2</v>
      </c>
      <c r="D63" s="307" t="s">
        <v>862</v>
      </c>
      <c r="E63" s="307" t="s">
        <v>986</v>
      </c>
      <c r="F63" s="307" t="s">
        <v>987</v>
      </c>
      <c r="G63" s="307">
        <v>5</v>
      </c>
      <c r="H63" s="307" t="s">
        <v>858</v>
      </c>
      <c r="I63" s="307" t="str">
        <f>("1105030106")</f>
        <v>1105030106</v>
      </c>
    </row>
    <row r="64" spans="1:9" ht="13.5">
      <c r="A64" s="419" t="str">
        <f t="shared" si="0"/>
        <v>三芳少年サッカースクール_3</v>
      </c>
      <c r="B64" s="307" t="s">
        <v>983</v>
      </c>
      <c r="C64" s="307" t="str">
        <f>("3")</f>
        <v>3</v>
      </c>
      <c r="D64" s="307" t="s">
        <v>859</v>
      </c>
      <c r="E64" s="307" t="s">
        <v>988</v>
      </c>
      <c r="F64" s="307" t="s">
        <v>989</v>
      </c>
      <c r="G64" s="307">
        <v>5</v>
      </c>
      <c r="H64" s="307" t="s">
        <v>858</v>
      </c>
      <c r="I64" s="307" t="str">
        <f>("1110250014")</f>
        <v>1110250014</v>
      </c>
    </row>
    <row r="65" spans="1:9" ht="13.5">
      <c r="A65" s="419" t="str">
        <f aca="true" t="shared" si="1" ref="A65:A128">CONCATENATE(B65,"_",C65)</f>
        <v>三芳少年サッカースクール_4</v>
      </c>
      <c r="B65" s="307" t="s">
        <v>983</v>
      </c>
      <c r="C65" s="307" t="str">
        <f>("4")</f>
        <v>4</v>
      </c>
      <c r="D65" s="307" t="s">
        <v>862</v>
      </c>
      <c r="E65" s="307" t="s">
        <v>990</v>
      </c>
      <c r="F65" s="307" t="s">
        <v>991</v>
      </c>
      <c r="G65" s="307">
        <v>4</v>
      </c>
      <c r="H65" s="307" t="s">
        <v>858</v>
      </c>
      <c r="I65" s="307" t="str">
        <f>("1207020197")</f>
        <v>1207020197</v>
      </c>
    </row>
    <row r="66" spans="1:9" ht="13.5">
      <c r="A66" s="419" t="str">
        <f t="shared" si="1"/>
        <v>三芳少年サッカースクール_5</v>
      </c>
      <c r="B66" s="307" t="s">
        <v>983</v>
      </c>
      <c r="C66" s="307" t="str">
        <f>("5")</f>
        <v>5</v>
      </c>
      <c r="D66" s="307" t="s">
        <v>859</v>
      </c>
      <c r="E66" s="307" t="s">
        <v>992</v>
      </c>
      <c r="F66" s="307" t="s">
        <v>993</v>
      </c>
      <c r="G66" s="307">
        <v>6</v>
      </c>
      <c r="H66" s="307" t="s">
        <v>858</v>
      </c>
      <c r="I66" s="307" t="str">
        <f>("1012060026")</f>
        <v>1012060026</v>
      </c>
    </row>
    <row r="67" spans="1:9" ht="13.5">
      <c r="A67" s="419" t="str">
        <f t="shared" si="1"/>
        <v>三芳少年サッカースクール_6</v>
      </c>
      <c r="B67" s="307" t="s">
        <v>983</v>
      </c>
      <c r="C67" s="307" t="str">
        <f>("6")</f>
        <v>6</v>
      </c>
      <c r="D67" s="307" t="s">
        <v>859</v>
      </c>
      <c r="E67" s="307" t="s">
        <v>994</v>
      </c>
      <c r="F67" s="307" t="s">
        <v>995</v>
      </c>
      <c r="G67" s="307">
        <v>5</v>
      </c>
      <c r="H67" s="307" t="s">
        <v>858</v>
      </c>
      <c r="I67" s="307" t="str">
        <f>("1109050196")</f>
        <v>1109050196</v>
      </c>
    </row>
    <row r="68" spans="1:9" ht="13.5">
      <c r="A68" s="419" t="str">
        <f t="shared" si="1"/>
        <v>三芳少年サッカースクール_7</v>
      </c>
      <c r="B68" s="307" t="s">
        <v>983</v>
      </c>
      <c r="C68" s="307" t="str">
        <f>("7")</f>
        <v>7</v>
      </c>
      <c r="D68" s="307" t="s">
        <v>859</v>
      </c>
      <c r="E68" s="307" t="s">
        <v>996</v>
      </c>
      <c r="F68" s="307" t="s">
        <v>997</v>
      </c>
      <c r="G68" s="307">
        <v>6</v>
      </c>
      <c r="H68" s="307" t="s">
        <v>858</v>
      </c>
      <c r="I68" s="307" t="str">
        <f>("1009030113")</f>
        <v>1009030113</v>
      </c>
    </row>
    <row r="69" spans="1:9" ht="13.5">
      <c r="A69" s="419" t="str">
        <f t="shared" si="1"/>
        <v>三芳少年サッカースクール_8</v>
      </c>
      <c r="B69" s="307" t="s">
        <v>983</v>
      </c>
      <c r="C69" s="307" t="str">
        <f>("8")</f>
        <v>8</v>
      </c>
      <c r="D69" s="307" t="s">
        <v>884</v>
      </c>
      <c r="E69" s="307" t="s">
        <v>998</v>
      </c>
      <c r="F69" s="307" t="s">
        <v>999</v>
      </c>
      <c r="G69" s="307">
        <v>5</v>
      </c>
      <c r="H69" s="307" t="s">
        <v>858</v>
      </c>
      <c r="I69" s="307" t="str">
        <f>("1108030100")</f>
        <v>1108030100</v>
      </c>
    </row>
    <row r="70" spans="1:9" ht="13.5">
      <c r="A70" s="419" t="str">
        <f t="shared" si="1"/>
        <v>三芳少年サッカースクール_9</v>
      </c>
      <c r="B70" s="307" t="s">
        <v>983</v>
      </c>
      <c r="C70" s="307" t="str">
        <f>("9")</f>
        <v>9</v>
      </c>
      <c r="D70" s="307" t="s">
        <v>859</v>
      </c>
      <c r="E70" s="307" t="s">
        <v>1000</v>
      </c>
      <c r="F70" s="307" t="s">
        <v>1001</v>
      </c>
      <c r="G70" s="307">
        <v>6</v>
      </c>
      <c r="H70" s="307" t="s">
        <v>858</v>
      </c>
      <c r="I70" s="307" t="str">
        <f>("1012090111")</f>
        <v>1012090111</v>
      </c>
    </row>
    <row r="71" spans="1:9" ht="13.5">
      <c r="A71" s="419" t="str">
        <f t="shared" si="1"/>
        <v>三芳少年サッカースクール_10</v>
      </c>
      <c r="B71" s="307" t="s">
        <v>983</v>
      </c>
      <c r="C71" s="307" t="str">
        <f>("10")</f>
        <v>10</v>
      </c>
      <c r="D71" s="307" t="s">
        <v>884</v>
      </c>
      <c r="E71" s="307" t="s">
        <v>1002</v>
      </c>
      <c r="F71" s="307" t="s">
        <v>1003</v>
      </c>
      <c r="G71" s="307">
        <v>5</v>
      </c>
      <c r="H71" s="307" t="s">
        <v>858</v>
      </c>
      <c r="I71" s="307" t="str">
        <f>("1201250021")</f>
        <v>1201250021</v>
      </c>
    </row>
    <row r="72" spans="1:9" ht="13.5">
      <c r="A72" s="419" t="str">
        <f t="shared" si="1"/>
        <v>三芳少年サッカースクール_11</v>
      </c>
      <c r="B72" s="307" t="s">
        <v>983</v>
      </c>
      <c r="C72" s="307" t="str">
        <f>("11")</f>
        <v>11</v>
      </c>
      <c r="D72" s="307" t="s">
        <v>884</v>
      </c>
      <c r="E72" s="307" t="s">
        <v>1004</v>
      </c>
      <c r="F72" s="307" t="s">
        <v>1005</v>
      </c>
      <c r="G72" s="307">
        <v>4</v>
      </c>
      <c r="H72" s="307" t="s">
        <v>858</v>
      </c>
      <c r="I72" s="307" t="str">
        <f>("1209190186")</f>
        <v>1209190186</v>
      </c>
    </row>
    <row r="73" spans="1:9" ht="13.5">
      <c r="A73" s="419" t="str">
        <f t="shared" si="1"/>
        <v>三芳少年サッカースクール_12</v>
      </c>
      <c r="B73" s="307" t="s">
        <v>983</v>
      </c>
      <c r="C73" s="307" t="str">
        <f>("12")</f>
        <v>12</v>
      </c>
      <c r="D73" s="307" t="s">
        <v>884</v>
      </c>
      <c r="E73" s="307" t="s">
        <v>1006</v>
      </c>
      <c r="F73" s="307" t="s">
        <v>1007</v>
      </c>
      <c r="G73" s="307">
        <v>5</v>
      </c>
      <c r="H73" s="307" t="s">
        <v>858</v>
      </c>
      <c r="I73" s="307" t="str">
        <f>("1108110273")</f>
        <v>1108110273</v>
      </c>
    </row>
    <row r="74" spans="1:9" ht="13.5">
      <c r="A74" s="419" t="str">
        <f t="shared" si="1"/>
        <v>三芳少年サッカースクール_13</v>
      </c>
      <c r="B74" s="307" t="s">
        <v>983</v>
      </c>
      <c r="C74" s="307" t="str">
        <f>("13")</f>
        <v>13</v>
      </c>
      <c r="D74" s="307" t="s">
        <v>884</v>
      </c>
      <c r="E74" s="307" t="s">
        <v>1008</v>
      </c>
      <c r="F74" s="307" t="s">
        <v>1009</v>
      </c>
      <c r="G74" s="307">
        <v>4</v>
      </c>
      <c r="H74" s="307" t="s">
        <v>858</v>
      </c>
      <c r="I74" s="307" t="str">
        <f>("1205300195")</f>
        <v>1205300195</v>
      </c>
    </row>
    <row r="75" spans="1:9" ht="13.5">
      <c r="A75" s="419" t="str">
        <f t="shared" si="1"/>
        <v>三芳少年サッカースクール_14</v>
      </c>
      <c r="B75" s="307" t="s">
        <v>983</v>
      </c>
      <c r="C75" s="307" t="str">
        <f>("14")</f>
        <v>14</v>
      </c>
      <c r="D75" s="307" t="s">
        <v>884</v>
      </c>
      <c r="E75" s="307" t="s">
        <v>1010</v>
      </c>
      <c r="F75" s="307" t="s">
        <v>1011</v>
      </c>
      <c r="G75" s="307">
        <v>4</v>
      </c>
      <c r="H75" s="307" t="s">
        <v>858</v>
      </c>
      <c r="I75" s="307" t="str">
        <f>("1302070154")</f>
        <v>1302070154</v>
      </c>
    </row>
    <row r="76" spans="1:9" ht="13.5">
      <c r="A76" s="419" t="str">
        <f t="shared" si="1"/>
        <v>三芳少年サッカースクール_15</v>
      </c>
      <c r="B76" s="307" t="s">
        <v>983</v>
      </c>
      <c r="C76" s="307" t="str">
        <f>("15")</f>
        <v>15</v>
      </c>
      <c r="D76" s="307" t="s">
        <v>859</v>
      </c>
      <c r="E76" s="307" t="s">
        <v>1012</v>
      </c>
      <c r="F76" s="307" t="s">
        <v>1013</v>
      </c>
      <c r="G76" s="307">
        <v>4</v>
      </c>
      <c r="H76" s="307" t="s">
        <v>858</v>
      </c>
      <c r="I76" s="307" t="str">
        <f>("1204190186")</f>
        <v>1204190186</v>
      </c>
    </row>
    <row r="77" spans="1:9" ht="13.5">
      <c r="A77" s="419" t="str">
        <f t="shared" si="1"/>
        <v>三芳少年サッカースクール_16</v>
      </c>
      <c r="B77" s="307" t="s">
        <v>983</v>
      </c>
      <c r="C77" s="307" t="str">
        <f>("16")</f>
        <v>16</v>
      </c>
      <c r="D77" s="307" t="s">
        <v>855</v>
      </c>
      <c r="E77" s="307" t="s">
        <v>1014</v>
      </c>
      <c r="F77" s="307" t="s">
        <v>1015</v>
      </c>
      <c r="G77" s="307">
        <v>5</v>
      </c>
      <c r="H77" s="307" t="s">
        <v>858</v>
      </c>
      <c r="I77" s="307" t="str">
        <f>("1109030013")</f>
        <v>1109030013</v>
      </c>
    </row>
    <row r="78" spans="1:9" ht="13.5">
      <c r="A78" s="419" t="str">
        <f t="shared" si="1"/>
        <v>玖珠サッカースポーツ少年団_1</v>
      </c>
      <c r="B78" s="307" t="s">
        <v>1016</v>
      </c>
      <c r="C78" s="307" t="str">
        <f>("1")</f>
        <v>1</v>
      </c>
      <c r="D78" s="307" t="s">
        <v>855</v>
      </c>
      <c r="E78" s="307" t="s">
        <v>1017</v>
      </c>
      <c r="F78" s="307" t="s">
        <v>1018</v>
      </c>
      <c r="G78" s="307">
        <v>5</v>
      </c>
      <c r="H78" s="307" t="s">
        <v>858</v>
      </c>
      <c r="I78" s="307" t="str">
        <f>("1104160074")</f>
        <v>1104160074</v>
      </c>
    </row>
    <row r="79" spans="1:9" ht="13.5">
      <c r="A79" s="419" t="str">
        <f t="shared" si="1"/>
        <v>玖珠サッカースポーツ少年団_2</v>
      </c>
      <c r="B79" s="307" t="s">
        <v>1016</v>
      </c>
      <c r="C79" s="307" t="str">
        <f>("2")</f>
        <v>2</v>
      </c>
      <c r="D79" s="307" t="s">
        <v>884</v>
      </c>
      <c r="E79" s="307" t="s">
        <v>1019</v>
      </c>
      <c r="F79" s="307" t="s">
        <v>1020</v>
      </c>
      <c r="G79" s="307">
        <v>5</v>
      </c>
      <c r="H79" s="307" t="s">
        <v>858</v>
      </c>
      <c r="I79" s="307" t="str">
        <f>("1108290080")</f>
        <v>1108290080</v>
      </c>
    </row>
    <row r="80" spans="1:9" ht="13.5">
      <c r="A80" s="419" t="str">
        <f t="shared" si="1"/>
        <v>玖珠サッカースポーツ少年団_3</v>
      </c>
      <c r="B80" s="307" t="s">
        <v>1016</v>
      </c>
      <c r="C80" s="307" t="str">
        <f>("3")</f>
        <v>3</v>
      </c>
      <c r="D80" s="307" t="s">
        <v>884</v>
      </c>
      <c r="E80" s="307" t="s">
        <v>1021</v>
      </c>
      <c r="F80" s="307" t="s">
        <v>1022</v>
      </c>
      <c r="G80" s="307">
        <v>5</v>
      </c>
      <c r="H80" s="307" t="s">
        <v>858</v>
      </c>
      <c r="I80" s="307" t="str">
        <f>("1106260047")</f>
        <v>1106260047</v>
      </c>
    </row>
    <row r="81" spans="1:9" ht="13.5">
      <c r="A81" s="419" t="str">
        <f t="shared" si="1"/>
        <v>玖珠サッカースポーツ少年団_4</v>
      </c>
      <c r="B81" s="307" t="s">
        <v>1016</v>
      </c>
      <c r="C81" s="307" t="str">
        <f>("4")</f>
        <v>4</v>
      </c>
      <c r="D81" s="307" t="s">
        <v>862</v>
      </c>
      <c r="E81" s="307" t="s">
        <v>1023</v>
      </c>
      <c r="F81" s="307" t="s">
        <v>1024</v>
      </c>
      <c r="G81" s="307">
        <v>5</v>
      </c>
      <c r="H81" s="307" t="s">
        <v>858</v>
      </c>
      <c r="I81" s="307" t="str">
        <f>("1203110039")</f>
        <v>1203110039</v>
      </c>
    </row>
    <row r="82" spans="1:9" ht="13.5">
      <c r="A82" s="419" t="str">
        <f t="shared" si="1"/>
        <v>玖珠サッカースポーツ少年団_5</v>
      </c>
      <c r="B82" s="307" t="s">
        <v>1016</v>
      </c>
      <c r="C82" s="307" t="str">
        <f>("5")</f>
        <v>5</v>
      </c>
      <c r="D82" s="307" t="s">
        <v>855</v>
      </c>
      <c r="E82" s="307" t="s">
        <v>1025</v>
      </c>
      <c r="F82" s="307" t="s">
        <v>1026</v>
      </c>
      <c r="G82" s="307">
        <v>5</v>
      </c>
      <c r="H82" s="307" t="s">
        <v>858</v>
      </c>
      <c r="I82" s="307" t="str">
        <f>("1108070052")</f>
        <v>1108070052</v>
      </c>
    </row>
    <row r="83" spans="1:9" ht="13.5">
      <c r="A83" s="419" t="str">
        <f t="shared" si="1"/>
        <v>玖珠サッカースポーツ少年団_6</v>
      </c>
      <c r="B83" s="307" t="s">
        <v>1016</v>
      </c>
      <c r="C83" s="307" t="str">
        <f>("6")</f>
        <v>6</v>
      </c>
      <c r="D83" s="307" t="s">
        <v>859</v>
      </c>
      <c r="E83" s="307" t="s">
        <v>1027</v>
      </c>
      <c r="F83" s="307" t="s">
        <v>1028</v>
      </c>
      <c r="G83" s="307">
        <v>5</v>
      </c>
      <c r="H83" s="307" t="s">
        <v>858</v>
      </c>
      <c r="I83" s="307" t="str">
        <f>("1106070086")</f>
        <v>1106070086</v>
      </c>
    </row>
    <row r="84" spans="1:9" ht="13.5">
      <c r="A84" s="419" t="str">
        <f t="shared" si="1"/>
        <v>玖珠サッカースポーツ少年団_7</v>
      </c>
      <c r="B84" s="307" t="s">
        <v>1016</v>
      </c>
      <c r="C84" s="307" t="str">
        <f>("7")</f>
        <v>7</v>
      </c>
      <c r="D84" s="307" t="s">
        <v>859</v>
      </c>
      <c r="E84" s="307" t="s">
        <v>1029</v>
      </c>
      <c r="F84" s="307" t="s">
        <v>1030</v>
      </c>
      <c r="G84" s="307">
        <v>6</v>
      </c>
      <c r="H84" s="307" t="s">
        <v>858</v>
      </c>
      <c r="I84" s="307" t="str">
        <f>("1008250162")</f>
        <v>1008250162</v>
      </c>
    </row>
    <row r="85" spans="1:9" ht="13.5">
      <c r="A85" s="419" t="str">
        <f t="shared" si="1"/>
        <v>玖珠サッカースポーツ少年団_8</v>
      </c>
      <c r="B85" s="307" t="s">
        <v>1016</v>
      </c>
      <c r="C85" s="307" t="str">
        <f>("8")</f>
        <v>8</v>
      </c>
      <c r="D85" s="307" t="s">
        <v>859</v>
      </c>
      <c r="E85" s="307" t="s">
        <v>1031</v>
      </c>
      <c r="F85" s="307" t="s">
        <v>1032</v>
      </c>
      <c r="G85" s="307">
        <v>5</v>
      </c>
      <c r="H85" s="307" t="s">
        <v>858</v>
      </c>
      <c r="I85" s="307" t="str">
        <f>("1105120089")</f>
        <v>1105120089</v>
      </c>
    </row>
    <row r="86" spans="1:9" ht="13.5">
      <c r="A86" s="419" t="str">
        <f t="shared" si="1"/>
        <v>玖珠サッカースポーツ少年団_9</v>
      </c>
      <c r="B86" s="307" t="s">
        <v>1016</v>
      </c>
      <c r="C86" s="307" t="str">
        <f>("9")</f>
        <v>9</v>
      </c>
      <c r="D86" s="307" t="s">
        <v>862</v>
      </c>
      <c r="E86" s="307" t="s">
        <v>1033</v>
      </c>
      <c r="F86" s="307" t="s">
        <v>1034</v>
      </c>
      <c r="G86" s="307">
        <v>6</v>
      </c>
      <c r="H86" s="307" t="s">
        <v>858</v>
      </c>
      <c r="I86" s="307" t="str">
        <f>("1005020098")</f>
        <v>1005020098</v>
      </c>
    </row>
    <row r="87" spans="1:10" ht="13.5">
      <c r="A87" s="419" t="str">
        <f t="shared" si="1"/>
        <v>玖珠サッカースポーツ少年団_10</v>
      </c>
      <c r="B87" s="307" t="s">
        <v>1016</v>
      </c>
      <c r="C87" s="307" t="str">
        <f>("10")</f>
        <v>10</v>
      </c>
      <c r="D87" s="307" t="s">
        <v>859</v>
      </c>
      <c r="E87" s="307" t="s">
        <v>1035</v>
      </c>
      <c r="F87" s="307" t="s">
        <v>1036</v>
      </c>
      <c r="G87" s="307">
        <v>6</v>
      </c>
      <c r="H87" s="307" t="s">
        <v>858</v>
      </c>
      <c r="I87" s="307" t="str">
        <f>("1101180021")</f>
        <v>1101180021</v>
      </c>
      <c r="J87" s="307" t="s">
        <v>15</v>
      </c>
    </row>
    <row r="88" spans="1:9" ht="13.5">
      <c r="A88" s="419" t="str">
        <f t="shared" si="1"/>
        <v>玖珠サッカースポーツ少年団_11</v>
      </c>
      <c r="B88" s="307" t="s">
        <v>1016</v>
      </c>
      <c r="C88" s="307" t="str">
        <f>("11")</f>
        <v>11</v>
      </c>
      <c r="D88" s="307" t="s">
        <v>862</v>
      </c>
      <c r="E88" s="307" t="s">
        <v>1037</v>
      </c>
      <c r="F88" s="307" t="s">
        <v>1038</v>
      </c>
      <c r="G88" s="307">
        <v>6</v>
      </c>
      <c r="H88" s="307" t="s">
        <v>858</v>
      </c>
      <c r="I88" s="307" t="str">
        <f>("1103040102")</f>
        <v>1103040102</v>
      </c>
    </row>
    <row r="89" spans="1:9" ht="13.5">
      <c r="A89" s="419" t="str">
        <f t="shared" si="1"/>
        <v>玖珠サッカースポーツ少年団_12</v>
      </c>
      <c r="B89" s="307" t="s">
        <v>1016</v>
      </c>
      <c r="C89" s="307" t="str">
        <f>("12")</f>
        <v>12</v>
      </c>
      <c r="D89" s="307" t="s">
        <v>862</v>
      </c>
      <c r="E89" s="307" t="s">
        <v>1039</v>
      </c>
      <c r="F89" s="307" t="s">
        <v>1040</v>
      </c>
      <c r="G89" s="307">
        <v>5</v>
      </c>
      <c r="H89" s="307" t="s">
        <v>858</v>
      </c>
      <c r="I89" s="307" t="str">
        <f>("1108030063")</f>
        <v>1108030063</v>
      </c>
    </row>
    <row r="90" spans="1:9" ht="13.5">
      <c r="A90" s="419" t="str">
        <f t="shared" si="1"/>
        <v>玖珠サッカースポーツ少年団_13</v>
      </c>
      <c r="B90" s="307" t="s">
        <v>1016</v>
      </c>
      <c r="C90" s="307" t="str">
        <f>("13")</f>
        <v>13</v>
      </c>
      <c r="D90" s="307" t="s">
        <v>859</v>
      </c>
      <c r="E90" s="307" t="s">
        <v>1041</v>
      </c>
      <c r="F90" s="307" t="s">
        <v>1042</v>
      </c>
      <c r="G90" s="307">
        <v>5</v>
      </c>
      <c r="H90" s="307" t="s">
        <v>858</v>
      </c>
      <c r="I90" s="307" t="str">
        <f>("1111040076")</f>
        <v>1111040076</v>
      </c>
    </row>
    <row r="91" spans="1:9" ht="13.5">
      <c r="A91" s="419" t="str">
        <f t="shared" si="1"/>
        <v>玖珠サッカースポーツ少年団_14</v>
      </c>
      <c r="B91" s="307" t="s">
        <v>1016</v>
      </c>
      <c r="C91" s="307" t="str">
        <f>("14")</f>
        <v>14</v>
      </c>
      <c r="D91" s="307" t="s">
        <v>859</v>
      </c>
      <c r="E91" s="307" t="s">
        <v>1043</v>
      </c>
      <c r="F91" s="307" t="s">
        <v>1044</v>
      </c>
      <c r="G91" s="307">
        <v>5</v>
      </c>
      <c r="H91" s="307" t="s">
        <v>858</v>
      </c>
      <c r="I91" s="307" t="str">
        <f>("1105150058")</f>
        <v>1105150058</v>
      </c>
    </row>
    <row r="92" spans="1:9" ht="13.5">
      <c r="A92" s="419" t="str">
        <f t="shared" si="1"/>
        <v>玖珠サッカースポーツ少年団_15</v>
      </c>
      <c r="B92" s="307" t="s">
        <v>1016</v>
      </c>
      <c r="C92" s="307" t="str">
        <f>("15")</f>
        <v>15</v>
      </c>
      <c r="D92" s="307" t="s">
        <v>859</v>
      </c>
      <c r="E92" s="307" t="s">
        <v>1045</v>
      </c>
      <c r="F92" s="307" t="s">
        <v>1046</v>
      </c>
      <c r="G92" s="307">
        <v>5</v>
      </c>
      <c r="H92" s="307" t="s">
        <v>858</v>
      </c>
      <c r="I92" s="307" t="str">
        <f>("1111240052")</f>
        <v>1111240052</v>
      </c>
    </row>
    <row r="93" spans="1:9" ht="13.5">
      <c r="A93" s="419" t="str">
        <f t="shared" si="1"/>
        <v>玖珠サッカースポーツ少年団_16</v>
      </c>
      <c r="B93" s="307" t="s">
        <v>1016</v>
      </c>
      <c r="C93" s="307" t="str">
        <f>("16")</f>
        <v>16</v>
      </c>
      <c r="D93" s="307" t="s">
        <v>862</v>
      </c>
      <c r="E93" s="307" t="s">
        <v>1047</v>
      </c>
      <c r="F93" s="307" t="s">
        <v>1048</v>
      </c>
      <c r="G93" s="307">
        <v>5</v>
      </c>
      <c r="H93" s="307" t="s">
        <v>858</v>
      </c>
      <c r="I93" s="307" t="str">
        <f>("1105200107")</f>
        <v>1105200107</v>
      </c>
    </row>
    <row r="94" spans="1:9" ht="13.5">
      <c r="A94" s="419" t="str">
        <f t="shared" si="1"/>
        <v>ＦＣ．ＵＳＡ_1</v>
      </c>
      <c r="B94" s="307" t="s">
        <v>1049</v>
      </c>
      <c r="C94" s="307" t="str">
        <f>("1")</f>
        <v>1</v>
      </c>
      <c r="D94" s="307" t="s">
        <v>855</v>
      </c>
      <c r="E94" s="307" t="s">
        <v>1050</v>
      </c>
      <c r="F94" s="307" t="s">
        <v>1051</v>
      </c>
      <c r="G94" s="307">
        <v>6</v>
      </c>
      <c r="H94" s="307" t="s">
        <v>858</v>
      </c>
      <c r="I94" s="307" t="str">
        <f>("1011010047")</f>
        <v>1011010047</v>
      </c>
    </row>
    <row r="95" spans="1:9" ht="13.5">
      <c r="A95" s="419" t="str">
        <f t="shared" si="1"/>
        <v>ＦＣ．ＵＳＡ_2</v>
      </c>
      <c r="B95" s="307" t="s">
        <v>1049</v>
      </c>
      <c r="C95" s="307" t="str">
        <f>("2")</f>
        <v>2</v>
      </c>
      <c r="D95" s="307" t="s">
        <v>859</v>
      </c>
      <c r="E95" s="307" t="s">
        <v>1052</v>
      </c>
      <c r="F95" s="307" t="s">
        <v>1053</v>
      </c>
      <c r="G95" s="307">
        <v>5</v>
      </c>
      <c r="H95" s="307" t="s">
        <v>858</v>
      </c>
      <c r="I95" s="307" t="str">
        <f>("1202110023")</f>
        <v>1202110023</v>
      </c>
    </row>
    <row r="96" spans="1:9" ht="13.5">
      <c r="A96" s="419" t="str">
        <f t="shared" si="1"/>
        <v>ＦＣ．ＵＳＡ_3</v>
      </c>
      <c r="B96" s="307" t="s">
        <v>1049</v>
      </c>
      <c r="C96" s="307" t="str">
        <f>("3")</f>
        <v>3</v>
      </c>
      <c r="D96" s="307" t="s">
        <v>859</v>
      </c>
      <c r="E96" s="307" t="s">
        <v>1054</v>
      </c>
      <c r="F96" s="307" t="s">
        <v>1055</v>
      </c>
      <c r="G96" s="307">
        <v>6</v>
      </c>
      <c r="H96" s="307" t="s">
        <v>858</v>
      </c>
      <c r="I96" s="307" t="str">
        <f>("1007290122")</f>
        <v>1007290122</v>
      </c>
    </row>
    <row r="97" spans="1:9" ht="13.5">
      <c r="A97" s="419" t="str">
        <f t="shared" si="1"/>
        <v>ＦＣ．ＵＳＡ_4</v>
      </c>
      <c r="B97" s="307" t="s">
        <v>1049</v>
      </c>
      <c r="C97" s="307" t="str">
        <f>("4")</f>
        <v>4</v>
      </c>
      <c r="D97" s="307" t="s">
        <v>862</v>
      </c>
      <c r="E97" s="307" t="s">
        <v>1056</v>
      </c>
      <c r="F97" s="307" t="s">
        <v>1057</v>
      </c>
      <c r="G97" s="307">
        <v>5</v>
      </c>
      <c r="H97" s="307" t="s">
        <v>858</v>
      </c>
      <c r="I97" s="307" t="str">
        <f>("1107310037")</f>
        <v>1107310037</v>
      </c>
    </row>
    <row r="98" spans="1:10" ht="13.5">
      <c r="A98" s="419" t="str">
        <f t="shared" si="1"/>
        <v>ＦＣ．ＵＳＡ_5</v>
      </c>
      <c r="B98" s="307" t="s">
        <v>1049</v>
      </c>
      <c r="C98" s="307" t="str">
        <f>("5")</f>
        <v>5</v>
      </c>
      <c r="D98" s="307" t="s">
        <v>862</v>
      </c>
      <c r="E98" s="307" t="s">
        <v>1058</v>
      </c>
      <c r="F98" s="307" t="s">
        <v>1059</v>
      </c>
      <c r="G98" s="307">
        <v>6</v>
      </c>
      <c r="H98" s="307" t="s">
        <v>858</v>
      </c>
      <c r="I98" s="307" t="str">
        <f>("1009140054")</f>
        <v>1009140054</v>
      </c>
      <c r="J98" s="307" t="s">
        <v>15</v>
      </c>
    </row>
    <row r="99" spans="1:9" ht="13.5">
      <c r="A99" s="419" t="str">
        <f t="shared" si="1"/>
        <v>ＦＣ．ＵＳＡ_6</v>
      </c>
      <c r="B99" s="307" t="s">
        <v>1049</v>
      </c>
      <c r="C99" s="307" t="str">
        <f>("6")</f>
        <v>6</v>
      </c>
      <c r="D99" s="307" t="s">
        <v>862</v>
      </c>
      <c r="E99" s="307" t="s">
        <v>1060</v>
      </c>
      <c r="F99" s="307" t="s">
        <v>1061</v>
      </c>
      <c r="G99" s="307">
        <v>5</v>
      </c>
      <c r="H99" s="307" t="s">
        <v>858</v>
      </c>
      <c r="I99" s="307" t="str">
        <f>("1107190072")</f>
        <v>1107190072</v>
      </c>
    </row>
    <row r="100" spans="1:9" ht="13.5">
      <c r="A100" s="419" t="str">
        <f t="shared" si="1"/>
        <v>ＦＣ．ＵＳＡ_7</v>
      </c>
      <c r="B100" s="307" t="s">
        <v>1049</v>
      </c>
      <c r="C100" s="307" t="str">
        <f>("7")</f>
        <v>7</v>
      </c>
      <c r="D100" s="307" t="s">
        <v>862</v>
      </c>
      <c r="E100" s="307" t="s">
        <v>1062</v>
      </c>
      <c r="F100" s="307" t="s">
        <v>1063</v>
      </c>
      <c r="G100" s="307">
        <v>4</v>
      </c>
      <c r="H100" s="307" t="s">
        <v>858</v>
      </c>
      <c r="I100" s="307" t="str">
        <f>("1208090052")</f>
        <v>1208090052</v>
      </c>
    </row>
    <row r="101" spans="1:9" ht="13.5">
      <c r="A101" s="419" t="str">
        <f t="shared" si="1"/>
        <v>ＦＣ．ＵＳＡ_8</v>
      </c>
      <c r="B101" s="307" t="s">
        <v>1049</v>
      </c>
      <c r="C101" s="307" t="str">
        <f>("8")</f>
        <v>8</v>
      </c>
      <c r="D101" s="307" t="s">
        <v>884</v>
      </c>
      <c r="E101" s="307" t="s">
        <v>1064</v>
      </c>
      <c r="F101" s="307" t="s">
        <v>1065</v>
      </c>
      <c r="G101" s="307">
        <v>4</v>
      </c>
      <c r="H101" s="307" t="s">
        <v>858</v>
      </c>
      <c r="I101" s="307" t="str">
        <f>("1205140056")</f>
        <v>1205140056</v>
      </c>
    </row>
    <row r="102" spans="1:9" ht="13.5">
      <c r="A102" s="419" t="str">
        <f t="shared" si="1"/>
        <v>ＦＣ．ＵＳＡ_9</v>
      </c>
      <c r="B102" s="307" t="s">
        <v>1049</v>
      </c>
      <c r="C102" s="307" t="str">
        <f>("9")</f>
        <v>9</v>
      </c>
      <c r="D102" s="307" t="s">
        <v>859</v>
      </c>
      <c r="E102" s="307" t="s">
        <v>1066</v>
      </c>
      <c r="F102" s="307" t="s">
        <v>1067</v>
      </c>
      <c r="G102" s="307">
        <v>4</v>
      </c>
      <c r="H102" s="307" t="s">
        <v>858</v>
      </c>
      <c r="I102" s="307" t="str">
        <f>("1206020085")</f>
        <v>1206020085</v>
      </c>
    </row>
    <row r="103" spans="1:9" ht="13.5">
      <c r="A103" s="419" t="str">
        <f t="shared" si="1"/>
        <v>ＦＣ．ＵＳＡ_10</v>
      </c>
      <c r="B103" s="307" t="s">
        <v>1049</v>
      </c>
      <c r="C103" s="307" t="str">
        <f>("10")</f>
        <v>10</v>
      </c>
      <c r="D103" s="307" t="s">
        <v>884</v>
      </c>
      <c r="E103" s="307" t="s">
        <v>1068</v>
      </c>
      <c r="F103" s="307" t="s">
        <v>1069</v>
      </c>
      <c r="G103" s="307">
        <v>4</v>
      </c>
      <c r="H103" s="307" t="s">
        <v>858</v>
      </c>
      <c r="I103" s="307" t="str">
        <f>("1204140097")</f>
        <v>1204140097</v>
      </c>
    </row>
    <row r="104" spans="1:9" ht="13.5">
      <c r="A104" s="419" t="str">
        <f t="shared" si="1"/>
        <v>ＦＣ．ＵＳＡ_11</v>
      </c>
      <c r="B104" s="307" t="s">
        <v>1049</v>
      </c>
      <c r="C104" s="307" t="str">
        <f>("11")</f>
        <v>11</v>
      </c>
      <c r="D104" s="307" t="s">
        <v>862</v>
      </c>
      <c r="E104" s="307" t="s">
        <v>1070</v>
      </c>
      <c r="F104" s="307" t="s">
        <v>1071</v>
      </c>
      <c r="G104" s="307">
        <v>4</v>
      </c>
      <c r="H104" s="307" t="s">
        <v>858</v>
      </c>
      <c r="I104" s="307" t="str">
        <f>("1207140038")</f>
        <v>1207140038</v>
      </c>
    </row>
    <row r="105" spans="1:9" ht="13.5">
      <c r="A105" s="419" t="str">
        <f t="shared" si="1"/>
        <v>ＦＣ．ＵＳＡ_12</v>
      </c>
      <c r="B105" s="307" t="s">
        <v>1049</v>
      </c>
      <c r="C105" s="307" t="str">
        <f>("12")</f>
        <v>12</v>
      </c>
      <c r="D105" s="307" t="s">
        <v>859</v>
      </c>
      <c r="E105" s="307" t="s">
        <v>1072</v>
      </c>
      <c r="F105" s="307" t="s">
        <v>1073</v>
      </c>
      <c r="G105" s="307">
        <v>4</v>
      </c>
      <c r="H105" s="307" t="s">
        <v>858</v>
      </c>
      <c r="I105" s="307" t="str">
        <f>("1212250042")</f>
        <v>1212250042</v>
      </c>
    </row>
    <row r="106" spans="1:9" ht="13.5">
      <c r="A106" s="419" t="str">
        <f t="shared" si="1"/>
        <v>ＦＣ．ＵＳＡ_13</v>
      </c>
      <c r="B106" s="307" t="s">
        <v>1049</v>
      </c>
      <c r="C106" s="307" t="str">
        <f>("13")</f>
        <v>13</v>
      </c>
      <c r="D106" s="307" t="s">
        <v>884</v>
      </c>
      <c r="E106" s="307" t="s">
        <v>1074</v>
      </c>
      <c r="F106" s="307" t="s">
        <v>1075</v>
      </c>
      <c r="G106" s="307">
        <v>3</v>
      </c>
      <c r="H106" s="307" t="s">
        <v>858</v>
      </c>
      <c r="I106" s="307" t="str">
        <f>("1312240012")</f>
        <v>1312240012</v>
      </c>
    </row>
    <row r="107" spans="1:9" ht="13.5">
      <c r="A107" s="419" t="str">
        <f t="shared" si="1"/>
        <v>ＦＣ．ＵＳＡ_14</v>
      </c>
      <c r="B107" s="307" t="s">
        <v>1049</v>
      </c>
      <c r="C107" s="307" t="str">
        <f>("14")</f>
        <v>14</v>
      </c>
      <c r="D107" s="307" t="s">
        <v>862</v>
      </c>
      <c r="E107" s="307" t="s">
        <v>1076</v>
      </c>
      <c r="F107" s="307" t="s">
        <v>1077</v>
      </c>
      <c r="G107" s="307">
        <v>3</v>
      </c>
      <c r="H107" s="307" t="s">
        <v>858</v>
      </c>
      <c r="I107" s="307" t="str">
        <f>("1304200025")</f>
        <v>1304200025</v>
      </c>
    </row>
    <row r="108" spans="1:9" ht="13.5">
      <c r="A108" s="419" t="str">
        <f t="shared" si="1"/>
        <v>ＦＣ．ＵＳＡ_15</v>
      </c>
      <c r="B108" s="307" t="s">
        <v>1049</v>
      </c>
      <c r="C108" s="307" t="str">
        <f>("15")</f>
        <v>15</v>
      </c>
      <c r="D108" s="307" t="s">
        <v>862</v>
      </c>
      <c r="E108" s="307" t="s">
        <v>1078</v>
      </c>
      <c r="F108" s="307" t="s">
        <v>1079</v>
      </c>
      <c r="G108" s="307">
        <v>3</v>
      </c>
      <c r="H108" s="307" t="s">
        <v>858</v>
      </c>
      <c r="I108" s="307" t="str">
        <f>("1304220039")</f>
        <v>1304220039</v>
      </c>
    </row>
    <row r="109" spans="1:9" ht="13.5">
      <c r="A109" s="419" t="str">
        <f t="shared" si="1"/>
        <v>ＦＣ．ＵＳＡ_16</v>
      </c>
      <c r="B109" s="307" t="s">
        <v>1049</v>
      </c>
      <c r="C109" s="307" t="str">
        <f>("16")</f>
        <v>16</v>
      </c>
      <c r="D109" s="307" t="s">
        <v>855</v>
      </c>
      <c r="E109" s="307" t="s">
        <v>1080</v>
      </c>
      <c r="F109" s="307" t="s">
        <v>1081</v>
      </c>
      <c r="G109" s="307">
        <v>4</v>
      </c>
      <c r="H109" s="307" t="s">
        <v>858</v>
      </c>
      <c r="I109" s="307" t="str">
        <f>("1207300038")</f>
        <v>1207300038</v>
      </c>
    </row>
    <row r="110" spans="1:9" ht="13.5">
      <c r="A110" s="419" t="str">
        <f t="shared" si="1"/>
        <v>ＦＣ　ＷＡＹＳ_1</v>
      </c>
      <c r="B110" s="307" t="s">
        <v>1082</v>
      </c>
      <c r="C110" s="307" t="str">
        <f>("1")</f>
        <v>1</v>
      </c>
      <c r="D110" s="307" t="s">
        <v>855</v>
      </c>
      <c r="E110" s="307" t="s">
        <v>1083</v>
      </c>
      <c r="F110" s="307" t="s">
        <v>1084</v>
      </c>
      <c r="G110" s="307">
        <v>5</v>
      </c>
      <c r="H110" s="307" t="s">
        <v>858</v>
      </c>
      <c r="I110" s="307" t="str">
        <f>("1202080196")</f>
        <v>1202080196</v>
      </c>
    </row>
    <row r="111" spans="1:9" ht="13.5">
      <c r="A111" s="419" t="str">
        <f t="shared" si="1"/>
        <v>ＦＣ　ＷＡＹＳ_2</v>
      </c>
      <c r="B111" s="307" t="s">
        <v>1082</v>
      </c>
      <c r="C111" s="307" t="str">
        <f>("2")</f>
        <v>2</v>
      </c>
      <c r="D111" s="307" t="s">
        <v>859</v>
      </c>
      <c r="E111" s="307" t="s">
        <v>1085</v>
      </c>
      <c r="F111" s="307" t="s">
        <v>1086</v>
      </c>
      <c r="G111" s="307">
        <v>6</v>
      </c>
      <c r="H111" s="307" t="s">
        <v>858</v>
      </c>
      <c r="I111" s="307" t="str">
        <f>("1005150138")</f>
        <v>1005150138</v>
      </c>
    </row>
    <row r="112" spans="1:9" ht="13.5">
      <c r="A112" s="419" t="str">
        <f t="shared" si="1"/>
        <v>ＦＣ　ＷＡＹＳ_3</v>
      </c>
      <c r="B112" s="307" t="s">
        <v>1082</v>
      </c>
      <c r="C112" s="307" t="str">
        <f>("3")</f>
        <v>3</v>
      </c>
      <c r="D112" s="307" t="s">
        <v>859</v>
      </c>
      <c r="E112" s="307" t="s">
        <v>1087</v>
      </c>
      <c r="F112" s="307" t="s">
        <v>1088</v>
      </c>
      <c r="G112" s="307">
        <v>6</v>
      </c>
      <c r="H112" s="307" t="s">
        <v>858</v>
      </c>
      <c r="I112" s="307" t="str">
        <f>("1007310168")</f>
        <v>1007310168</v>
      </c>
    </row>
    <row r="113" spans="1:9" ht="13.5">
      <c r="A113" s="419" t="str">
        <f t="shared" si="1"/>
        <v>ＦＣ　ＷＡＹＳ_5</v>
      </c>
      <c r="B113" s="307" t="s">
        <v>1082</v>
      </c>
      <c r="C113" s="307" t="str">
        <f>("5")</f>
        <v>5</v>
      </c>
      <c r="D113" s="307" t="s">
        <v>862</v>
      </c>
      <c r="E113" s="307" t="s">
        <v>1089</v>
      </c>
      <c r="F113" s="307" t="s">
        <v>1090</v>
      </c>
      <c r="G113" s="307">
        <v>6</v>
      </c>
      <c r="H113" s="307" t="s">
        <v>858</v>
      </c>
      <c r="I113" s="307" t="str">
        <f>("1005030087")</f>
        <v>1005030087</v>
      </c>
    </row>
    <row r="114" spans="1:9" ht="13.5">
      <c r="A114" s="419" t="str">
        <f t="shared" si="1"/>
        <v>ＦＣ　ＷＡＹＳ_7</v>
      </c>
      <c r="B114" s="307" t="s">
        <v>1082</v>
      </c>
      <c r="C114" s="307" t="str">
        <f>("7")</f>
        <v>7</v>
      </c>
      <c r="D114" s="307" t="s">
        <v>862</v>
      </c>
      <c r="E114" s="307" t="s">
        <v>1091</v>
      </c>
      <c r="F114" s="307" t="s">
        <v>1092</v>
      </c>
      <c r="G114" s="307">
        <v>6</v>
      </c>
      <c r="H114" s="307" t="s">
        <v>858</v>
      </c>
      <c r="I114" s="307" t="str">
        <f>("1101030096")</f>
        <v>1101030096</v>
      </c>
    </row>
    <row r="115" spans="1:9" ht="13.5">
      <c r="A115" s="419" t="str">
        <f t="shared" si="1"/>
        <v>ＦＣ　ＷＡＹＳ_8</v>
      </c>
      <c r="B115" s="307" t="s">
        <v>1082</v>
      </c>
      <c r="C115" s="307" t="str">
        <f>("8")</f>
        <v>8</v>
      </c>
      <c r="D115" s="307" t="s">
        <v>884</v>
      </c>
      <c r="E115" s="307" t="s">
        <v>1093</v>
      </c>
      <c r="F115" s="307" t="s">
        <v>1094</v>
      </c>
      <c r="G115" s="307">
        <v>6</v>
      </c>
      <c r="H115" s="307" t="s">
        <v>858</v>
      </c>
      <c r="I115" s="307" t="str">
        <f>("1103210088")</f>
        <v>1103210088</v>
      </c>
    </row>
    <row r="116" spans="1:9" ht="13.5">
      <c r="A116" s="419" t="str">
        <f t="shared" si="1"/>
        <v>ＦＣ　ＷＡＹＳ_9</v>
      </c>
      <c r="B116" s="307" t="s">
        <v>1082</v>
      </c>
      <c r="C116" s="307" t="str">
        <f>("9")</f>
        <v>9</v>
      </c>
      <c r="D116" s="307" t="s">
        <v>859</v>
      </c>
      <c r="E116" s="307" t="s">
        <v>1095</v>
      </c>
      <c r="F116" s="307" t="s">
        <v>1096</v>
      </c>
      <c r="G116" s="307">
        <v>5</v>
      </c>
      <c r="H116" s="307" t="s">
        <v>858</v>
      </c>
      <c r="I116" s="307" t="str">
        <f>("1201160168")</f>
        <v>1201160168</v>
      </c>
    </row>
    <row r="117" spans="1:10" ht="13.5">
      <c r="A117" s="419" t="str">
        <f t="shared" si="1"/>
        <v>ＦＣ　ＷＡＹＳ_10</v>
      </c>
      <c r="B117" s="307" t="s">
        <v>1082</v>
      </c>
      <c r="C117" s="307" t="str">
        <f>("10")</f>
        <v>10</v>
      </c>
      <c r="D117" s="307" t="s">
        <v>862</v>
      </c>
      <c r="E117" s="307" t="s">
        <v>1097</v>
      </c>
      <c r="F117" s="307" t="s">
        <v>1098</v>
      </c>
      <c r="G117" s="307">
        <v>6</v>
      </c>
      <c r="H117" s="307" t="s">
        <v>858</v>
      </c>
      <c r="I117" s="307" t="str">
        <f>("1009220193")</f>
        <v>1009220193</v>
      </c>
      <c r="J117" s="307" t="s">
        <v>15</v>
      </c>
    </row>
    <row r="118" spans="1:9" ht="13.5">
      <c r="A118" s="419" t="str">
        <f t="shared" si="1"/>
        <v>ＦＣ　ＷＡＹＳ_11</v>
      </c>
      <c r="B118" s="307" t="s">
        <v>1082</v>
      </c>
      <c r="C118" s="307" t="str">
        <f>("11")</f>
        <v>11</v>
      </c>
      <c r="D118" s="307" t="s">
        <v>862</v>
      </c>
      <c r="E118" s="307" t="s">
        <v>1099</v>
      </c>
      <c r="F118" s="307" t="s">
        <v>1100</v>
      </c>
      <c r="G118" s="307">
        <v>6</v>
      </c>
      <c r="H118" s="307" t="s">
        <v>858</v>
      </c>
      <c r="I118" s="307" t="str">
        <f>("1005010138")</f>
        <v>1005010138</v>
      </c>
    </row>
    <row r="119" spans="1:9" ht="13.5">
      <c r="A119" s="419" t="str">
        <f t="shared" si="1"/>
        <v>ＦＣ　ＷＡＹＳ_12</v>
      </c>
      <c r="B119" s="307" t="s">
        <v>1082</v>
      </c>
      <c r="C119" s="307" t="str">
        <f>("12")</f>
        <v>12</v>
      </c>
      <c r="D119" s="307" t="s">
        <v>859</v>
      </c>
      <c r="E119" s="307" t="s">
        <v>1101</v>
      </c>
      <c r="F119" s="307" t="s">
        <v>1102</v>
      </c>
      <c r="G119" s="307">
        <v>5</v>
      </c>
      <c r="H119" s="307" t="s">
        <v>858</v>
      </c>
      <c r="I119" s="307" t="str">
        <f>("1111160169")</f>
        <v>1111160169</v>
      </c>
    </row>
    <row r="120" spans="1:9" ht="13.5">
      <c r="A120" s="419" t="str">
        <f t="shared" si="1"/>
        <v>ＦＣ　ＷＡＹＳ_13</v>
      </c>
      <c r="B120" s="307" t="s">
        <v>1082</v>
      </c>
      <c r="C120" s="307" t="str">
        <f>("13")</f>
        <v>13</v>
      </c>
      <c r="D120" s="307" t="s">
        <v>859</v>
      </c>
      <c r="E120" s="307" t="s">
        <v>1103</v>
      </c>
      <c r="F120" s="307" t="s">
        <v>1104</v>
      </c>
      <c r="G120" s="307">
        <v>5</v>
      </c>
      <c r="H120" s="307" t="s">
        <v>858</v>
      </c>
      <c r="I120" s="307" t="str">
        <f>("1109210238")</f>
        <v>1109210238</v>
      </c>
    </row>
    <row r="121" spans="1:9" ht="13.5">
      <c r="A121" s="419" t="str">
        <f t="shared" si="1"/>
        <v>ＦＣ　ＷＡＹＳ_14</v>
      </c>
      <c r="B121" s="307" t="s">
        <v>1082</v>
      </c>
      <c r="C121" s="307" t="str">
        <f>("14")</f>
        <v>14</v>
      </c>
      <c r="D121" s="307" t="s">
        <v>862</v>
      </c>
      <c r="E121" s="307" t="s">
        <v>1105</v>
      </c>
      <c r="F121" s="307" t="s">
        <v>1106</v>
      </c>
      <c r="G121" s="307">
        <v>5</v>
      </c>
      <c r="H121" s="307" t="s">
        <v>858</v>
      </c>
      <c r="I121" s="307" t="str">
        <f>("1106200086")</f>
        <v>1106200086</v>
      </c>
    </row>
    <row r="122" spans="1:9" ht="13.5">
      <c r="A122" s="419" t="str">
        <f t="shared" si="1"/>
        <v>ＦＣ　ＷＡＹＳ_16</v>
      </c>
      <c r="B122" s="307" t="s">
        <v>1082</v>
      </c>
      <c r="C122" s="307" t="str">
        <f>("16")</f>
        <v>16</v>
      </c>
      <c r="D122" s="307" t="s">
        <v>855</v>
      </c>
      <c r="E122" s="307" t="s">
        <v>1107</v>
      </c>
      <c r="F122" s="307" t="s">
        <v>1108</v>
      </c>
      <c r="G122" s="307">
        <v>5</v>
      </c>
      <c r="H122" s="307" t="s">
        <v>858</v>
      </c>
      <c r="I122" s="307" t="str">
        <f>("1104190209")</f>
        <v>1104190209</v>
      </c>
    </row>
    <row r="123" spans="1:9" ht="13.5">
      <c r="A123" s="419" t="str">
        <f t="shared" si="1"/>
        <v>ＦＣ　ＷＡＹＳ_17</v>
      </c>
      <c r="B123" s="307" t="s">
        <v>1082</v>
      </c>
      <c r="C123" s="307" t="str">
        <f>("17")</f>
        <v>17</v>
      </c>
      <c r="D123" s="307" t="s">
        <v>862</v>
      </c>
      <c r="E123" s="307" t="s">
        <v>1109</v>
      </c>
      <c r="F123" s="307" t="s">
        <v>1110</v>
      </c>
      <c r="G123" s="307">
        <v>5</v>
      </c>
      <c r="H123" s="307" t="s">
        <v>858</v>
      </c>
      <c r="I123" s="307" t="str">
        <f>("1107130197")</f>
        <v>1107130197</v>
      </c>
    </row>
    <row r="124" spans="1:9" ht="13.5">
      <c r="A124" s="419" t="str">
        <f t="shared" si="1"/>
        <v>ＦＣ　ＷＡＹＳ_18</v>
      </c>
      <c r="B124" s="307" t="s">
        <v>1082</v>
      </c>
      <c r="C124" s="307" t="str">
        <f>("18")</f>
        <v>18</v>
      </c>
      <c r="D124" s="307" t="s">
        <v>862</v>
      </c>
      <c r="E124" s="307" t="s">
        <v>1111</v>
      </c>
      <c r="F124" s="307" t="s">
        <v>1112</v>
      </c>
      <c r="G124" s="307">
        <v>5</v>
      </c>
      <c r="H124" s="307" t="s">
        <v>858</v>
      </c>
      <c r="I124" s="307" t="str">
        <f>("1108050236")</f>
        <v>1108050236</v>
      </c>
    </row>
    <row r="125" spans="1:9" ht="13.5">
      <c r="A125" s="419" t="str">
        <f t="shared" si="1"/>
        <v>ＦＣ　ＷＡＹＳ_20</v>
      </c>
      <c r="B125" s="307" t="s">
        <v>1082</v>
      </c>
      <c r="C125" s="307" t="str">
        <f>("20")</f>
        <v>20</v>
      </c>
      <c r="D125" s="307" t="s">
        <v>884</v>
      </c>
      <c r="E125" s="307" t="s">
        <v>1113</v>
      </c>
      <c r="F125" s="307" t="s">
        <v>1114</v>
      </c>
      <c r="G125" s="307">
        <v>4</v>
      </c>
      <c r="H125" s="307" t="s">
        <v>858</v>
      </c>
      <c r="I125" s="307" t="str">
        <f>("1207060185")</f>
        <v>1207060185</v>
      </c>
    </row>
    <row r="126" spans="1:9" ht="13.5">
      <c r="A126" s="419" t="str">
        <f t="shared" si="1"/>
        <v>四日市南ＳＳＣ_1</v>
      </c>
      <c r="B126" s="307" t="s">
        <v>1115</v>
      </c>
      <c r="C126" s="307" t="str">
        <f>("1")</f>
        <v>1</v>
      </c>
      <c r="D126" s="307" t="s">
        <v>855</v>
      </c>
      <c r="E126" s="307" t="s">
        <v>1116</v>
      </c>
      <c r="F126" s="307" t="s">
        <v>1117</v>
      </c>
      <c r="G126" s="307">
        <v>6</v>
      </c>
      <c r="H126" s="307" t="s">
        <v>858</v>
      </c>
      <c r="I126" s="307" t="str">
        <f>("1008210090")</f>
        <v>1008210090</v>
      </c>
    </row>
    <row r="127" spans="1:9" ht="13.5">
      <c r="A127" s="419" t="str">
        <f t="shared" si="1"/>
        <v>四日市南ＳＳＣ_2</v>
      </c>
      <c r="B127" s="307" t="s">
        <v>1115</v>
      </c>
      <c r="C127" s="307" t="str">
        <f>("2")</f>
        <v>2</v>
      </c>
      <c r="D127" s="307" t="s">
        <v>859</v>
      </c>
      <c r="E127" s="307" t="s">
        <v>1118</v>
      </c>
      <c r="F127" s="307" t="s">
        <v>1119</v>
      </c>
      <c r="G127" s="307">
        <v>5</v>
      </c>
      <c r="H127" s="307" t="s">
        <v>858</v>
      </c>
      <c r="I127" s="307" t="str">
        <f>("1108070126")</f>
        <v>1108070126</v>
      </c>
    </row>
    <row r="128" spans="1:9" ht="13.5">
      <c r="A128" s="419" t="str">
        <f t="shared" si="1"/>
        <v>四日市南ＳＳＣ_4</v>
      </c>
      <c r="B128" s="307" t="s">
        <v>1115</v>
      </c>
      <c r="C128" s="307" t="str">
        <f>("4")</f>
        <v>4</v>
      </c>
      <c r="D128" s="307" t="s">
        <v>859</v>
      </c>
      <c r="E128" s="307" t="s">
        <v>1120</v>
      </c>
      <c r="F128" s="307" t="s">
        <v>1121</v>
      </c>
      <c r="G128" s="307">
        <v>5</v>
      </c>
      <c r="H128" s="307" t="s">
        <v>858</v>
      </c>
      <c r="I128" s="307" t="str">
        <f>("1107030125")</f>
        <v>1107030125</v>
      </c>
    </row>
    <row r="129" spans="1:9" ht="13.5">
      <c r="A129" s="419" t="str">
        <f aca="true" t="shared" si="2" ref="A129:A192">CONCATENATE(B129,"_",C129)</f>
        <v>四日市南ＳＳＣ_5</v>
      </c>
      <c r="B129" s="307" t="s">
        <v>1115</v>
      </c>
      <c r="C129" s="307" t="str">
        <f>("5")</f>
        <v>5</v>
      </c>
      <c r="D129" s="307" t="s">
        <v>862</v>
      </c>
      <c r="E129" s="307" t="s">
        <v>1122</v>
      </c>
      <c r="F129" s="307" t="s">
        <v>1123</v>
      </c>
      <c r="G129" s="307">
        <v>6</v>
      </c>
      <c r="H129" s="307" t="s">
        <v>858</v>
      </c>
      <c r="I129" s="307" t="str">
        <f>("1006090145")</f>
        <v>1006090145</v>
      </c>
    </row>
    <row r="130" spans="1:9" ht="13.5">
      <c r="A130" s="419" t="str">
        <f t="shared" si="2"/>
        <v>四日市南ＳＳＣ_6</v>
      </c>
      <c r="B130" s="307" t="s">
        <v>1115</v>
      </c>
      <c r="C130" s="307" t="str">
        <f>("6")</f>
        <v>6</v>
      </c>
      <c r="D130" s="307" t="s">
        <v>862</v>
      </c>
      <c r="E130" s="307" t="s">
        <v>1124</v>
      </c>
      <c r="F130" s="307" t="s">
        <v>1125</v>
      </c>
      <c r="G130" s="307">
        <v>5</v>
      </c>
      <c r="H130" s="307" t="s">
        <v>858</v>
      </c>
      <c r="I130" s="307" t="str">
        <f>("1111070013")</f>
        <v>1111070013</v>
      </c>
    </row>
    <row r="131" spans="1:9" ht="13.5">
      <c r="A131" s="419" t="str">
        <f t="shared" si="2"/>
        <v>四日市南ＳＳＣ_7</v>
      </c>
      <c r="B131" s="307" t="s">
        <v>1115</v>
      </c>
      <c r="C131" s="307" t="str">
        <f>("7")</f>
        <v>7</v>
      </c>
      <c r="D131" s="307" t="s">
        <v>884</v>
      </c>
      <c r="E131" s="307" t="s">
        <v>1126</v>
      </c>
      <c r="F131" s="307" t="s">
        <v>1127</v>
      </c>
      <c r="G131" s="307">
        <v>6</v>
      </c>
      <c r="H131" s="307" t="s">
        <v>858</v>
      </c>
      <c r="I131" s="307" t="str">
        <f>("1010210009")</f>
        <v>1010210009</v>
      </c>
    </row>
    <row r="132" spans="1:9" ht="13.5">
      <c r="A132" s="419" t="str">
        <f t="shared" si="2"/>
        <v>四日市南ＳＳＣ_8</v>
      </c>
      <c r="B132" s="307" t="s">
        <v>1115</v>
      </c>
      <c r="C132" s="307" t="str">
        <f>("8")</f>
        <v>8</v>
      </c>
      <c r="D132" s="307" t="s">
        <v>884</v>
      </c>
      <c r="E132" s="307" t="s">
        <v>1128</v>
      </c>
      <c r="F132" s="307" t="s">
        <v>1129</v>
      </c>
      <c r="G132" s="307">
        <v>5</v>
      </c>
      <c r="H132" s="307" t="s">
        <v>858</v>
      </c>
      <c r="I132" s="307" t="str">
        <f>("1202210001")</f>
        <v>1202210001</v>
      </c>
    </row>
    <row r="133" spans="1:9" ht="13.5">
      <c r="A133" s="419" t="str">
        <f t="shared" si="2"/>
        <v>四日市南ＳＳＣ_9</v>
      </c>
      <c r="B133" s="307" t="s">
        <v>1115</v>
      </c>
      <c r="C133" s="307" t="str">
        <f>("9")</f>
        <v>9</v>
      </c>
      <c r="D133" s="307" t="s">
        <v>884</v>
      </c>
      <c r="E133" s="307" t="s">
        <v>1130</v>
      </c>
      <c r="F133" s="307" t="s">
        <v>1131</v>
      </c>
      <c r="G133" s="307">
        <v>6</v>
      </c>
      <c r="H133" s="307" t="s">
        <v>858</v>
      </c>
      <c r="I133" s="307" t="str">
        <f>("1011020124")</f>
        <v>1011020124</v>
      </c>
    </row>
    <row r="134" spans="1:10" ht="13.5">
      <c r="A134" s="419" t="str">
        <f t="shared" si="2"/>
        <v>四日市南ＳＳＣ_10</v>
      </c>
      <c r="B134" s="307" t="s">
        <v>1115</v>
      </c>
      <c r="C134" s="307" t="str">
        <f>("10")</f>
        <v>10</v>
      </c>
      <c r="D134" s="307" t="s">
        <v>859</v>
      </c>
      <c r="E134" s="307" t="s">
        <v>1132</v>
      </c>
      <c r="F134" s="307" t="s">
        <v>1133</v>
      </c>
      <c r="G134" s="307">
        <v>6</v>
      </c>
      <c r="H134" s="307" t="s">
        <v>858</v>
      </c>
      <c r="I134" s="307" t="str">
        <f>("1004050248")</f>
        <v>1004050248</v>
      </c>
      <c r="J134" s="307" t="s">
        <v>15</v>
      </c>
    </row>
    <row r="135" spans="1:9" ht="13.5">
      <c r="A135" s="419" t="str">
        <f t="shared" si="2"/>
        <v>四日市南ＳＳＣ_11</v>
      </c>
      <c r="B135" s="307" t="s">
        <v>1115</v>
      </c>
      <c r="C135" s="307" t="str">
        <f>("11")</f>
        <v>11</v>
      </c>
      <c r="D135" s="307" t="s">
        <v>859</v>
      </c>
      <c r="E135" s="307" t="s">
        <v>1134</v>
      </c>
      <c r="F135" s="307" t="s">
        <v>1135</v>
      </c>
      <c r="G135" s="307">
        <v>6</v>
      </c>
      <c r="H135" s="307" t="s">
        <v>858</v>
      </c>
      <c r="I135" s="307" t="str">
        <f>("1009100130")</f>
        <v>1009100130</v>
      </c>
    </row>
    <row r="136" spans="1:9" ht="13.5">
      <c r="A136" s="419" t="str">
        <f t="shared" si="2"/>
        <v>四日市南ＳＳＣ_15</v>
      </c>
      <c r="B136" s="307" t="s">
        <v>1115</v>
      </c>
      <c r="C136" s="307" t="str">
        <f>("15")</f>
        <v>15</v>
      </c>
      <c r="D136" s="307" t="s">
        <v>862</v>
      </c>
      <c r="E136" s="307" t="s">
        <v>1136</v>
      </c>
      <c r="F136" s="307" t="s">
        <v>1137</v>
      </c>
      <c r="G136" s="307">
        <v>5</v>
      </c>
      <c r="H136" s="307" t="s">
        <v>858</v>
      </c>
      <c r="I136" s="307" t="str">
        <f>("1201240108")</f>
        <v>1201240108</v>
      </c>
    </row>
    <row r="137" spans="1:9" ht="13.5">
      <c r="A137" s="419" t="str">
        <f t="shared" si="2"/>
        <v>四日市南ＳＳＣ_16</v>
      </c>
      <c r="B137" s="307" t="s">
        <v>1115</v>
      </c>
      <c r="C137" s="307" t="str">
        <f>("16")</f>
        <v>16</v>
      </c>
      <c r="D137" s="307" t="s">
        <v>855</v>
      </c>
      <c r="E137" s="307" t="s">
        <v>1138</v>
      </c>
      <c r="F137" s="307" t="s">
        <v>1139</v>
      </c>
      <c r="G137" s="307">
        <v>5</v>
      </c>
      <c r="H137" s="307" t="s">
        <v>858</v>
      </c>
      <c r="I137" s="307" t="str">
        <f>("1202010099")</f>
        <v>1202010099</v>
      </c>
    </row>
    <row r="138" spans="1:10" ht="13.5">
      <c r="A138" s="419" t="str">
        <f t="shared" si="2"/>
        <v>四日市北ＪＦＣ_1</v>
      </c>
      <c r="B138" s="307" t="s">
        <v>1140</v>
      </c>
      <c r="C138" s="307" t="str">
        <f>("1")</f>
        <v>1</v>
      </c>
      <c r="D138" s="307" t="s">
        <v>855</v>
      </c>
      <c r="E138" s="307" t="s">
        <v>1141</v>
      </c>
      <c r="F138" s="307" t="s">
        <v>1142</v>
      </c>
      <c r="G138" s="307">
        <v>6</v>
      </c>
      <c r="H138" s="307" t="s">
        <v>858</v>
      </c>
      <c r="I138" s="307" t="str">
        <f>("1004190134")</f>
        <v>1004190134</v>
      </c>
      <c r="J138" s="307" t="s">
        <v>15</v>
      </c>
    </row>
    <row r="139" spans="1:9" ht="13.5">
      <c r="A139" s="419" t="str">
        <f t="shared" si="2"/>
        <v>四日市北ＪＦＣ_2</v>
      </c>
      <c r="B139" s="307" t="s">
        <v>1140</v>
      </c>
      <c r="C139" s="307" t="str">
        <f>("2")</f>
        <v>2</v>
      </c>
      <c r="D139" s="307" t="s">
        <v>884</v>
      </c>
      <c r="E139" s="307" t="s">
        <v>1143</v>
      </c>
      <c r="F139" s="307" t="s">
        <v>1144</v>
      </c>
      <c r="G139" s="307">
        <v>3</v>
      </c>
      <c r="H139" s="307" t="s">
        <v>858</v>
      </c>
      <c r="I139" s="307" t="str">
        <f>("1309280043")</f>
        <v>1309280043</v>
      </c>
    </row>
    <row r="140" spans="1:9" ht="13.5">
      <c r="A140" s="419" t="str">
        <f t="shared" si="2"/>
        <v>四日市北ＪＦＣ_3</v>
      </c>
      <c r="B140" s="307" t="s">
        <v>1140</v>
      </c>
      <c r="C140" s="307" t="str">
        <f>("3")</f>
        <v>3</v>
      </c>
      <c r="D140" s="307" t="s">
        <v>859</v>
      </c>
      <c r="E140" s="307" t="s">
        <v>1145</v>
      </c>
      <c r="F140" s="307" t="s">
        <v>1146</v>
      </c>
      <c r="G140" s="307">
        <v>5</v>
      </c>
      <c r="H140" s="307" t="s">
        <v>858</v>
      </c>
      <c r="I140" s="307" t="str">
        <f>("1104020151")</f>
        <v>1104020151</v>
      </c>
    </row>
    <row r="141" spans="1:9" ht="13.5">
      <c r="A141" s="419" t="str">
        <f t="shared" si="2"/>
        <v>四日市北ＪＦＣ_4</v>
      </c>
      <c r="B141" s="307" t="s">
        <v>1140</v>
      </c>
      <c r="C141" s="307" t="str">
        <f>("4")</f>
        <v>4</v>
      </c>
      <c r="D141" s="307" t="s">
        <v>859</v>
      </c>
      <c r="E141" s="307" t="s">
        <v>1147</v>
      </c>
      <c r="F141" s="307" t="s">
        <v>1148</v>
      </c>
      <c r="G141" s="307">
        <v>5</v>
      </c>
      <c r="H141" s="307" t="s">
        <v>858</v>
      </c>
      <c r="I141" s="307" t="str">
        <f>("1105200189")</f>
        <v>1105200189</v>
      </c>
    </row>
    <row r="142" spans="1:9" ht="13.5">
      <c r="A142" s="419" t="str">
        <f t="shared" si="2"/>
        <v>四日市北ＪＦＣ_5</v>
      </c>
      <c r="B142" s="307" t="s">
        <v>1140</v>
      </c>
      <c r="C142" s="307" t="str">
        <f>("5")</f>
        <v>5</v>
      </c>
      <c r="D142" s="307" t="s">
        <v>862</v>
      </c>
      <c r="E142" s="307" t="s">
        <v>1149</v>
      </c>
      <c r="F142" s="307" t="s">
        <v>1150</v>
      </c>
      <c r="G142" s="307">
        <v>5</v>
      </c>
      <c r="H142" s="307" t="s">
        <v>858</v>
      </c>
      <c r="I142" s="307" t="str">
        <f>("1112110065")</f>
        <v>1112110065</v>
      </c>
    </row>
    <row r="143" spans="1:9" ht="13.5">
      <c r="A143" s="419" t="str">
        <f t="shared" si="2"/>
        <v>四日市北ＪＦＣ_6</v>
      </c>
      <c r="B143" s="307" t="s">
        <v>1140</v>
      </c>
      <c r="C143" s="307" t="str">
        <f>("6")</f>
        <v>6</v>
      </c>
      <c r="D143" s="307" t="s">
        <v>884</v>
      </c>
      <c r="E143" s="307" t="s">
        <v>1151</v>
      </c>
      <c r="F143" s="307" t="s">
        <v>1152</v>
      </c>
      <c r="G143" s="307">
        <v>5</v>
      </c>
      <c r="H143" s="307" t="s">
        <v>869</v>
      </c>
      <c r="I143" s="307" t="str">
        <f>("1105250224")</f>
        <v>1105250224</v>
      </c>
    </row>
    <row r="144" spans="1:9" ht="13.5">
      <c r="A144" s="419" t="str">
        <f t="shared" si="2"/>
        <v>四日市北ＪＦＣ_7</v>
      </c>
      <c r="B144" s="307" t="s">
        <v>1140</v>
      </c>
      <c r="C144" s="307" t="str">
        <f>("7")</f>
        <v>7</v>
      </c>
      <c r="D144" s="307" t="s">
        <v>862</v>
      </c>
      <c r="E144" s="307" t="s">
        <v>1153</v>
      </c>
      <c r="F144" s="307" t="s">
        <v>1154</v>
      </c>
      <c r="G144" s="307">
        <v>5</v>
      </c>
      <c r="H144" s="307" t="s">
        <v>858</v>
      </c>
      <c r="I144" s="307" t="str">
        <f>("1107200049")</f>
        <v>1107200049</v>
      </c>
    </row>
    <row r="145" spans="1:9" ht="13.5">
      <c r="A145" s="419" t="str">
        <f t="shared" si="2"/>
        <v>四日市北ＪＦＣ_8</v>
      </c>
      <c r="B145" s="307" t="s">
        <v>1140</v>
      </c>
      <c r="C145" s="307" t="str">
        <f>("8")</f>
        <v>8</v>
      </c>
      <c r="D145" s="307" t="s">
        <v>884</v>
      </c>
      <c r="E145" s="307" t="s">
        <v>1155</v>
      </c>
      <c r="F145" s="307" t="s">
        <v>1156</v>
      </c>
      <c r="G145" s="307">
        <v>4</v>
      </c>
      <c r="H145" s="307" t="s">
        <v>858</v>
      </c>
      <c r="I145" s="307" t="str">
        <f>("1208170012")</f>
        <v>1208170012</v>
      </c>
    </row>
    <row r="146" spans="1:9" ht="13.5">
      <c r="A146" s="419" t="str">
        <f t="shared" si="2"/>
        <v>四日市北ＪＦＣ_9</v>
      </c>
      <c r="B146" s="307" t="s">
        <v>1140</v>
      </c>
      <c r="C146" s="307" t="str">
        <f>("9")</f>
        <v>9</v>
      </c>
      <c r="D146" s="307" t="s">
        <v>862</v>
      </c>
      <c r="E146" s="307" t="s">
        <v>1157</v>
      </c>
      <c r="F146" s="307" t="s">
        <v>1158</v>
      </c>
      <c r="G146" s="307">
        <v>5</v>
      </c>
      <c r="H146" s="307" t="s">
        <v>858</v>
      </c>
      <c r="I146" s="307" t="str">
        <f>("1109290055")</f>
        <v>1109290055</v>
      </c>
    </row>
    <row r="147" spans="1:9" ht="13.5">
      <c r="A147" s="419" t="str">
        <f t="shared" si="2"/>
        <v>四日市北ＪＦＣ_11</v>
      </c>
      <c r="B147" s="307" t="s">
        <v>1140</v>
      </c>
      <c r="C147" s="307" t="str">
        <f>("11")</f>
        <v>11</v>
      </c>
      <c r="D147" s="307" t="s">
        <v>859</v>
      </c>
      <c r="E147" s="307" t="s">
        <v>1159</v>
      </c>
      <c r="F147" s="307" t="s">
        <v>1160</v>
      </c>
      <c r="G147" s="307">
        <v>5</v>
      </c>
      <c r="H147" s="307" t="s">
        <v>858</v>
      </c>
      <c r="I147" s="307" t="str">
        <f>("1105260141")</f>
        <v>1105260141</v>
      </c>
    </row>
    <row r="148" spans="1:9" ht="13.5">
      <c r="A148" s="419" t="str">
        <f t="shared" si="2"/>
        <v>きつきＦＣ_1</v>
      </c>
      <c r="B148" s="307" t="s">
        <v>1161</v>
      </c>
      <c r="C148" s="307" t="str">
        <f>("1")</f>
        <v>1</v>
      </c>
      <c r="D148" s="307" t="s">
        <v>855</v>
      </c>
      <c r="E148" s="307" t="s">
        <v>1162</v>
      </c>
      <c r="F148" s="307" t="s">
        <v>1163</v>
      </c>
      <c r="G148" s="307">
        <v>5</v>
      </c>
      <c r="H148" s="307" t="s">
        <v>858</v>
      </c>
      <c r="I148" s="307" t="str">
        <f>("1108140031")</f>
        <v>1108140031</v>
      </c>
    </row>
    <row r="149" spans="1:9" ht="13.5">
      <c r="A149" s="419" t="str">
        <f t="shared" si="2"/>
        <v>きつきＦＣ_2</v>
      </c>
      <c r="B149" s="307" t="s">
        <v>1161</v>
      </c>
      <c r="C149" s="307" t="str">
        <f>("2")</f>
        <v>2</v>
      </c>
      <c r="D149" s="307" t="s">
        <v>862</v>
      </c>
      <c r="E149" s="307" t="s">
        <v>1164</v>
      </c>
      <c r="F149" s="307" t="s">
        <v>1165</v>
      </c>
      <c r="G149" s="307">
        <v>3</v>
      </c>
      <c r="H149" s="307" t="s">
        <v>858</v>
      </c>
      <c r="I149" s="307" t="str">
        <f>("1312210001")</f>
        <v>1312210001</v>
      </c>
    </row>
    <row r="150" spans="1:9" ht="13.5">
      <c r="A150" s="419" t="str">
        <f t="shared" si="2"/>
        <v>きつきＦＣ_3</v>
      </c>
      <c r="B150" s="307" t="s">
        <v>1161</v>
      </c>
      <c r="C150" s="307" t="str">
        <f>("3")</f>
        <v>3</v>
      </c>
      <c r="D150" s="307" t="s">
        <v>884</v>
      </c>
      <c r="E150" s="307" t="s">
        <v>1166</v>
      </c>
      <c r="F150" s="307" t="s">
        <v>1167</v>
      </c>
      <c r="G150" s="307">
        <v>4</v>
      </c>
      <c r="H150" s="307" t="s">
        <v>858</v>
      </c>
      <c r="I150" s="307" t="str">
        <f>("1210220008")</f>
        <v>1210220008</v>
      </c>
    </row>
    <row r="151" spans="1:9" ht="13.5">
      <c r="A151" s="419" t="str">
        <f t="shared" si="2"/>
        <v>きつきＦＣ_4</v>
      </c>
      <c r="B151" s="307" t="s">
        <v>1161</v>
      </c>
      <c r="C151" s="307" t="str">
        <f>("4")</f>
        <v>4</v>
      </c>
      <c r="D151" s="307" t="s">
        <v>859</v>
      </c>
      <c r="E151" s="307" t="s">
        <v>1168</v>
      </c>
      <c r="F151" s="307" t="s">
        <v>1169</v>
      </c>
      <c r="G151" s="307">
        <v>5</v>
      </c>
      <c r="H151" s="307" t="s">
        <v>858</v>
      </c>
      <c r="I151" s="307" t="str">
        <f>("1110040180")</f>
        <v>1110040180</v>
      </c>
    </row>
    <row r="152" spans="1:9" ht="13.5">
      <c r="A152" s="419" t="str">
        <f t="shared" si="2"/>
        <v>きつきＦＣ_5</v>
      </c>
      <c r="B152" s="307" t="s">
        <v>1161</v>
      </c>
      <c r="C152" s="307" t="str">
        <f>("5")</f>
        <v>5</v>
      </c>
      <c r="D152" s="307" t="s">
        <v>862</v>
      </c>
      <c r="E152" s="307" t="s">
        <v>1170</v>
      </c>
      <c r="F152" s="307" t="s">
        <v>1171</v>
      </c>
      <c r="G152" s="307">
        <v>5</v>
      </c>
      <c r="H152" s="307" t="s">
        <v>858</v>
      </c>
      <c r="I152" s="307" t="str">
        <f>("1201130007")</f>
        <v>1201130007</v>
      </c>
    </row>
    <row r="153" spans="1:9" ht="13.5">
      <c r="A153" s="419" t="str">
        <f t="shared" si="2"/>
        <v>きつきＦＣ_6</v>
      </c>
      <c r="B153" s="307" t="s">
        <v>1161</v>
      </c>
      <c r="C153" s="307" t="str">
        <f>("6")</f>
        <v>6</v>
      </c>
      <c r="D153" s="307" t="s">
        <v>859</v>
      </c>
      <c r="E153" s="307" t="s">
        <v>1172</v>
      </c>
      <c r="F153" s="307" t="s">
        <v>1173</v>
      </c>
      <c r="G153" s="307">
        <v>5</v>
      </c>
      <c r="H153" s="307" t="s">
        <v>869</v>
      </c>
      <c r="I153" s="307" t="str">
        <f>("1106160012")</f>
        <v>1106160012</v>
      </c>
    </row>
    <row r="154" spans="1:9" ht="13.5">
      <c r="A154" s="419" t="str">
        <f t="shared" si="2"/>
        <v>きつきＦＣ_7</v>
      </c>
      <c r="B154" s="307" t="s">
        <v>1161</v>
      </c>
      <c r="C154" s="307" t="str">
        <f>("7")</f>
        <v>7</v>
      </c>
      <c r="D154" s="307" t="s">
        <v>862</v>
      </c>
      <c r="E154" s="307" t="s">
        <v>1174</v>
      </c>
      <c r="F154" s="307" t="s">
        <v>1175</v>
      </c>
      <c r="G154" s="307">
        <v>5</v>
      </c>
      <c r="H154" s="307" t="s">
        <v>858</v>
      </c>
      <c r="I154" s="307" t="str">
        <f>("1201130012")</f>
        <v>1201130012</v>
      </c>
    </row>
    <row r="155" spans="1:9" ht="13.5">
      <c r="A155" s="419" t="str">
        <f t="shared" si="2"/>
        <v>きつきＦＣ_8</v>
      </c>
      <c r="B155" s="307" t="s">
        <v>1161</v>
      </c>
      <c r="C155" s="307" t="str">
        <f>("8")</f>
        <v>8</v>
      </c>
      <c r="D155" s="307" t="s">
        <v>859</v>
      </c>
      <c r="E155" s="307" t="s">
        <v>1176</v>
      </c>
      <c r="F155" s="307" t="s">
        <v>1177</v>
      </c>
      <c r="G155" s="307">
        <v>5</v>
      </c>
      <c r="H155" s="307" t="s">
        <v>858</v>
      </c>
      <c r="I155" s="307" t="str">
        <f>("1111120020")</f>
        <v>1111120020</v>
      </c>
    </row>
    <row r="156" spans="1:10" ht="13.5">
      <c r="A156" s="419" t="str">
        <f t="shared" si="2"/>
        <v>きつきＦＣ_9</v>
      </c>
      <c r="B156" s="307" t="s">
        <v>1161</v>
      </c>
      <c r="C156" s="307" t="str">
        <f>("9")</f>
        <v>9</v>
      </c>
      <c r="D156" s="307" t="s">
        <v>862</v>
      </c>
      <c r="E156" s="307" t="s">
        <v>1178</v>
      </c>
      <c r="F156" s="307" t="s">
        <v>1179</v>
      </c>
      <c r="G156" s="307">
        <v>5</v>
      </c>
      <c r="H156" s="307" t="s">
        <v>858</v>
      </c>
      <c r="I156" s="307" t="str">
        <f>("1110020020")</f>
        <v>1110020020</v>
      </c>
      <c r="J156" s="307" t="s">
        <v>15</v>
      </c>
    </row>
    <row r="157" spans="1:9" ht="13.5">
      <c r="A157" s="419" t="str">
        <f t="shared" si="2"/>
        <v>東　Ｆ．Ｃ．_1</v>
      </c>
      <c r="B157" s="307" t="s">
        <v>27</v>
      </c>
      <c r="C157" s="307" t="str">
        <f>("1")</f>
        <v>1</v>
      </c>
      <c r="D157" s="307" t="s">
        <v>855</v>
      </c>
      <c r="E157" s="307" t="s">
        <v>1180</v>
      </c>
      <c r="F157" s="307" t="s">
        <v>1181</v>
      </c>
      <c r="G157" s="307">
        <v>6</v>
      </c>
      <c r="H157" s="307" t="s">
        <v>858</v>
      </c>
      <c r="I157" s="307" t="str">
        <f>("1011160034")</f>
        <v>1011160034</v>
      </c>
    </row>
    <row r="158" spans="1:9" ht="13.5">
      <c r="A158" s="419" t="str">
        <f t="shared" si="2"/>
        <v>東　Ｆ．Ｃ．_2</v>
      </c>
      <c r="B158" s="307" t="s">
        <v>27</v>
      </c>
      <c r="C158" s="307" t="str">
        <f>("2")</f>
        <v>2</v>
      </c>
      <c r="D158" s="307" t="s">
        <v>862</v>
      </c>
      <c r="E158" s="307" t="s">
        <v>1182</v>
      </c>
      <c r="F158" s="307" t="s">
        <v>1183</v>
      </c>
      <c r="G158" s="307">
        <v>5</v>
      </c>
      <c r="H158" s="307" t="s">
        <v>858</v>
      </c>
      <c r="I158" s="307" t="str">
        <f>("1108210126")</f>
        <v>1108210126</v>
      </c>
    </row>
    <row r="159" spans="1:9" ht="13.5">
      <c r="A159" s="419" t="str">
        <f t="shared" si="2"/>
        <v>東　Ｆ．Ｃ．_3</v>
      </c>
      <c r="B159" s="307" t="s">
        <v>27</v>
      </c>
      <c r="C159" s="307" t="str">
        <f>("3")</f>
        <v>3</v>
      </c>
      <c r="D159" s="307" t="s">
        <v>862</v>
      </c>
      <c r="E159" s="307" t="s">
        <v>1184</v>
      </c>
      <c r="F159" s="307" t="s">
        <v>1185</v>
      </c>
      <c r="G159" s="307">
        <v>5</v>
      </c>
      <c r="H159" s="307" t="s">
        <v>858</v>
      </c>
      <c r="I159" s="307" t="str">
        <f>("1106210028")</f>
        <v>1106210028</v>
      </c>
    </row>
    <row r="160" spans="1:9" ht="13.5">
      <c r="A160" s="419" t="str">
        <f t="shared" si="2"/>
        <v>東　Ｆ．Ｃ．_4</v>
      </c>
      <c r="B160" s="307" t="s">
        <v>27</v>
      </c>
      <c r="C160" s="307" t="str">
        <f>("4")</f>
        <v>4</v>
      </c>
      <c r="D160" s="307" t="s">
        <v>859</v>
      </c>
      <c r="E160" s="307" t="s">
        <v>1186</v>
      </c>
      <c r="F160" s="307" t="s">
        <v>1187</v>
      </c>
      <c r="G160" s="307">
        <v>5</v>
      </c>
      <c r="H160" s="307" t="s">
        <v>858</v>
      </c>
      <c r="I160" s="307" t="str">
        <f>("1111220012")</f>
        <v>1111220012</v>
      </c>
    </row>
    <row r="161" spans="1:9" ht="13.5">
      <c r="A161" s="419" t="str">
        <f t="shared" si="2"/>
        <v>東　Ｆ．Ｃ．_5</v>
      </c>
      <c r="B161" s="307" t="s">
        <v>27</v>
      </c>
      <c r="C161" s="307" t="str">
        <f>("5")</f>
        <v>5</v>
      </c>
      <c r="D161" s="307" t="s">
        <v>859</v>
      </c>
      <c r="E161" s="307" t="s">
        <v>1188</v>
      </c>
      <c r="F161" s="307" t="s">
        <v>1189</v>
      </c>
      <c r="G161" s="307">
        <v>6</v>
      </c>
      <c r="H161" s="307" t="s">
        <v>858</v>
      </c>
      <c r="I161" s="307" t="str">
        <f>("1008090155")</f>
        <v>1008090155</v>
      </c>
    </row>
    <row r="162" spans="1:9" ht="13.5">
      <c r="A162" s="419" t="str">
        <f t="shared" si="2"/>
        <v>東　Ｆ．Ｃ．_6</v>
      </c>
      <c r="B162" s="307" t="s">
        <v>27</v>
      </c>
      <c r="C162" s="307" t="str">
        <f>("6")</f>
        <v>6</v>
      </c>
      <c r="D162" s="307" t="s">
        <v>862</v>
      </c>
      <c r="E162" s="307" t="s">
        <v>1190</v>
      </c>
      <c r="F162" s="307" t="s">
        <v>1191</v>
      </c>
      <c r="G162" s="307">
        <v>6</v>
      </c>
      <c r="H162" s="307" t="s">
        <v>858</v>
      </c>
      <c r="I162" s="307" t="str">
        <f>("1011120012")</f>
        <v>1011120012</v>
      </c>
    </row>
    <row r="163" spans="1:9" ht="13.5">
      <c r="A163" s="419" t="str">
        <f t="shared" si="2"/>
        <v>東　Ｆ．Ｃ．_7</v>
      </c>
      <c r="B163" s="307" t="s">
        <v>27</v>
      </c>
      <c r="C163" s="307" t="str">
        <f>("7")</f>
        <v>7</v>
      </c>
      <c r="D163" s="307" t="s">
        <v>859</v>
      </c>
      <c r="E163" s="307" t="s">
        <v>1192</v>
      </c>
      <c r="F163" s="307" t="s">
        <v>1193</v>
      </c>
      <c r="G163" s="307">
        <v>6</v>
      </c>
      <c r="H163" s="307" t="s">
        <v>858</v>
      </c>
      <c r="I163" s="307" t="str">
        <f>("1101020020")</f>
        <v>1101020020</v>
      </c>
    </row>
    <row r="164" spans="1:9" ht="13.5">
      <c r="A164" s="419" t="str">
        <f t="shared" si="2"/>
        <v>東　Ｆ．Ｃ．_8</v>
      </c>
      <c r="B164" s="307" t="s">
        <v>27</v>
      </c>
      <c r="C164" s="307" t="str">
        <f>("8")</f>
        <v>8</v>
      </c>
      <c r="D164" s="307" t="s">
        <v>859</v>
      </c>
      <c r="E164" s="307" t="s">
        <v>1194</v>
      </c>
      <c r="F164" s="307" t="s">
        <v>1195</v>
      </c>
      <c r="G164" s="307">
        <v>6</v>
      </c>
      <c r="H164" s="307" t="s">
        <v>869</v>
      </c>
      <c r="I164" s="307" t="str">
        <f>("1010130062")</f>
        <v>1010130062</v>
      </c>
    </row>
    <row r="165" spans="1:9" ht="13.5">
      <c r="A165" s="419" t="str">
        <f t="shared" si="2"/>
        <v>東　Ｆ．Ｃ．_9</v>
      </c>
      <c r="B165" s="307" t="s">
        <v>27</v>
      </c>
      <c r="C165" s="307" t="str">
        <f>("9")</f>
        <v>9</v>
      </c>
      <c r="D165" s="307" t="s">
        <v>862</v>
      </c>
      <c r="E165" s="307" t="s">
        <v>1196</v>
      </c>
      <c r="F165" s="307" t="s">
        <v>1197</v>
      </c>
      <c r="G165" s="307">
        <v>6</v>
      </c>
      <c r="H165" s="307" t="s">
        <v>858</v>
      </c>
      <c r="I165" s="307" t="str">
        <f>("1103230161")</f>
        <v>1103230161</v>
      </c>
    </row>
    <row r="166" spans="1:10" ht="13.5">
      <c r="A166" s="419" t="str">
        <f t="shared" si="2"/>
        <v>東　Ｆ．Ｃ．_10</v>
      </c>
      <c r="B166" s="307" t="s">
        <v>27</v>
      </c>
      <c r="C166" s="307" t="str">
        <f>("10")</f>
        <v>10</v>
      </c>
      <c r="D166" s="307" t="s">
        <v>862</v>
      </c>
      <c r="E166" s="307" t="s">
        <v>1198</v>
      </c>
      <c r="F166" s="307" t="s">
        <v>1199</v>
      </c>
      <c r="G166" s="307">
        <v>6</v>
      </c>
      <c r="H166" s="307" t="s">
        <v>858</v>
      </c>
      <c r="I166" s="307" t="str">
        <f>("1010070049")</f>
        <v>1010070049</v>
      </c>
      <c r="J166" s="307" t="s">
        <v>15</v>
      </c>
    </row>
    <row r="167" spans="1:9" ht="13.5">
      <c r="A167" s="419" t="str">
        <f t="shared" si="2"/>
        <v>東　Ｆ．Ｃ．_11</v>
      </c>
      <c r="B167" s="307" t="s">
        <v>27</v>
      </c>
      <c r="C167" s="307" t="str">
        <f>("11")</f>
        <v>11</v>
      </c>
      <c r="D167" s="307" t="s">
        <v>884</v>
      </c>
      <c r="E167" s="307" t="s">
        <v>1200</v>
      </c>
      <c r="F167" s="307" t="s">
        <v>1201</v>
      </c>
      <c r="G167" s="307">
        <v>4</v>
      </c>
      <c r="H167" s="307" t="s">
        <v>858</v>
      </c>
      <c r="I167" s="307" t="str">
        <f>("1208020003")</f>
        <v>1208020003</v>
      </c>
    </row>
    <row r="168" spans="1:9" ht="13.5">
      <c r="A168" s="419" t="str">
        <f t="shared" si="2"/>
        <v>東　Ｆ．Ｃ．_15</v>
      </c>
      <c r="B168" s="307" t="s">
        <v>27</v>
      </c>
      <c r="C168" s="307" t="str">
        <f>("15")</f>
        <v>15</v>
      </c>
      <c r="D168" s="307" t="s">
        <v>884</v>
      </c>
      <c r="E168" s="307" t="s">
        <v>1202</v>
      </c>
      <c r="F168" s="307" t="s">
        <v>1203</v>
      </c>
      <c r="G168" s="307">
        <v>6</v>
      </c>
      <c r="H168" s="307" t="s">
        <v>858</v>
      </c>
      <c r="I168" s="307" t="str">
        <f>("1102060109")</f>
        <v>1102060109</v>
      </c>
    </row>
    <row r="169" spans="1:9" ht="13.5">
      <c r="A169" s="419" t="str">
        <f t="shared" si="2"/>
        <v>東　Ｆ．Ｃ．_18</v>
      </c>
      <c r="B169" s="307" t="s">
        <v>27</v>
      </c>
      <c r="C169" s="307" t="str">
        <f>("18")</f>
        <v>18</v>
      </c>
      <c r="D169" s="307" t="s">
        <v>855</v>
      </c>
      <c r="E169" s="307" t="s">
        <v>1204</v>
      </c>
      <c r="F169" s="307" t="s">
        <v>1205</v>
      </c>
      <c r="G169" s="307">
        <v>4</v>
      </c>
      <c r="H169" s="307" t="s">
        <v>858</v>
      </c>
      <c r="I169" s="307" t="str">
        <f>("1205150001")</f>
        <v>1205150001</v>
      </c>
    </row>
    <row r="170" spans="1:10" ht="13.5">
      <c r="A170" s="419" t="str">
        <f t="shared" si="2"/>
        <v>八坂少年サッカークラブ_2</v>
      </c>
      <c r="B170" s="307" t="s">
        <v>1206</v>
      </c>
      <c r="C170" s="307" t="str">
        <f>("2")</f>
        <v>2</v>
      </c>
      <c r="D170" s="307" t="s">
        <v>859</v>
      </c>
      <c r="E170" s="307" t="s">
        <v>1207</v>
      </c>
      <c r="F170" s="307" t="s">
        <v>1208</v>
      </c>
      <c r="G170" s="307">
        <v>6</v>
      </c>
      <c r="H170" s="307" t="s">
        <v>858</v>
      </c>
      <c r="I170" s="307" t="str">
        <f>("1005010043")</f>
        <v>1005010043</v>
      </c>
      <c r="J170" s="307" t="s">
        <v>15</v>
      </c>
    </row>
    <row r="171" spans="1:9" ht="13.5">
      <c r="A171" s="419" t="str">
        <f t="shared" si="2"/>
        <v>八坂少年サッカークラブ_3</v>
      </c>
      <c r="B171" s="307" t="s">
        <v>1206</v>
      </c>
      <c r="C171" s="307" t="str">
        <f>("3")</f>
        <v>3</v>
      </c>
      <c r="D171" s="307" t="s">
        <v>859</v>
      </c>
      <c r="E171" s="307" t="s">
        <v>1209</v>
      </c>
      <c r="F171" s="307" t="s">
        <v>1210</v>
      </c>
      <c r="G171" s="307">
        <v>6</v>
      </c>
      <c r="H171" s="307" t="s">
        <v>858</v>
      </c>
      <c r="I171" s="307" t="str">
        <f>("1006150038")</f>
        <v>1006150038</v>
      </c>
    </row>
    <row r="172" spans="1:9" ht="13.5">
      <c r="A172" s="419" t="str">
        <f t="shared" si="2"/>
        <v>八坂少年サッカークラブ_4</v>
      </c>
      <c r="B172" s="307" t="s">
        <v>1206</v>
      </c>
      <c r="C172" s="307" t="str">
        <f>("4")</f>
        <v>4</v>
      </c>
      <c r="D172" s="307" t="s">
        <v>862</v>
      </c>
      <c r="E172" s="307" t="s">
        <v>1211</v>
      </c>
      <c r="F172" s="307" t="s">
        <v>1212</v>
      </c>
      <c r="G172" s="307">
        <v>5</v>
      </c>
      <c r="H172" s="307" t="s">
        <v>858</v>
      </c>
      <c r="I172" s="307" t="str">
        <f>("1105280038")</f>
        <v>1105280038</v>
      </c>
    </row>
    <row r="173" spans="1:9" ht="13.5">
      <c r="A173" s="419" t="str">
        <f t="shared" si="2"/>
        <v>八坂少年サッカークラブ_5</v>
      </c>
      <c r="B173" s="307" t="s">
        <v>1206</v>
      </c>
      <c r="C173" s="307" t="str">
        <f>("5")</f>
        <v>5</v>
      </c>
      <c r="D173" s="307" t="s">
        <v>859</v>
      </c>
      <c r="E173" s="307" t="s">
        <v>1213</v>
      </c>
      <c r="F173" s="307" t="s">
        <v>1214</v>
      </c>
      <c r="G173" s="307">
        <v>6</v>
      </c>
      <c r="H173" s="307" t="s">
        <v>869</v>
      </c>
      <c r="I173" s="307" t="str">
        <f>("1010180180")</f>
        <v>1010180180</v>
      </c>
    </row>
    <row r="174" spans="1:9" ht="13.5">
      <c r="A174" s="419" t="str">
        <f t="shared" si="2"/>
        <v>八坂少年サッカークラブ_6</v>
      </c>
      <c r="B174" s="307" t="s">
        <v>1206</v>
      </c>
      <c r="C174" s="307" t="str">
        <f>("6")</f>
        <v>6</v>
      </c>
      <c r="D174" s="307" t="s">
        <v>884</v>
      </c>
      <c r="E174" s="307" t="s">
        <v>1215</v>
      </c>
      <c r="F174" s="307" t="s">
        <v>1216</v>
      </c>
      <c r="G174" s="307">
        <v>6</v>
      </c>
      <c r="H174" s="307" t="s">
        <v>858</v>
      </c>
      <c r="I174" s="307" t="str">
        <f>("1011050043")</f>
        <v>1011050043</v>
      </c>
    </row>
    <row r="175" spans="1:9" ht="13.5">
      <c r="A175" s="419" t="str">
        <f t="shared" si="2"/>
        <v>八坂少年サッカークラブ_7</v>
      </c>
      <c r="B175" s="307" t="s">
        <v>1206</v>
      </c>
      <c r="C175" s="307" t="str">
        <f>("7")</f>
        <v>7</v>
      </c>
      <c r="D175" s="307" t="s">
        <v>862</v>
      </c>
      <c r="E175" s="307" t="s">
        <v>1217</v>
      </c>
      <c r="F175" s="307" t="s">
        <v>1218</v>
      </c>
      <c r="G175" s="307">
        <v>6</v>
      </c>
      <c r="H175" s="307" t="s">
        <v>869</v>
      </c>
      <c r="I175" s="307" t="str">
        <f>("1004270052")</f>
        <v>1004270052</v>
      </c>
    </row>
    <row r="176" spans="1:9" ht="13.5">
      <c r="A176" s="419" t="str">
        <f t="shared" si="2"/>
        <v>八坂少年サッカークラブ_8</v>
      </c>
      <c r="B176" s="307" t="s">
        <v>1206</v>
      </c>
      <c r="C176" s="307" t="str">
        <f>("8")</f>
        <v>8</v>
      </c>
      <c r="D176" s="307" t="s">
        <v>862</v>
      </c>
      <c r="E176" s="307" t="s">
        <v>1219</v>
      </c>
      <c r="F176" s="307" t="s">
        <v>1220</v>
      </c>
      <c r="G176" s="307">
        <v>5</v>
      </c>
      <c r="H176" s="307" t="s">
        <v>858</v>
      </c>
      <c r="I176" s="307" t="str">
        <f>("1104050073")</f>
        <v>1104050073</v>
      </c>
    </row>
    <row r="177" spans="1:9" ht="13.5">
      <c r="A177" s="419" t="str">
        <f t="shared" si="2"/>
        <v>八坂少年サッカークラブ_9</v>
      </c>
      <c r="B177" s="307" t="s">
        <v>1206</v>
      </c>
      <c r="C177" s="307" t="str">
        <f>("9")</f>
        <v>9</v>
      </c>
      <c r="D177" s="307" t="s">
        <v>884</v>
      </c>
      <c r="E177" s="307" t="s">
        <v>1221</v>
      </c>
      <c r="F177" s="307" t="s">
        <v>1222</v>
      </c>
      <c r="G177" s="307">
        <v>3</v>
      </c>
      <c r="H177" s="307" t="s">
        <v>858</v>
      </c>
      <c r="I177" s="307" t="str">
        <f>("1312130060")</f>
        <v>1312130060</v>
      </c>
    </row>
    <row r="178" spans="1:9" ht="13.5">
      <c r="A178" s="419" t="str">
        <f t="shared" si="2"/>
        <v>八坂少年サッカークラブ_10</v>
      </c>
      <c r="B178" s="307" t="s">
        <v>1206</v>
      </c>
      <c r="C178" s="307" t="str">
        <f>("10")</f>
        <v>10</v>
      </c>
      <c r="D178" s="307" t="s">
        <v>862</v>
      </c>
      <c r="E178" s="307" t="s">
        <v>1223</v>
      </c>
      <c r="F178" s="307" t="s">
        <v>1224</v>
      </c>
      <c r="G178" s="307">
        <v>3</v>
      </c>
      <c r="H178" s="307" t="s">
        <v>858</v>
      </c>
      <c r="I178" s="307" t="str">
        <f>("1309250073")</f>
        <v>1309250073</v>
      </c>
    </row>
    <row r="179" spans="1:9" ht="13.5">
      <c r="A179" s="419" t="str">
        <f t="shared" si="2"/>
        <v>八坂少年サッカークラブ_11</v>
      </c>
      <c r="B179" s="307" t="s">
        <v>1206</v>
      </c>
      <c r="C179" s="307" t="str">
        <f>("11")</f>
        <v>11</v>
      </c>
      <c r="D179" s="307" t="s">
        <v>862</v>
      </c>
      <c r="E179" s="307" t="s">
        <v>1225</v>
      </c>
      <c r="F179" s="307" t="s">
        <v>1226</v>
      </c>
      <c r="G179" s="307">
        <v>4</v>
      </c>
      <c r="H179" s="307" t="s">
        <v>858</v>
      </c>
      <c r="I179" s="307" t="str">
        <f>("1205080032")</f>
        <v>1205080032</v>
      </c>
    </row>
    <row r="180" spans="1:9" ht="13.5">
      <c r="A180" s="419" t="str">
        <f t="shared" si="2"/>
        <v>八坂少年サッカークラブ_12</v>
      </c>
      <c r="B180" s="307" t="s">
        <v>1206</v>
      </c>
      <c r="C180" s="307" t="str">
        <f>("12")</f>
        <v>12</v>
      </c>
      <c r="D180" s="307" t="s">
        <v>862</v>
      </c>
      <c r="E180" s="307" t="s">
        <v>1227</v>
      </c>
      <c r="F180" s="307" t="s">
        <v>1228</v>
      </c>
      <c r="G180" s="307">
        <v>4</v>
      </c>
      <c r="H180" s="307" t="s">
        <v>858</v>
      </c>
      <c r="I180" s="307" t="str">
        <f>("1301260024")</f>
        <v>1301260024</v>
      </c>
    </row>
    <row r="181" spans="1:9" ht="13.5">
      <c r="A181" s="419" t="str">
        <f t="shared" si="2"/>
        <v>八坂少年サッカークラブ_13</v>
      </c>
      <c r="B181" s="307" t="s">
        <v>1206</v>
      </c>
      <c r="C181" s="307" t="str">
        <f>("13")</f>
        <v>13</v>
      </c>
      <c r="D181" s="307" t="s">
        <v>859</v>
      </c>
      <c r="E181" s="307" t="s">
        <v>1229</v>
      </c>
      <c r="F181" s="307" t="s">
        <v>1230</v>
      </c>
      <c r="G181" s="307">
        <v>6</v>
      </c>
      <c r="H181" s="307" t="s">
        <v>858</v>
      </c>
      <c r="I181" s="307" t="str">
        <f>("1012100096")</f>
        <v>1012100096</v>
      </c>
    </row>
    <row r="182" spans="1:9" ht="13.5">
      <c r="A182" s="419" t="str">
        <f t="shared" si="2"/>
        <v>八坂少年サッカークラブ_14</v>
      </c>
      <c r="B182" s="307" t="s">
        <v>1206</v>
      </c>
      <c r="C182" s="307" t="str">
        <f>("14")</f>
        <v>14</v>
      </c>
      <c r="D182" s="307" t="s">
        <v>859</v>
      </c>
      <c r="E182" s="307" t="s">
        <v>1231</v>
      </c>
      <c r="F182" s="307" t="s">
        <v>1232</v>
      </c>
      <c r="G182" s="307">
        <v>4</v>
      </c>
      <c r="H182" s="307" t="s">
        <v>858</v>
      </c>
      <c r="I182" s="307" t="str">
        <f>("1209090022")</f>
        <v>1209090022</v>
      </c>
    </row>
    <row r="183" spans="1:9" ht="13.5">
      <c r="A183" s="419" t="str">
        <f t="shared" si="2"/>
        <v>八坂少年サッカークラブ_15</v>
      </c>
      <c r="B183" s="307" t="s">
        <v>1206</v>
      </c>
      <c r="C183" s="307" t="str">
        <f>("15")</f>
        <v>15</v>
      </c>
      <c r="D183" s="307" t="s">
        <v>884</v>
      </c>
      <c r="E183" s="307" t="s">
        <v>1233</v>
      </c>
      <c r="F183" s="307" t="s">
        <v>1234</v>
      </c>
      <c r="G183" s="307">
        <v>3</v>
      </c>
      <c r="H183" s="307" t="s">
        <v>858</v>
      </c>
      <c r="I183" s="307" t="str">
        <f>("1401210063")</f>
        <v>1401210063</v>
      </c>
    </row>
    <row r="184" spans="1:9" ht="13.5">
      <c r="A184" s="419" t="str">
        <f t="shared" si="2"/>
        <v>八坂少年サッカークラブ_17</v>
      </c>
      <c r="B184" s="307" t="s">
        <v>1206</v>
      </c>
      <c r="C184" s="307" t="str">
        <f>("17")</f>
        <v>17</v>
      </c>
      <c r="D184" s="307" t="s">
        <v>855</v>
      </c>
      <c r="E184" s="307" t="s">
        <v>1235</v>
      </c>
      <c r="F184" s="307" t="s">
        <v>1236</v>
      </c>
      <c r="G184" s="307">
        <v>5</v>
      </c>
      <c r="H184" s="307" t="s">
        <v>858</v>
      </c>
      <c r="I184" s="307" t="str">
        <f>("1202140047")</f>
        <v>1202140047</v>
      </c>
    </row>
    <row r="185" spans="1:9" ht="13.5">
      <c r="A185" s="419" t="str">
        <f t="shared" si="2"/>
        <v>国東ジュニアサッカークラブ_1</v>
      </c>
      <c r="B185" s="307" t="s">
        <v>1237</v>
      </c>
      <c r="C185" s="307" t="str">
        <f>("1")</f>
        <v>1</v>
      </c>
      <c r="D185" s="307" t="s">
        <v>855</v>
      </c>
      <c r="E185" s="307" t="s">
        <v>1238</v>
      </c>
      <c r="F185" s="307" t="s">
        <v>1239</v>
      </c>
      <c r="G185" s="307">
        <v>5</v>
      </c>
      <c r="H185" s="307" t="s">
        <v>858</v>
      </c>
      <c r="I185" s="307" t="str">
        <f>("1202150113")</f>
        <v>1202150113</v>
      </c>
    </row>
    <row r="186" spans="1:9" ht="13.5">
      <c r="A186" s="419" t="str">
        <f t="shared" si="2"/>
        <v>国東ジュニアサッカークラブ_2</v>
      </c>
      <c r="B186" s="307" t="s">
        <v>1237</v>
      </c>
      <c r="C186" s="307" t="str">
        <f>("2")</f>
        <v>2</v>
      </c>
      <c r="D186" s="307" t="s">
        <v>859</v>
      </c>
      <c r="E186" s="307" t="s">
        <v>1240</v>
      </c>
      <c r="F186" s="307" t="s">
        <v>1241</v>
      </c>
      <c r="G186" s="307">
        <v>5</v>
      </c>
      <c r="H186" s="307" t="s">
        <v>858</v>
      </c>
      <c r="I186" s="307" t="str">
        <f>("1106020095")</f>
        <v>1106020095</v>
      </c>
    </row>
    <row r="187" spans="1:9" ht="13.5">
      <c r="A187" s="419" t="str">
        <f t="shared" si="2"/>
        <v>国東ジュニアサッカークラブ_3</v>
      </c>
      <c r="B187" s="307" t="s">
        <v>1237</v>
      </c>
      <c r="C187" s="307" t="str">
        <f>("3")</f>
        <v>3</v>
      </c>
      <c r="D187" s="307" t="s">
        <v>859</v>
      </c>
      <c r="E187" s="307" t="s">
        <v>1242</v>
      </c>
      <c r="F187" s="307" t="s">
        <v>1243</v>
      </c>
      <c r="G187" s="307">
        <v>5</v>
      </c>
      <c r="H187" s="307" t="s">
        <v>858</v>
      </c>
      <c r="I187" s="307" t="str">
        <f>("1108060105")</f>
        <v>1108060105</v>
      </c>
    </row>
    <row r="188" spans="1:9" ht="13.5">
      <c r="A188" s="419" t="str">
        <f t="shared" si="2"/>
        <v>国東ジュニアサッカークラブ_4</v>
      </c>
      <c r="B188" s="307" t="s">
        <v>1237</v>
      </c>
      <c r="C188" s="307" t="str">
        <f>("4")</f>
        <v>4</v>
      </c>
      <c r="D188" s="307" t="s">
        <v>862</v>
      </c>
      <c r="E188" s="307" t="s">
        <v>1244</v>
      </c>
      <c r="F188" s="307" t="s">
        <v>1245</v>
      </c>
      <c r="G188" s="307">
        <v>5</v>
      </c>
      <c r="H188" s="307" t="s">
        <v>858</v>
      </c>
      <c r="I188" s="307" t="str">
        <f>("1109100077")</f>
        <v>1109100077</v>
      </c>
    </row>
    <row r="189" spans="1:9" ht="13.5">
      <c r="A189" s="419" t="str">
        <f t="shared" si="2"/>
        <v>国東ジュニアサッカークラブ_6</v>
      </c>
      <c r="B189" s="307" t="s">
        <v>1237</v>
      </c>
      <c r="C189" s="307" t="str">
        <f>("6")</f>
        <v>6</v>
      </c>
      <c r="D189" s="307" t="s">
        <v>884</v>
      </c>
      <c r="E189" s="307" t="s">
        <v>1246</v>
      </c>
      <c r="F189" s="307" t="s">
        <v>1247</v>
      </c>
      <c r="G189" s="307">
        <v>4</v>
      </c>
      <c r="H189" s="307" t="s">
        <v>858</v>
      </c>
      <c r="I189" s="307" t="str">
        <f>("1205060056")</f>
        <v>1205060056</v>
      </c>
    </row>
    <row r="190" spans="1:9" ht="13.5">
      <c r="A190" s="419" t="str">
        <f t="shared" si="2"/>
        <v>国東ジュニアサッカークラブ_7</v>
      </c>
      <c r="B190" s="307" t="s">
        <v>1237</v>
      </c>
      <c r="C190" s="307" t="str">
        <f>("7")</f>
        <v>7</v>
      </c>
      <c r="D190" s="307" t="s">
        <v>862</v>
      </c>
      <c r="E190" s="307" t="s">
        <v>1248</v>
      </c>
      <c r="F190" s="307" t="s">
        <v>1249</v>
      </c>
      <c r="G190" s="307">
        <v>4</v>
      </c>
      <c r="H190" s="307" t="s">
        <v>869</v>
      </c>
      <c r="I190" s="307" t="str">
        <f>("1207050022")</f>
        <v>1207050022</v>
      </c>
    </row>
    <row r="191" spans="1:10" ht="13.5">
      <c r="A191" s="419" t="str">
        <f t="shared" si="2"/>
        <v>国東ジュニアサッカークラブ_8</v>
      </c>
      <c r="B191" s="307" t="s">
        <v>1237</v>
      </c>
      <c r="C191" s="307" t="str">
        <f>("8")</f>
        <v>8</v>
      </c>
      <c r="D191" s="307" t="s">
        <v>862</v>
      </c>
      <c r="E191" s="307" t="s">
        <v>1250</v>
      </c>
      <c r="F191" s="307" t="s">
        <v>1251</v>
      </c>
      <c r="G191" s="307">
        <v>5</v>
      </c>
      <c r="H191" s="307" t="s">
        <v>858</v>
      </c>
      <c r="I191" s="307" t="str">
        <f>("1201050107")</f>
        <v>1201050107</v>
      </c>
      <c r="J191" s="307" t="s">
        <v>15</v>
      </c>
    </row>
    <row r="192" spans="1:9" ht="13.5">
      <c r="A192" s="419" t="str">
        <f t="shared" si="2"/>
        <v>国東ジュニアサッカークラブ_9</v>
      </c>
      <c r="B192" s="307" t="s">
        <v>1237</v>
      </c>
      <c r="C192" s="307" t="str">
        <f>("9")</f>
        <v>9</v>
      </c>
      <c r="D192" s="307" t="s">
        <v>884</v>
      </c>
      <c r="E192" s="307" t="s">
        <v>1252</v>
      </c>
      <c r="F192" s="307" t="s">
        <v>1253</v>
      </c>
      <c r="G192" s="307">
        <v>5</v>
      </c>
      <c r="H192" s="307" t="s">
        <v>858</v>
      </c>
      <c r="I192" s="307" t="str">
        <f>("1107210228")</f>
        <v>1107210228</v>
      </c>
    </row>
    <row r="193" spans="1:9" ht="13.5">
      <c r="A193" s="419" t="str">
        <f aca="true" t="shared" si="3" ref="A193:A256">CONCATENATE(B193,"_",C193)</f>
        <v>国東ジュニアサッカークラブ_10</v>
      </c>
      <c r="B193" s="307" t="s">
        <v>1237</v>
      </c>
      <c r="C193" s="307" t="str">
        <f>("10")</f>
        <v>10</v>
      </c>
      <c r="D193" s="307" t="s">
        <v>884</v>
      </c>
      <c r="E193" s="307" t="s">
        <v>1254</v>
      </c>
      <c r="F193" s="307" t="s">
        <v>1255</v>
      </c>
      <c r="G193" s="307">
        <v>6</v>
      </c>
      <c r="H193" s="307" t="s">
        <v>858</v>
      </c>
      <c r="I193" s="307" t="str">
        <f>("1012250103")</f>
        <v>1012250103</v>
      </c>
    </row>
    <row r="194" spans="1:9" ht="13.5">
      <c r="A194" s="419" t="str">
        <f t="shared" si="3"/>
        <v>国東ジュニアサッカークラブ_11</v>
      </c>
      <c r="B194" s="307" t="s">
        <v>1237</v>
      </c>
      <c r="C194" s="307" t="str">
        <f>("11")</f>
        <v>11</v>
      </c>
      <c r="D194" s="307" t="s">
        <v>884</v>
      </c>
      <c r="E194" s="307" t="s">
        <v>1256</v>
      </c>
      <c r="F194" s="307" t="s">
        <v>1257</v>
      </c>
      <c r="G194" s="307">
        <v>5</v>
      </c>
      <c r="H194" s="307" t="s">
        <v>858</v>
      </c>
      <c r="I194" s="307" t="str">
        <f>("1203070069")</f>
        <v>1203070069</v>
      </c>
    </row>
    <row r="195" spans="1:9" ht="13.5">
      <c r="A195" s="419" t="str">
        <f t="shared" si="3"/>
        <v>国東ジュニアサッカークラブ_15</v>
      </c>
      <c r="B195" s="307" t="s">
        <v>1237</v>
      </c>
      <c r="C195" s="307" t="str">
        <f>("15")</f>
        <v>15</v>
      </c>
      <c r="D195" s="307" t="s">
        <v>862</v>
      </c>
      <c r="E195" s="307" t="s">
        <v>1258</v>
      </c>
      <c r="F195" s="307" t="s">
        <v>1259</v>
      </c>
      <c r="G195" s="307">
        <v>5</v>
      </c>
      <c r="H195" s="307" t="s">
        <v>858</v>
      </c>
      <c r="I195" s="307" t="str">
        <f>("1109180085")</f>
        <v>1109180085</v>
      </c>
    </row>
    <row r="196" spans="1:9" ht="13.5">
      <c r="A196" s="419" t="str">
        <f t="shared" si="3"/>
        <v>国東ジュニアサッカークラブ_16</v>
      </c>
      <c r="B196" s="307" t="s">
        <v>1237</v>
      </c>
      <c r="C196" s="307" t="str">
        <f>("16")</f>
        <v>16</v>
      </c>
      <c r="D196" s="307" t="s">
        <v>862</v>
      </c>
      <c r="E196" s="307" t="s">
        <v>1260</v>
      </c>
      <c r="F196" s="307" t="s">
        <v>1261</v>
      </c>
      <c r="G196" s="307">
        <v>5</v>
      </c>
      <c r="H196" s="307" t="s">
        <v>858</v>
      </c>
      <c r="I196" s="307" t="str">
        <f>("1108200074")</f>
        <v>1108200074</v>
      </c>
    </row>
    <row r="197" spans="1:9" ht="13.5">
      <c r="A197" s="419" t="str">
        <f t="shared" si="3"/>
        <v>はやぶさフットボールクラブ_1</v>
      </c>
      <c r="B197" s="307" t="s">
        <v>1262</v>
      </c>
      <c r="C197" s="307" t="str">
        <f>("1")</f>
        <v>1</v>
      </c>
      <c r="D197" s="307" t="s">
        <v>855</v>
      </c>
      <c r="E197" s="307" t="s">
        <v>1263</v>
      </c>
      <c r="F197" s="307" t="s">
        <v>1264</v>
      </c>
      <c r="G197" s="307">
        <v>5</v>
      </c>
      <c r="H197" s="307" t="s">
        <v>858</v>
      </c>
      <c r="I197" s="307" t="str">
        <f>("1110100063")</f>
        <v>1110100063</v>
      </c>
    </row>
    <row r="198" spans="1:9" ht="13.5">
      <c r="A198" s="419" t="str">
        <f t="shared" si="3"/>
        <v>はやぶさフットボールクラブ_2</v>
      </c>
      <c r="B198" s="307" t="s">
        <v>1262</v>
      </c>
      <c r="C198" s="307" t="str">
        <f>("2")</f>
        <v>2</v>
      </c>
      <c r="D198" s="307" t="s">
        <v>859</v>
      </c>
      <c r="E198" s="307" t="s">
        <v>1265</v>
      </c>
      <c r="F198" s="307" t="s">
        <v>1266</v>
      </c>
      <c r="G198" s="307">
        <v>5</v>
      </c>
      <c r="H198" s="307" t="s">
        <v>858</v>
      </c>
      <c r="I198" s="307" t="str">
        <f>("1110100064")</f>
        <v>1110100064</v>
      </c>
    </row>
    <row r="199" spans="1:9" ht="13.5">
      <c r="A199" s="419" t="str">
        <f t="shared" si="3"/>
        <v>はやぶさフットボールクラブ_3</v>
      </c>
      <c r="B199" s="307" t="s">
        <v>1262</v>
      </c>
      <c r="C199" s="307" t="str">
        <f>("3")</f>
        <v>3</v>
      </c>
      <c r="D199" s="307" t="s">
        <v>862</v>
      </c>
      <c r="E199" s="307" t="s">
        <v>1267</v>
      </c>
      <c r="F199" s="307" t="s">
        <v>1268</v>
      </c>
      <c r="G199" s="307">
        <v>5</v>
      </c>
      <c r="H199" s="307" t="s">
        <v>869</v>
      </c>
      <c r="I199" s="307" t="str">
        <f>("1201220059")</f>
        <v>1201220059</v>
      </c>
    </row>
    <row r="200" spans="1:9" ht="13.5">
      <c r="A200" s="419" t="str">
        <f t="shared" si="3"/>
        <v>はやぶさフットボールクラブ_4</v>
      </c>
      <c r="B200" s="307" t="s">
        <v>1262</v>
      </c>
      <c r="C200" s="307" t="str">
        <f>("4")</f>
        <v>4</v>
      </c>
      <c r="D200" s="307" t="s">
        <v>862</v>
      </c>
      <c r="E200" s="307" t="s">
        <v>1269</v>
      </c>
      <c r="F200" s="307" t="s">
        <v>1270</v>
      </c>
      <c r="G200" s="307">
        <v>4</v>
      </c>
      <c r="H200" s="307" t="s">
        <v>858</v>
      </c>
      <c r="I200" s="307" t="str">
        <f>("1204090151")</f>
        <v>1204090151</v>
      </c>
    </row>
    <row r="201" spans="1:9" ht="13.5">
      <c r="A201" s="419" t="str">
        <f t="shared" si="3"/>
        <v>はやぶさフットボールクラブ_5</v>
      </c>
      <c r="B201" s="307" t="s">
        <v>1262</v>
      </c>
      <c r="C201" s="307" t="str">
        <f>("5")</f>
        <v>5</v>
      </c>
      <c r="D201" s="307" t="s">
        <v>859</v>
      </c>
      <c r="E201" s="307" t="s">
        <v>1271</v>
      </c>
      <c r="F201" s="307" t="s">
        <v>1272</v>
      </c>
      <c r="G201" s="307">
        <v>4</v>
      </c>
      <c r="H201" s="307" t="s">
        <v>858</v>
      </c>
      <c r="I201" s="307" t="str">
        <f>("1211210091")</f>
        <v>1211210091</v>
      </c>
    </row>
    <row r="202" spans="1:9" ht="13.5">
      <c r="A202" s="419" t="str">
        <f t="shared" si="3"/>
        <v>はやぶさフットボールクラブ_6</v>
      </c>
      <c r="B202" s="307" t="s">
        <v>1262</v>
      </c>
      <c r="C202" s="307" t="str">
        <f>("6")</f>
        <v>6</v>
      </c>
      <c r="D202" s="307" t="s">
        <v>884</v>
      </c>
      <c r="E202" s="307" t="s">
        <v>1273</v>
      </c>
      <c r="F202" s="307" t="s">
        <v>1274</v>
      </c>
      <c r="G202" s="307">
        <v>4</v>
      </c>
      <c r="H202" s="307" t="s">
        <v>858</v>
      </c>
      <c r="I202" s="307" t="str">
        <f>("1211110055")</f>
        <v>1211110055</v>
      </c>
    </row>
    <row r="203" spans="1:9" ht="13.5">
      <c r="A203" s="419" t="str">
        <f t="shared" si="3"/>
        <v>はやぶさフットボールクラブ_7</v>
      </c>
      <c r="B203" s="307" t="s">
        <v>1262</v>
      </c>
      <c r="C203" s="307" t="str">
        <f>("7")</f>
        <v>7</v>
      </c>
      <c r="D203" s="307" t="s">
        <v>859</v>
      </c>
      <c r="E203" s="307" t="s">
        <v>1275</v>
      </c>
      <c r="F203" s="307" t="s">
        <v>1276</v>
      </c>
      <c r="G203" s="307">
        <v>6</v>
      </c>
      <c r="H203" s="307" t="s">
        <v>869</v>
      </c>
      <c r="I203" s="307" t="str">
        <f>("1006230216")</f>
        <v>1006230216</v>
      </c>
    </row>
    <row r="204" spans="1:9" ht="13.5">
      <c r="A204" s="419" t="str">
        <f t="shared" si="3"/>
        <v>はやぶさフットボールクラブ_8</v>
      </c>
      <c r="B204" s="307" t="s">
        <v>1262</v>
      </c>
      <c r="C204" s="307" t="str">
        <f>("8")</f>
        <v>8</v>
      </c>
      <c r="D204" s="307" t="s">
        <v>862</v>
      </c>
      <c r="E204" s="307" t="s">
        <v>1277</v>
      </c>
      <c r="F204" s="307" t="s">
        <v>1278</v>
      </c>
      <c r="G204" s="307">
        <v>4</v>
      </c>
      <c r="H204" s="307" t="s">
        <v>858</v>
      </c>
      <c r="I204" s="307" t="str">
        <f>("1303060056")</f>
        <v>1303060056</v>
      </c>
    </row>
    <row r="205" spans="1:9" ht="13.5">
      <c r="A205" s="419" t="str">
        <f t="shared" si="3"/>
        <v>はやぶさフットボールクラブ_9</v>
      </c>
      <c r="B205" s="307" t="s">
        <v>1262</v>
      </c>
      <c r="C205" s="307" t="str">
        <f>("9")</f>
        <v>9</v>
      </c>
      <c r="D205" s="307" t="s">
        <v>884</v>
      </c>
      <c r="E205" s="307" t="s">
        <v>1279</v>
      </c>
      <c r="F205" s="307" t="s">
        <v>1280</v>
      </c>
      <c r="G205" s="307">
        <v>6</v>
      </c>
      <c r="H205" s="307" t="s">
        <v>858</v>
      </c>
      <c r="I205" s="307" t="str">
        <f>("1004300232")</f>
        <v>1004300232</v>
      </c>
    </row>
    <row r="206" spans="1:10" ht="13.5">
      <c r="A206" s="419" t="str">
        <f t="shared" si="3"/>
        <v>はやぶさフットボールクラブ_10</v>
      </c>
      <c r="B206" s="307" t="s">
        <v>1262</v>
      </c>
      <c r="C206" s="307" t="str">
        <f>("10")</f>
        <v>10</v>
      </c>
      <c r="D206" s="307" t="s">
        <v>862</v>
      </c>
      <c r="E206" s="307" t="s">
        <v>1281</v>
      </c>
      <c r="F206" s="307" t="s">
        <v>1282</v>
      </c>
      <c r="G206" s="307">
        <v>6</v>
      </c>
      <c r="H206" s="307" t="s">
        <v>858</v>
      </c>
      <c r="I206" s="307" t="str">
        <f>("1103150069")</f>
        <v>1103150069</v>
      </c>
      <c r="J206" s="307" t="s">
        <v>15</v>
      </c>
    </row>
    <row r="207" spans="1:9" ht="13.5">
      <c r="A207" s="419" t="str">
        <f t="shared" si="3"/>
        <v>はやぶさフットボールクラブ_11</v>
      </c>
      <c r="B207" s="307" t="s">
        <v>1262</v>
      </c>
      <c r="C207" s="307" t="str">
        <f>("11")</f>
        <v>11</v>
      </c>
      <c r="D207" s="307" t="s">
        <v>859</v>
      </c>
      <c r="E207" s="307" t="s">
        <v>1283</v>
      </c>
      <c r="F207" s="307" t="s">
        <v>1284</v>
      </c>
      <c r="G207" s="307">
        <v>6</v>
      </c>
      <c r="H207" s="307" t="s">
        <v>858</v>
      </c>
      <c r="I207" s="307" t="str">
        <f>("1010180167")</f>
        <v>1010180167</v>
      </c>
    </row>
    <row r="208" spans="1:9" ht="13.5">
      <c r="A208" s="419" t="str">
        <f t="shared" si="3"/>
        <v>はやぶさフットボールクラブ_13</v>
      </c>
      <c r="B208" s="307" t="s">
        <v>1262</v>
      </c>
      <c r="C208" s="307" t="str">
        <f>("13")</f>
        <v>13</v>
      </c>
      <c r="D208" s="307" t="s">
        <v>859</v>
      </c>
      <c r="E208" s="307" t="s">
        <v>1285</v>
      </c>
      <c r="F208" s="307" t="s">
        <v>1286</v>
      </c>
      <c r="G208" s="307">
        <v>4</v>
      </c>
      <c r="H208" s="307" t="s">
        <v>858</v>
      </c>
      <c r="I208" s="307" t="str">
        <f>("1212150101")</f>
        <v>1212150101</v>
      </c>
    </row>
    <row r="209" spans="1:9" ht="13.5">
      <c r="A209" s="419" t="str">
        <f t="shared" si="3"/>
        <v>はやぶさフットボールクラブ_20</v>
      </c>
      <c r="B209" s="307" t="s">
        <v>1262</v>
      </c>
      <c r="C209" s="307" t="str">
        <f>("20")</f>
        <v>20</v>
      </c>
      <c r="D209" s="307" t="s">
        <v>862</v>
      </c>
      <c r="E209" s="307" t="s">
        <v>1287</v>
      </c>
      <c r="F209" s="307" t="s">
        <v>1288</v>
      </c>
      <c r="G209" s="307">
        <v>3</v>
      </c>
      <c r="H209" s="307" t="s">
        <v>858</v>
      </c>
      <c r="I209" s="307" t="str">
        <f>("1311250087")</f>
        <v>1311250087</v>
      </c>
    </row>
    <row r="210" spans="1:9" ht="13.5">
      <c r="A210" s="419" t="str">
        <f t="shared" si="3"/>
        <v>はやぶさフットボールクラブ_30</v>
      </c>
      <c r="B210" s="307" t="s">
        <v>1262</v>
      </c>
      <c r="C210" s="307" t="str">
        <f>("30")</f>
        <v>30</v>
      </c>
      <c r="D210" s="307" t="s">
        <v>862</v>
      </c>
      <c r="E210" s="307" t="s">
        <v>1289</v>
      </c>
      <c r="F210" s="307" t="s">
        <v>1290</v>
      </c>
      <c r="G210" s="307">
        <v>3</v>
      </c>
      <c r="H210" s="307" t="s">
        <v>858</v>
      </c>
      <c r="I210" s="307" t="str">
        <f>("1305130096")</f>
        <v>1305130096</v>
      </c>
    </row>
    <row r="211" spans="1:9" ht="13.5">
      <c r="A211" s="419" t="str">
        <f t="shared" si="3"/>
        <v>鶴居ＳＳＳ_1</v>
      </c>
      <c r="B211" s="307" t="s">
        <v>1291</v>
      </c>
      <c r="C211" s="307" t="str">
        <f>("1")</f>
        <v>1</v>
      </c>
      <c r="D211" s="307" t="s">
        <v>855</v>
      </c>
      <c r="E211" s="307" t="s">
        <v>1292</v>
      </c>
      <c r="F211" s="307" t="s">
        <v>1293</v>
      </c>
      <c r="G211" s="307">
        <v>6</v>
      </c>
      <c r="H211" s="307" t="s">
        <v>858</v>
      </c>
      <c r="I211" s="307" t="str">
        <f>("1009100133")</f>
        <v>1009100133</v>
      </c>
    </row>
    <row r="212" spans="1:9" ht="13.5">
      <c r="A212" s="419" t="str">
        <f t="shared" si="3"/>
        <v>鶴居ＳＳＳ_2</v>
      </c>
      <c r="B212" s="307" t="s">
        <v>1291</v>
      </c>
      <c r="C212" s="307" t="str">
        <f>("2")</f>
        <v>2</v>
      </c>
      <c r="D212" s="307" t="s">
        <v>859</v>
      </c>
      <c r="E212" s="307" t="s">
        <v>1294</v>
      </c>
      <c r="F212" s="307" t="s">
        <v>1295</v>
      </c>
      <c r="G212" s="307">
        <v>6</v>
      </c>
      <c r="H212" s="307" t="s">
        <v>858</v>
      </c>
      <c r="I212" s="307" t="str">
        <f>("1009130153")</f>
        <v>1009130153</v>
      </c>
    </row>
    <row r="213" spans="1:10" ht="13.5">
      <c r="A213" s="419" t="str">
        <f t="shared" si="3"/>
        <v>鶴居ＳＳＳ_3</v>
      </c>
      <c r="B213" s="307" t="s">
        <v>1291</v>
      </c>
      <c r="C213" s="307" t="str">
        <f>("3")</f>
        <v>3</v>
      </c>
      <c r="D213" s="307" t="s">
        <v>859</v>
      </c>
      <c r="E213" s="307" t="s">
        <v>1296</v>
      </c>
      <c r="F213" s="307" t="s">
        <v>1297</v>
      </c>
      <c r="G213" s="307">
        <v>6</v>
      </c>
      <c r="H213" s="307" t="s">
        <v>858</v>
      </c>
      <c r="I213" s="307" t="str">
        <f>("1004230140")</f>
        <v>1004230140</v>
      </c>
      <c r="J213" s="307" t="s">
        <v>15</v>
      </c>
    </row>
    <row r="214" spans="1:9" ht="13.5">
      <c r="A214" s="419" t="str">
        <f t="shared" si="3"/>
        <v>鶴居ＳＳＳ_4</v>
      </c>
      <c r="B214" s="307" t="s">
        <v>1291</v>
      </c>
      <c r="C214" s="307" t="str">
        <f>("4")</f>
        <v>4</v>
      </c>
      <c r="D214" s="307" t="s">
        <v>862</v>
      </c>
      <c r="E214" s="307" t="s">
        <v>1298</v>
      </c>
      <c r="F214" s="307" t="s">
        <v>1299</v>
      </c>
      <c r="G214" s="307">
        <v>6</v>
      </c>
      <c r="H214" s="307" t="s">
        <v>858</v>
      </c>
      <c r="I214" s="307" t="str">
        <f>("1007150154")</f>
        <v>1007150154</v>
      </c>
    </row>
    <row r="215" spans="1:9" ht="13.5">
      <c r="A215" s="419" t="str">
        <f t="shared" si="3"/>
        <v>鶴居ＳＳＳ_5</v>
      </c>
      <c r="B215" s="307" t="s">
        <v>1291</v>
      </c>
      <c r="C215" s="307" t="str">
        <f>("5")</f>
        <v>5</v>
      </c>
      <c r="D215" s="307" t="s">
        <v>859</v>
      </c>
      <c r="E215" s="307" t="s">
        <v>1300</v>
      </c>
      <c r="F215" s="307" t="s">
        <v>1301</v>
      </c>
      <c r="G215" s="307">
        <v>5</v>
      </c>
      <c r="H215" s="307" t="s">
        <v>858</v>
      </c>
      <c r="I215" s="307" t="str">
        <f>("1104160141")</f>
        <v>1104160141</v>
      </c>
    </row>
    <row r="216" spans="1:9" ht="13.5">
      <c r="A216" s="419" t="str">
        <f t="shared" si="3"/>
        <v>鶴居ＳＳＳ_6</v>
      </c>
      <c r="B216" s="307" t="s">
        <v>1291</v>
      </c>
      <c r="C216" s="307" t="str">
        <f>("6")</f>
        <v>6</v>
      </c>
      <c r="D216" s="307" t="s">
        <v>859</v>
      </c>
      <c r="E216" s="307" t="s">
        <v>1302</v>
      </c>
      <c r="F216" s="307" t="s">
        <v>1303</v>
      </c>
      <c r="G216" s="307">
        <v>5</v>
      </c>
      <c r="H216" s="307" t="s">
        <v>858</v>
      </c>
      <c r="I216" s="307" t="str">
        <f>("1107290133")</f>
        <v>1107290133</v>
      </c>
    </row>
    <row r="217" spans="1:9" ht="13.5">
      <c r="A217" s="419" t="str">
        <f t="shared" si="3"/>
        <v>鶴居ＳＳＳ_7</v>
      </c>
      <c r="B217" s="307" t="s">
        <v>1291</v>
      </c>
      <c r="C217" s="307" t="str">
        <f>("7")</f>
        <v>7</v>
      </c>
      <c r="D217" s="307" t="s">
        <v>884</v>
      </c>
      <c r="E217" s="307" t="s">
        <v>1304</v>
      </c>
      <c r="F217" s="307" t="s">
        <v>1305</v>
      </c>
      <c r="G217" s="307">
        <v>5</v>
      </c>
      <c r="H217" s="307" t="s">
        <v>858</v>
      </c>
      <c r="I217" s="307" t="str">
        <f>("1108090052")</f>
        <v>1108090052</v>
      </c>
    </row>
    <row r="218" spans="1:9" ht="13.5">
      <c r="A218" s="419" t="str">
        <f t="shared" si="3"/>
        <v>鶴居ＳＳＳ_8</v>
      </c>
      <c r="B218" s="307" t="s">
        <v>1291</v>
      </c>
      <c r="C218" s="307" t="str">
        <f>("8")</f>
        <v>8</v>
      </c>
      <c r="D218" s="307" t="s">
        <v>884</v>
      </c>
      <c r="E218" s="307" t="s">
        <v>1306</v>
      </c>
      <c r="F218" s="307" t="s">
        <v>1307</v>
      </c>
      <c r="G218" s="307">
        <v>5</v>
      </c>
      <c r="H218" s="307" t="s">
        <v>858</v>
      </c>
      <c r="I218" s="307" t="str">
        <f>("1105040094")</f>
        <v>1105040094</v>
      </c>
    </row>
    <row r="219" spans="1:9" ht="13.5">
      <c r="A219" s="419" t="str">
        <f t="shared" si="3"/>
        <v>鶴居ＳＳＳ_9</v>
      </c>
      <c r="B219" s="307" t="s">
        <v>1291</v>
      </c>
      <c r="C219" s="307" t="str">
        <f>("9")</f>
        <v>9</v>
      </c>
      <c r="D219" s="307" t="s">
        <v>862</v>
      </c>
      <c r="E219" s="307" t="s">
        <v>1308</v>
      </c>
      <c r="F219" s="307" t="s">
        <v>1309</v>
      </c>
      <c r="G219" s="307">
        <v>5</v>
      </c>
      <c r="H219" s="307" t="s">
        <v>858</v>
      </c>
      <c r="I219" s="307" t="str">
        <f>("1105220106")</f>
        <v>1105220106</v>
      </c>
    </row>
    <row r="220" spans="1:9" ht="13.5">
      <c r="A220" s="419" t="str">
        <f t="shared" si="3"/>
        <v>鶴居ＳＳＳ_10</v>
      </c>
      <c r="B220" s="307" t="s">
        <v>1291</v>
      </c>
      <c r="C220" s="307" t="str">
        <f>("10")</f>
        <v>10</v>
      </c>
      <c r="D220" s="307" t="s">
        <v>884</v>
      </c>
      <c r="E220" s="307" t="s">
        <v>1310</v>
      </c>
      <c r="F220" s="307" t="s">
        <v>1311</v>
      </c>
      <c r="G220" s="307">
        <v>5</v>
      </c>
      <c r="H220" s="307" t="s">
        <v>858</v>
      </c>
      <c r="I220" s="307" t="str">
        <f>("1110110137")</f>
        <v>1110110137</v>
      </c>
    </row>
    <row r="221" spans="1:9" ht="13.5">
      <c r="A221" s="419" t="str">
        <f t="shared" si="3"/>
        <v>鶴居ＳＳＳ_11</v>
      </c>
      <c r="B221" s="307" t="s">
        <v>1291</v>
      </c>
      <c r="C221" s="307" t="str">
        <f>("11")</f>
        <v>11</v>
      </c>
      <c r="D221" s="307" t="s">
        <v>862</v>
      </c>
      <c r="E221" s="307" t="s">
        <v>1312</v>
      </c>
      <c r="F221" s="307" t="s">
        <v>1313</v>
      </c>
      <c r="G221" s="307">
        <v>5</v>
      </c>
      <c r="H221" s="307" t="s">
        <v>858</v>
      </c>
      <c r="I221" s="307" t="str">
        <f>("1203260085")</f>
        <v>1203260085</v>
      </c>
    </row>
    <row r="222" spans="1:9" ht="13.5">
      <c r="A222" s="419" t="str">
        <f t="shared" si="3"/>
        <v>鶴居ＳＳＳ_12</v>
      </c>
      <c r="B222" s="307" t="s">
        <v>1291</v>
      </c>
      <c r="C222" s="307" t="str">
        <f>("12")</f>
        <v>12</v>
      </c>
      <c r="D222" s="307" t="s">
        <v>855</v>
      </c>
      <c r="E222" s="307" t="s">
        <v>1314</v>
      </c>
      <c r="F222" s="307" t="s">
        <v>1315</v>
      </c>
      <c r="G222" s="307">
        <v>5</v>
      </c>
      <c r="H222" s="307" t="s">
        <v>858</v>
      </c>
      <c r="I222" s="307" t="str">
        <f>("1108310149")</f>
        <v>1108310149</v>
      </c>
    </row>
    <row r="223" spans="1:9" ht="13.5">
      <c r="A223" s="419" t="str">
        <f t="shared" si="3"/>
        <v>鶴居ＳＳＳ_13</v>
      </c>
      <c r="B223" s="307" t="s">
        <v>1291</v>
      </c>
      <c r="C223" s="307" t="str">
        <f>("13")</f>
        <v>13</v>
      </c>
      <c r="D223" s="307" t="s">
        <v>859</v>
      </c>
      <c r="E223" s="307" t="s">
        <v>1316</v>
      </c>
      <c r="F223" s="307" t="s">
        <v>1317</v>
      </c>
      <c r="G223" s="307">
        <v>5</v>
      </c>
      <c r="H223" s="307" t="s">
        <v>858</v>
      </c>
      <c r="I223" s="307" t="str">
        <f>("1106260092")</f>
        <v>1106260092</v>
      </c>
    </row>
    <row r="224" spans="1:9" ht="13.5">
      <c r="A224" s="419" t="str">
        <f t="shared" si="3"/>
        <v>鶴居ＳＳＳ_14</v>
      </c>
      <c r="B224" s="307" t="s">
        <v>1291</v>
      </c>
      <c r="C224" s="307" t="str">
        <f>("14")</f>
        <v>14</v>
      </c>
      <c r="D224" s="307" t="s">
        <v>859</v>
      </c>
      <c r="E224" s="307" t="s">
        <v>1318</v>
      </c>
      <c r="F224" s="307" t="s">
        <v>1319</v>
      </c>
      <c r="G224" s="307">
        <v>5</v>
      </c>
      <c r="H224" s="307" t="s">
        <v>858</v>
      </c>
      <c r="I224" s="307" t="str">
        <f>("1106260091")</f>
        <v>1106260091</v>
      </c>
    </row>
    <row r="225" spans="1:9" ht="13.5">
      <c r="A225" s="419" t="str">
        <f t="shared" si="3"/>
        <v>鶴居ＳＳＳ_15</v>
      </c>
      <c r="B225" s="307" t="s">
        <v>1291</v>
      </c>
      <c r="C225" s="307" t="str">
        <f>("15")</f>
        <v>15</v>
      </c>
      <c r="D225" s="307" t="s">
        <v>884</v>
      </c>
      <c r="E225" s="307" t="s">
        <v>1320</v>
      </c>
      <c r="F225" s="307" t="s">
        <v>1321</v>
      </c>
      <c r="G225" s="307">
        <v>4</v>
      </c>
      <c r="H225" s="307" t="s">
        <v>858</v>
      </c>
      <c r="I225" s="307" t="str">
        <f>("1206290044")</f>
        <v>1206290044</v>
      </c>
    </row>
    <row r="226" spans="1:9" ht="13.5">
      <c r="A226" s="419" t="str">
        <f t="shared" si="3"/>
        <v>鶴居ＳＳＳ_16</v>
      </c>
      <c r="B226" s="307" t="s">
        <v>1291</v>
      </c>
      <c r="C226" s="307" t="str">
        <f>("16")</f>
        <v>16</v>
      </c>
      <c r="D226" s="307" t="s">
        <v>862</v>
      </c>
      <c r="E226" s="307" t="s">
        <v>1322</v>
      </c>
      <c r="F226" s="307" t="s">
        <v>1323</v>
      </c>
      <c r="G226" s="307">
        <v>4</v>
      </c>
      <c r="H226" s="307" t="s">
        <v>858</v>
      </c>
      <c r="I226" s="307" t="str">
        <f>("1206290043")</f>
        <v>1206290043</v>
      </c>
    </row>
    <row r="227" spans="1:9" ht="13.5">
      <c r="A227" s="419" t="str">
        <f t="shared" si="3"/>
        <v>ＦＣ大野_3</v>
      </c>
      <c r="B227" s="307" t="s">
        <v>45</v>
      </c>
      <c r="C227" s="307" t="str">
        <f>("3")</f>
        <v>3</v>
      </c>
      <c r="D227" s="307" t="s">
        <v>859</v>
      </c>
      <c r="E227" s="307" t="s">
        <v>1324</v>
      </c>
      <c r="F227" s="307" t="s">
        <v>1325</v>
      </c>
      <c r="G227" s="307">
        <v>6</v>
      </c>
      <c r="H227" s="307" t="s">
        <v>858</v>
      </c>
      <c r="I227" s="307" t="str">
        <f>("1007020129")</f>
        <v>1007020129</v>
      </c>
    </row>
    <row r="228" spans="1:9" ht="13.5">
      <c r="A228" s="419" t="str">
        <f t="shared" si="3"/>
        <v>ＦＣ大野_4</v>
      </c>
      <c r="B228" s="307" t="s">
        <v>45</v>
      </c>
      <c r="C228" s="307" t="str">
        <f>("4")</f>
        <v>4</v>
      </c>
      <c r="D228" s="307" t="s">
        <v>859</v>
      </c>
      <c r="E228" s="307" t="s">
        <v>1326</v>
      </c>
      <c r="F228" s="307" t="s">
        <v>1327</v>
      </c>
      <c r="G228" s="307">
        <v>5</v>
      </c>
      <c r="H228" s="307" t="s">
        <v>869</v>
      </c>
      <c r="I228" s="307" t="str">
        <f>("1109100075")</f>
        <v>1109100075</v>
      </c>
    </row>
    <row r="229" spans="1:9" ht="13.5">
      <c r="A229" s="419" t="str">
        <f t="shared" si="3"/>
        <v>ＦＣ大野_5</v>
      </c>
      <c r="B229" s="307" t="s">
        <v>45</v>
      </c>
      <c r="C229" s="307" t="str">
        <f>("5")</f>
        <v>5</v>
      </c>
      <c r="D229" s="307" t="s">
        <v>862</v>
      </c>
      <c r="E229" s="307" t="s">
        <v>1328</v>
      </c>
      <c r="F229" s="307" t="s">
        <v>1329</v>
      </c>
      <c r="G229" s="307">
        <v>2</v>
      </c>
      <c r="H229" s="307" t="s">
        <v>858</v>
      </c>
      <c r="I229" s="307" t="str">
        <f>("1407090009")</f>
        <v>1407090009</v>
      </c>
    </row>
    <row r="230" spans="1:9" ht="13.5">
      <c r="A230" s="419" t="str">
        <f t="shared" si="3"/>
        <v>ＦＣ大野_6</v>
      </c>
      <c r="B230" s="307" t="s">
        <v>45</v>
      </c>
      <c r="C230" s="307" t="str">
        <f>("6")</f>
        <v>6</v>
      </c>
      <c r="D230" s="307" t="s">
        <v>862</v>
      </c>
      <c r="E230" s="307" t="s">
        <v>1330</v>
      </c>
      <c r="F230" s="307" t="s">
        <v>1331</v>
      </c>
      <c r="G230" s="307">
        <v>4</v>
      </c>
      <c r="H230" s="307" t="s">
        <v>858</v>
      </c>
      <c r="I230" s="307" t="str">
        <f>("1210250097")</f>
        <v>1210250097</v>
      </c>
    </row>
    <row r="231" spans="1:9" ht="13.5">
      <c r="A231" s="419" t="str">
        <f t="shared" si="3"/>
        <v>ＦＣ大野_7</v>
      </c>
      <c r="B231" s="307" t="s">
        <v>45</v>
      </c>
      <c r="C231" s="307" t="str">
        <f>("7")</f>
        <v>7</v>
      </c>
      <c r="D231" s="307" t="s">
        <v>862</v>
      </c>
      <c r="E231" s="307" t="s">
        <v>1332</v>
      </c>
      <c r="F231" s="307" t="s">
        <v>1333</v>
      </c>
      <c r="G231" s="307">
        <v>4</v>
      </c>
      <c r="H231" s="307" t="s">
        <v>858</v>
      </c>
      <c r="I231" s="307" t="str">
        <f>("1206010105")</f>
        <v>1206010105</v>
      </c>
    </row>
    <row r="232" spans="1:9" ht="13.5">
      <c r="A232" s="419" t="str">
        <f t="shared" si="3"/>
        <v>ＦＣ大野_8</v>
      </c>
      <c r="B232" s="307" t="s">
        <v>45</v>
      </c>
      <c r="C232" s="307" t="str">
        <f>("8")</f>
        <v>8</v>
      </c>
      <c r="D232" s="307" t="s">
        <v>859</v>
      </c>
      <c r="E232" s="307" t="s">
        <v>1334</v>
      </c>
      <c r="F232" s="307" t="s">
        <v>1335</v>
      </c>
      <c r="G232" s="307">
        <v>4</v>
      </c>
      <c r="H232" s="307" t="s">
        <v>858</v>
      </c>
      <c r="I232" s="307" t="str">
        <f>("1209280159")</f>
        <v>1209280159</v>
      </c>
    </row>
    <row r="233" spans="1:9" ht="13.5">
      <c r="A233" s="419" t="str">
        <f t="shared" si="3"/>
        <v>ＦＣ大野_9</v>
      </c>
      <c r="B233" s="307" t="s">
        <v>45</v>
      </c>
      <c r="C233" s="307" t="str">
        <f>("9")</f>
        <v>9</v>
      </c>
      <c r="D233" s="307" t="s">
        <v>884</v>
      </c>
      <c r="E233" s="307" t="s">
        <v>1336</v>
      </c>
      <c r="F233" s="307" t="s">
        <v>1337</v>
      </c>
      <c r="G233" s="307">
        <v>6</v>
      </c>
      <c r="H233" s="307" t="s">
        <v>858</v>
      </c>
      <c r="I233" s="307" t="str">
        <f>("1101200160")</f>
        <v>1101200160</v>
      </c>
    </row>
    <row r="234" spans="1:10" ht="13.5">
      <c r="A234" s="419" t="str">
        <f t="shared" si="3"/>
        <v>ＦＣ大野_10</v>
      </c>
      <c r="B234" s="307" t="s">
        <v>45</v>
      </c>
      <c r="C234" s="307" t="str">
        <f>("10")</f>
        <v>10</v>
      </c>
      <c r="D234" s="307" t="s">
        <v>862</v>
      </c>
      <c r="E234" s="307" t="s">
        <v>1338</v>
      </c>
      <c r="F234" s="307" t="s">
        <v>1339</v>
      </c>
      <c r="G234" s="307">
        <v>6</v>
      </c>
      <c r="H234" s="307" t="s">
        <v>858</v>
      </c>
      <c r="I234" s="307" t="str">
        <f>("1007050122")</f>
        <v>1007050122</v>
      </c>
      <c r="J234" s="307" t="s">
        <v>15</v>
      </c>
    </row>
    <row r="235" spans="1:9" ht="13.5">
      <c r="A235" s="419" t="str">
        <f t="shared" si="3"/>
        <v>ＦＣ大野_12</v>
      </c>
      <c r="B235" s="307" t="s">
        <v>45</v>
      </c>
      <c r="C235" s="307" t="str">
        <f>("12")</f>
        <v>12</v>
      </c>
      <c r="D235" s="307" t="s">
        <v>855</v>
      </c>
      <c r="E235" s="307" t="s">
        <v>1340</v>
      </c>
      <c r="F235" s="307" t="s">
        <v>1341</v>
      </c>
      <c r="G235" s="307">
        <v>5</v>
      </c>
      <c r="H235" s="307" t="s">
        <v>858</v>
      </c>
      <c r="I235" s="307" t="str">
        <f>("1106090030")</f>
        <v>1106090030</v>
      </c>
    </row>
    <row r="236" spans="1:9" ht="13.5">
      <c r="A236" s="419" t="str">
        <f t="shared" si="3"/>
        <v>ＦＣ大野_14</v>
      </c>
      <c r="B236" s="307" t="s">
        <v>45</v>
      </c>
      <c r="C236" s="307" t="str">
        <f>("14")</f>
        <v>14</v>
      </c>
      <c r="D236" s="307" t="s">
        <v>884</v>
      </c>
      <c r="E236" s="307" t="s">
        <v>1342</v>
      </c>
      <c r="F236" s="307" t="s">
        <v>1343</v>
      </c>
      <c r="G236" s="307">
        <v>5</v>
      </c>
      <c r="H236" s="307" t="s">
        <v>858</v>
      </c>
      <c r="I236" s="307" t="str">
        <f>("1107080030")</f>
        <v>1107080030</v>
      </c>
    </row>
    <row r="237" spans="1:9" ht="13.5">
      <c r="A237" s="419" t="str">
        <f t="shared" si="3"/>
        <v>ＦＣ大野_18</v>
      </c>
      <c r="B237" s="307" t="s">
        <v>45</v>
      </c>
      <c r="C237" s="307" t="str">
        <f>("18")</f>
        <v>18</v>
      </c>
      <c r="D237" s="307" t="s">
        <v>862</v>
      </c>
      <c r="E237" s="307" t="s">
        <v>1344</v>
      </c>
      <c r="F237" s="307" t="s">
        <v>1345</v>
      </c>
      <c r="G237" s="307">
        <v>4</v>
      </c>
      <c r="H237" s="307" t="s">
        <v>858</v>
      </c>
      <c r="I237" s="307" t="str">
        <f>("1301290031")</f>
        <v>1301290031</v>
      </c>
    </row>
    <row r="238" spans="1:9" ht="13.5">
      <c r="A238" s="419" t="str">
        <f t="shared" si="3"/>
        <v>鶴見ジュニアサッカークラブ_1</v>
      </c>
      <c r="B238" s="307" t="s">
        <v>1346</v>
      </c>
      <c r="C238" s="307" t="str">
        <f>("1")</f>
        <v>1</v>
      </c>
      <c r="D238" s="307" t="s">
        <v>855</v>
      </c>
      <c r="E238" s="307" t="s">
        <v>1347</v>
      </c>
      <c r="F238" s="307" t="s">
        <v>1348</v>
      </c>
      <c r="G238" s="307">
        <v>6</v>
      </c>
      <c r="H238" s="307" t="s">
        <v>858</v>
      </c>
      <c r="I238" s="307" t="str">
        <f>("1011110168")</f>
        <v>1011110168</v>
      </c>
    </row>
    <row r="239" spans="1:9" ht="13.5">
      <c r="A239" s="419" t="str">
        <f t="shared" si="3"/>
        <v>鶴見ジュニアサッカークラブ_2</v>
      </c>
      <c r="B239" s="307" t="s">
        <v>1346</v>
      </c>
      <c r="C239" s="307" t="str">
        <f>("2")</f>
        <v>2</v>
      </c>
      <c r="D239" s="307" t="s">
        <v>862</v>
      </c>
      <c r="E239" s="307" t="s">
        <v>1349</v>
      </c>
      <c r="F239" s="307" t="s">
        <v>1350</v>
      </c>
      <c r="G239" s="307">
        <v>5</v>
      </c>
      <c r="H239" s="307" t="s">
        <v>858</v>
      </c>
      <c r="I239" s="307" t="str">
        <f>("1110260130")</f>
        <v>1110260130</v>
      </c>
    </row>
    <row r="240" spans="1:9" ht="13.5">
      <c r="A240" s="419" t="str">
        <f t="shared" si="3"/>
        <v>鶴見ジュニアサッカークラブ_3</v>
      </c>
      <c r="B240" s="307" t="s">
        <v>1346</v>
      </c>
      <c r="C240" s="307" t="str">
        <f>("3")</f>
        <v>3</v>
      </c>
      <c r="D240" s="307" t="s">
        <v>862</v>
      </c>
      <c r="E240" s="307" t="s">
        <v>1351</v>
      </c>
      <c r="F240" s="307" t="s">
        <v>1352</v>
      </c>
      <c r="G240" s="307">
        <v>5</v>
      </c>
      <c r="H240" s="307" t="s">
        <v>869</v>
      </c>
      <c r="I240" s="307" t="str">
        <f>("1104280177")</f>
        <v>1104280177</v>
      </c>
    </row>
    <row r="241" spans="1:9" ht="13.5">
      <c r="A241" s="419" t="str">
        <f t="shared" si="3"/>
        <v>鶴見ジュニアサッカークラブ_4</v>
      </c>
      <c r="B241" s="307" t="s">
        <v>1346</v>
      </c>
      <c r="C241" s="307" t="str">
        <f>("4")</f>
        <v>4</v>
      </c>
      <c r="D241" s="307" t="s">
        <v>862</v>
      </c>
      <c r="E241" s="307" t="s">
        <v>1353</v>
      </c>
      <c r="F241" s="307" t="s">
        <v>1354</v>
      </c>
      <c r="G241" s="307">
        <v>4</v>
      </c>
      <c r="H241" s="307" t="s">
        <v>858</v>
      </c>
      <c r="I241" s="307" t="str">
        <f>("1304010040")</f>
        <v>1304010040</v>
      </c>
    </row>
    <row r="242" spans="1:9" ht="13.5">
      <c r="A242" s="419" t="str">
        <f t="shared" si="3"/>
        <v>鶴見ジュニアサッカークラブ_5</v>
      </c>
      <c r="B242" s="307" t="s">
        <v>1346</v>
      </c>
      <c r="C242" s="307" t="str">
        <f>("5")</f>
        <v>5</v>
      </c>
      <c r="D242" s="307" t="s">
        <v>862</v>
      </c>
      <c r="E242" s="307" t="s">
        <v>1355</v>
      </c>
      <c r="F242" s="307" t="s">
        <v>1356</v>
      </c>
      <c r="G242" s="307">
        <v>4</v>
      </c>
      <c r="H242" s="307" t="s">
        <v>858</v>
      </c>
      <c r="I242" s="307" t="str">
        <f>("1205180080")</f>
        <v>1205180080</v>
      </c>
    </row>
    <row r="243" spans="1:9" ht="13.5">
      <c r="A243" s="419" t="str">
        <f t="shared" si="3"/>
        <v>鶴見ジュニアサッカークラブ_6</v>
      </c>
      <c r="B243" s="307" t="s">
        <v>1346</v>
      </c>
      <c r="C243" s="307" t="str">
        <f>("6")</f>
        <v>6</v>
      </c>
      <c r="D243" s="307" t="s">
        <v>859</v>
      </c>
      <c r="E243" s="307" t="s">
        <v>1357</v>
      </c>
      <c r="F243" s="307" t="s">
        <v>1358</v>
      </c>
      <c r="G243" s="307">
        <v>5</v>
      </c>
      <c r="H243" s="307" t="s">
        <v>869</v>
      </c>
      <c r="I243" s="307" t="str">
        <f>("1108110017")</f>
        <v>1108110017</v>
      </c>
    </row>
    <row r="244" spans="1:9" ht="13.5">
      <c r="A244" s="419" t="str">
        <f t="shared" si="3"/>
        <v>鶴見ジュニアサッカークラブ_7</v>
      </c>
      <c r="B244" s="307" t="s">
        <v>1346</v>
      </c>
      <c r="C244" s="307" t="str">
        <f>("7")</f>
        <v>7</v>
      </c>
      <c r="D244" s="307" t="s">
        <v>862</v>
      </c>
      <c r="E244" s="307" t="s">
        <v>1359</v>
      </c>
      <c r="F244" s="307" t="s">
        <v>1360</v>
      </c>
      <c r="G244" s="307">
        <v>6</v>
      </c>
      <c r="H244" s="307" t="s">
        <v>858</v>
      </c>
      <c r="I244" s="307" t="str">
        <f>("1012060127")</f>
        <v>1012060127</v>
      </c>
    </row>
    <row r="245" spans="1:9" ht="13.5">
      <c r="A245" s="419" t="str">
        <f t="shared" si="3"/>
        <v>鶴見ジュニアサッカークラブ_8</v>
      </c>
      <c r="B245" s="307" t="s">
        <v>1346</v>
      </c>
      <c r="C245" s="307" t="str">
        <f>("8")</f>
        <v>8</v>
      </c>
      <c r="D245" s="307" t="s">
        <v>859</v>
      </c>
      <c r="E245" s="307" t="s">
        <v>1361</v>
      </c>
      <c r="F245" s="307" t="s">
        <v>1362</v>
      </c>
      <c r="G245" s="307">
        <v>5</v>
      </c>
      <c r="H245" s="307" t="s">
        <v>858</v>
      </c>
      <c r="I245" s="307" t="str">
        <f>("1202240104")</f>
        <v>1202240104</v>
      </c>
    </row>
    <row r="246" spans="1:9" ht="13.5">
      <c r="A246" s="419" t="str">
        <f t="shared" si="3"/>
        <v>鶴見ジュニアサッカークラブ_9</v>
      </c>
      <c r="B246" s="307" t="s">
        <v>1346</v>
      </c>
      <c r="C246" s="307" t="str">
        <f>("9")</f>
        <v>9</v>
      </c>
      <c r="D246" s="307" t="s">
        <v>884</v>
      </c>
      <c r="E246" s="307" t="s">
        <v>1363</v>
      </c>
      <c r="F246" s="307" t="s">
        <v>1364</v>
      </c>
      <c r="G246" s="307">
        <v>6</v>
      </c>
      <c r="H246" s="307" t="s">
        <v>858</v>
      </c>
      <c r="I246" s="307" t="str">
        <f>("1004100169")</f>
        <v>1004100169</v>
      </c>
    </row>
    <row r="247" spans="1:10" ht="13.5">
      <c r="A247" s="419" t="str">
        <f t="shared" si="3"/>
        <v>鶴見ジュニアサッカークラブ_10</v>
      </c>
      <c r="B247" s="307" t="s">
        <v>1346</v>
      </c>
      <c r="C247" s="307" t="str">
        <f>("10")</f>
        <v>10</v>
      </c>
      <c r="D247" s="307" t="s">
        <v>862</v>
      </c>
      <c r="E247" s="307" t="s">
        <v>1365</v>
      </c>
      <c r="F247" s="307" t="s">
        <v>1366</v>
      </c>
      <c r="G247" s="307">
        <v>6</v>
      </c>
      <c r="H247" s="307" t="s">
        <v>858</v>
      </c>
      <c r="I247" s="307" t="str">
        <f>("1101100035")</f>
        <v>1101100035</v>
      </c>
      <c r="J247" s="307" t="s">
        <v>15</v>
      </c>
    </row>
    <row r="248" spans="1:9" ht="13.5">
      <c r="A248" s="419" t="str">
        <f t="shared" si="3"/>
        <v>鶴見ジュニアサッカークラブ_11</v>
      </c>
      <c r="B248" s="307" t="s">
        <v>1346</v>
      </c>
      <c r="C248" s="307" t="str">
        <f>("11")</f>
        <v>11</v>
      </c>
      <c r="D248" s="307" t="s">
        <v>862</v>
      </c>
      <c r="E248" s="307" t="s">
        <v>1367</v>
      </c>
      <c r="F248" s="307" t="s">
        <v>1368</v>
      </c>
      <c r="G248" s="307">
        <v>4</v>
      </c>
      <c r="H248" s="307" t="s">
        <v>858</v>
      </c>
      <c r="I248" s="307" t="str">
        <f>("1303250050")</f>
        <v>1303250050</v>
      </c>
    </row>
    <row r="249" spans="1:9" ht="13.5">
      <c r="A249" s="419" t="str">
        <f t="shared" si="3"/>
        <v>鶴見ジュニアサッカークラブ_12</v>
      </c>
      <c r="B249" s="307" t="s">
        <v>1346</v>
      </c>
      <c r="C249" s="307" t="str">
        <f>("12")</f>
        <v>12</v>
      </c>
      <c r="D249" s="307" t="s">
        <v>855</v>
      </c>
      <c r="E249" s="307" t="s">
        <v>1369</v>
      </c>
      <c r="F249" s="307" t="s">
        <v>1370</v>
      </c>
      <c r="G249" s="307">
        <v>5</v>
      </c>
      <c r="H249" s="307" t="s">
        <v>858</v>
      </c>
      <c r="I249" s="307" t="str">
        <f>("1108270120")</f>
        <v>1108270120</v>
      </c>
    </row>
    <row r="250" spans="1:9" ht="13.5">
      <c r="A250" s="419" t="str">
        <f t="shared" si="3"/>
        <v>鶴見ジュニアサッカークラブ_13</v>
      </c>
      <c r="B250" s="307" t="s">
        <v>1346</v>
      </c>
      <c r="C250" s="307" t="str">
        <f>("13")</f>
        <v>13</v>
      </c>
      <c r="D250" s="307" t="s">
        <v>862</v>
      </c>
      <c r="E250" s="307" t="s">
        <v>1371</v>
      </c>
      <c r="F250" s="307" t="s">
        <v>1372</v>
      </c>
      <c r="G250" s="307">
        <v>4</v>
      </c>
      <c r="H250" s="307" t="s">
        <v>869</v>
      </c>
      <c r="I250" s="307" t="str">
        <f>("1301300055")</f>
        <v>1301300055</v>
      </c>
    </row>
    <row r="251" spans="1:9" ht="13.5">
      <c r="A251" s="419" t="str">
        <f t="shared" si="3"/>
        <v>鶴見ジュニアサッカークラブ_14</v>
      </c>
      <c r="B251" s="307" t="s">
        <v>1346</v>
      </c>
      <c r="C251" s="307" t="str">
        <f>("14")</f>
        <v>14</v>
      </c>
      <c r="D251" s="307" t="s">
        <v>862</v>
      </c>
      <c r="E251" s="307" t="s">
        <v>1373</v>
      </c>
      <c r="F251" s="307" t="s">
        <v>1374</v>
      </c>
      <c r="G251" s="307">
        <v>4</v>
      </c>
      <c r="H251" s="307" t="s">
        <v>858</v>
      </c>
      <c r="I251" s="307" t="str">
        <f>("1207170080")</f>
        <v>1207170080</v>
      </c>
    </row>
    <row r="252" spans="1:9" ht="13.5">
      <c r="A252" s="419" t="str">
        <f t="shared" si="3"/>
        <v>鶴見ジュニアサッカークラブ_15</v>
      </c>
      <c r="B252" s="307" t="s">
        <v>1346</v>
      </c>
      <c r="C252" s="307" t="str">
        <f>("15")</f>
        <v>15</v>
      </c>
      <c r="D252" s="307" t="s">
        <v>862</v>
      </c>
      <c r="E252" s="307" t="s">
        <v>1375</v>
      </c>
      <c r="F252" s="307" t="s">
        <v>1376</v>
      </c>
      <c r="G252" s="307">
        <v>4</v>
      </c>
      <c r="H252" s="307" t="s">
        <v>858</v>
      </c>
      <c r="I252" s="307" t="str">
        <f>("1208090088")</f>
        <v>1208090088</v>
      </c>
    </row>
    <row r="253" spans="1:9" ht="13.5">
      <c r="A253" s="419" t="str">
        <f t="shared" si="3"/>
        <v>鶴見ジュニアサッカークラブ_16</v>
      </c>
      <c r="B253" s="307" t="s">
        <v>1346</v>
      </c>
      <c r="C253" s="307" t="str">
        <f>("16")</f>
        <v>16</v>
      </c>
      <c r="D253" s="307" t="s">
        <v>884</v>
      </c>
      <c r="E253" s="307" t="s">
        <v>1377</v>
      </c>
      <c r="F253" s="307" t="s">
        <v>1378</v>
      </c>
      <c r="G253" s="307">
        <v>6</v>
      </c>
      <c r="H253" s="307" t="s">
        <v>858</v>
      </c>
      <c r="I253" s="307" t="str">
        <f>("1006210263")</f>
        <v>1006210263</v>
      </c>
    </row>
    <row r="254" spans="1:9" ht="13.5">
      <c r="A254" s="419" t="str">
        <f t="shared" si="3"/>
        <v>緑丘サッカースポーツ少年団_1</v>
      </c>
      <c r="B254" s="307" t="s">
        <v>1379</v>
      </c>
      <c r="C254" s="307" t="str">
        <f>("1")</f>
        <v>1</v>
      </c>
      <c r="D254" s="307" t="s">
        <v>855</v>
      </c>
      <c r="E254" s="307" t="s">
        <v>1380</v>
      </c>
      <c r="F254" s="307" t="s">
        <v>1381</v>
      </c>
      <c r="G254" s="307">
        <v>6</v>
      </c>
      <c r="H254" s="307" t="s">
        <v>858</v>
      </c>
      <c r="I254" s="307" t="str">
        <f>("1008090172")</f>
        <v>1008090172</v>
      </c>
    </row>
    <row r="255" spans="1:9" ht="13.5">
      <c r="A255" s="419" t="str">
        <f t="shared" si="3"/>
        <v>緑丘サッカースポーツ少年団_2</v>
      </c>
      <c r="B255" s="307" t="s">
        <v>1379</v>
      </c>
      <c r="C255" s="307" t="str">
        <f>("2")</f>
        <v>2</v>
      </c>
      <c r="D255" s="307" t="s">
        <v>862</v>
      </c>
      <c r="E255" s="307" t="s">
        <v>1382</v>
      </c>
      <c r="F255" s="307" t="s">
        <v>1383</v>
      </c>
      <c r="G255" s="307">
        <v>4</v>
      </c>
      <c r="H255" s="307" t="s">
        <v>858</v>
      </c>
      <c r="I255" s="307" t="str">
        <f>("1303300077")</f>
        <v>1303300077</v>
      </c>
    </row>
    <row r="256" spans="1:9" ht="13.5">
      <c r="A256" s="419" t="str">
        <f t="shared" si="3"/>
        <v>緑丘サッカースポーツ少年団_3</v>
      </c>
      <c r="B256" s="307" t="s">
        <v>1379</v>
      </c>
      <c r="C256" s="307" t="str">
        <f>("3")</f>
        <v>3</v>
      </c>
      <c r="D256" s="307" t="s">
        <v>884</v>
      </c>
      <c r="E256" s="307" t="s">
        <v>1384</v>
      </c>
      <c r="F256" s="307" t="s">
        <v>1385</v>
      </c>
      <c r="G256" s="307">
        <v>4</v>
      </c>
      <c r="H256" s="307" t="s">
        <v>858</v>
      </c>
      <c r="I256" s="307" t="str">
        <f>("1302220112")</f>
        <v>1302220112</v>
      </c>
    </row>
    <row r="257" spans="1:9" ht="13.5">
      <c r="A257" s="419" t="str">
        <f aca="true" t="shared" si="4" ref="A257:A320">CONCATENATE(B257,"_",C257)</f>
        <v>緑丘サッカースポーツ少年団_4</v>
      </c>
      <c r="B257" s="307" t="s">
        <v>1379</v>
      </c>
      <c r="C257" s="307" t="str">
        <f>("4")</f>
        <v>4</v>
      </c>
      <c r="D257" s="307" t="s">
        <v>862</v>
      </c>
      <c r="E257" s="307" t="s">
        <v>1386</v>
      </c>
      <c r="F257" s="307" t="s">
        <v>1387</v>
      </c>
      <c r="G257" s="307">
        <v>5</v>
      </c>
      <c r="H257" s="307" t="s">
        <v>858</v>
      </c>
      <c r="I257" s="307" t="str">
        <f>("1203070136")</f>
        <v>1203070136</v>
      </c>
    </row>
    <row r="258" spans="1:9" ht="13.5">
      <c r="A258" s="419" t="str">
        <f t="shared" si="4"/>
        <v>緑丘サッカースポーツ少年団_6</v>
      </c>
      <c r="B258" s="307" t="s">
        <v>1379</v>
      </c>
      <c r="C258" s="307" t="str">
        <f>("6")</f>
        <v>6</v>
      </c>
      <c r="D258" s="307" t="s">
        <v>862</v>
      </c>
      <c r="E258" s="307" t="s">
        <v>1388</v>
      </c>
      <c r="F258" s="307" t="s">
        <v>1389</v>
      </c>
      <c r="G258" s="307">
        <v>6</v>
      </c>
      <c r="H258" s="307" t="s">
        <v>858</v>
      </c>
      <c r="I258" s="307" t="str">
        <f>("1008070181")</f>
        <v>1008070181</v>
      </c>
    </row>
    <row r="259" spans="1:9" ht="13.5">
      <c r="A259" s="419" t="str">
        <f t="shared" si="4"/>
        <v>緑丘サッカースポーツ少年団_7</v>
      </c>
      <c r="B259" s="307" t="s">
        <v>1379</v>
      </c>
      <c r="C259" s="307" t="str">
        <f>("7")</f>
        <v>7</v>
      </c>
      <c r="D259" s="307" t="s">
        <v>862</v>
      </c>
      <c r="E259" s="307" t="s">
        <v>1390</v>
      </c>
      <c r="F259" s="307" t="s">
        <v>1391</v>
      </c>
      <c r="G259" s="307">
        <v>5</v>
      </c>
      <c r="H259" s="307" t="s">
        <v>858</v>
      </c>
      <c r="I259" s="307" t="str">
        <f>("1105300180")</f>
        <v>1105300180</v>
      </c>
    </row>
    <row r="260" spans="1:9" ht="13.5">
      <c r="A260" s="419" t="str">
        <f t="shared" si="4"/>
        <v>緑丘サッカースポーツ少年団_8</v>
      </c>
      <c r="B260" s="307" t="s">
        <v>1379</v>
      </c>
      <c r="C260" s="307" t="str">
        <f>("8")</f>
        <v>8</v>
      </c>
      <c r="D260" s="307" t="s">
        <v>884</v>
      </c>
      <c r="E260" s="307" t="s">
        <v>1392</v>
      </c>
      <c r="F260" s="307" t="s">
        <v>1393</v>
      </c>
      <c r="G260" s="307">
        <v>6</v>
      </c>
      <c r="H260" s="307" t="s">
        <v>858</v>
      </c>
      <c r="I260" s="307" t="str">
        <f>("1012210145")</f>
        <v>1012210145</v>
      </c>
    </row>
    <row r="261" spans="1:9" ht="13.5">
      <c r="A261" s="419" t="str">
        <f t="shared" si="4"/>
        <v>緑丘サッカースポーツ少年団_9</v>
      </c>
      <c r="B261" s="307" t="s">
        <v>1379</v>
      </c>
      <c r="C261" s="307" t="str">
        <f>("9")</f>
        <v>9</v>
      </c>
      <c r="D261" s="307" t="s">
        <v>862</v>
      </c>
      <c r="E261" s="307" t="s">
        <v>1394</v>
      </c>
      <c r="F261" s="307" t="s">
        <v>1395</v>
      </c>
      <c r="G261" s="307">
        <v>5</v>
      </c>
      <c r="H261" s="307" t="s">
        <v>869</v>
      </c>
      <c r="I261" s="307" t="str">
        <f>("1106300143")</f>
        <v>1106300143</v>
      </c>
    </row>
    <row r="262" spans="1:10" ht="13.5">
      <c r="A262" s="419" t="str">
        <f t="shared" si="4"/>
        <v>緑丘サッカースポーツ少年団_10</v>
      </c>
      <c r="B262" s="307" t="s">
        <v>1379</v>
      </c>
      <c r="C262" s="307" t="str">
        <f>("10")</f>
        <v>10</v>
      </c>
      <c r="D262" s="307" t="s">
        <v>862</v>
      </c>
      <c r="E262" s="307" t="s">
        <v>1396</v>
      </c>
      <c r="F262" s="307" t="s">
        <v>1397</v>
      </c>
      <c r="G262" s="307">
        <v>6</v>
      </c>
      <c r="H262" s="307" t="s">
        <v>858</v>
      </c>
      <c r="I262" s="307" t="str">
        <f>("1011150141")</f>
        <v>1011150141</v>
      </c>
      <c r="J262" s="307" t="s">
        <v>15</v>
      </c>
    </row>
    <row r="263" spans="1:9" ht="13.5">
      <c r="A263" s="419" t="str">
        <f t="shared" si="4"/>
        <v>緑丘サッカースポーツ少年団_11</v>
      </c>
      <c r="B263" s="307" t="s">
        <v>1379</v>
      </c>
      <c r="C263" s="307" t="str">
        <f>("11")</f>
        <v>11</v>
      </c>
      <c r="D263" s="307" t="s">
        <v>862</v>
      </c>
      <c r="E263" s="307" t="s">
        <v>1398</v>
      </c>
      <c r="F263" s="307" t="s">
        <v>1399</v>
      </c>
      <c r="G263" s="307">
        <v>6</v>
      </c>
      <c r="H263" s="307" t="s">
        <v>858</v>
      </c>
      <c r="I263" s="307" t="str">
        <f>("1007030156")</f>
        <v>1007030156</v>
      </c>
    </row>
    <row r="264" spans="1:9" ht="13.5">
      <c r="A264" s="419" t="str">
        <f t="shared" si="4"/>
        <v>緑丘サッカースポーツ少年団_12</v>
      </c>
      <c r="B264" s="307" t="s">
        <v>1379</v>
      </c>
      <c r="C264" s="307" t="str">
        <f>("12")</f>
        <v>12</v>
      </c>
      <c r="D264" s="307" t="s">
        <v>884</v>
      </c>
      <c r="E264" s="307" t="s">
        <v>1400</v>
      </c>
      <c r="F264" s="307" t="s">
        <v>1401</v>
      </c>
      <c r="G264" s="307">
        <v>5</v>
      </c>
      <c r="H264" s="307" t="s">
        <v>858</v>
      </c>
      <c r="I264" s="307" t="str">
        <f>("1107160177")</f>
        <v>1107160177</v>
      </c>
    </row>
    <row r="265" spans="1:9" ht="13.5">
      <c r="A265" s="419" t="str">
        <f t="shared" si="4"/>
        <v>緑丘サッカースポーツ少年団_13</v>
      </c>
      <c r="B265" s="307" t="s">
        <v>1379</v>
      </c>
      <c r="C265" s="307" t="str">
        <f>("13")</f>
        <v>13</v>
      </c>
      <c r="D265" s="307" t="s">
        <v>859</v>
      </c>
      <c r="E265" s="307" t="s">
        <v>1402</v>
      </c>
      <c r="F265" s="307" t="s">
        <v>1403</v>
      </c>
      <c r="G265" s="307">
        <v>4</v>
      </c>
      <c r="H265" s="307" t="s">
        <v>858</v>
      </c>
      <c r="I265" s="307" t="str">
        <f>("1205050104")</f>
        <v>1205050104</v>
      </c>
    </row>
    <row r="266" spans="1:9" ht="13.5">
      <c r="A266" s="419" t="str">
        <f t="shared" si="4"/>
        <v>緑丘サッカースポーツ少年団_14</v>
      </c>
      <c r="B266" s="307" t="s">
        <v>1379</v>
      </c>
      <c r="C266" s="307" t="str">
        <f>("14")</f>
        <v>14</v>
      </c>
      <c r="D266" s="307" t="s">
        <v>884</v>
      </c>
      <c r="E266" s="307" t="s">
        <v>1404</v>
      </c>
      <c r="F266" s="307" t="s">
        <v>1405</v>
      </c>
      <c r="G266" s="307">
        <v>4</v>
      </c>
      <c r="H266" s="307" t="s">
        <v>858</v>
      </c>
      <c r="I266" s="307" t="str">
        <f>("1301170126")</f>
        <v>1301170126</v>
      </c>
    </row>
    <row r="267" spans="1:9" ht="13.5">
      <c r="A267" s="419" t="str">
        <f t="shared" si="4"/>
        <v>緑丘サッカースポーツ少年団_15</v>
      </c>
      <c r="B267" s="307" t="s">
        <v>1379</v>
      </c>
      <c r="C267" s="307" t="str">
        <f>("15")</f>
        <v>15</v>
      </c>
      <c r="D267" s="307" t="s">
        <v>859</v>
      </c>
      <c r="E267" s="307" t="s">
        <v>1406</v>
      </c>
      <c r="F267" s="307" t="s">
        <v>1407</v>
      </c>
      <c r="G267" s="307">
        <v>4</v>
      </c>
      <c r="H267" s="307" t="s">
        <v>858</v>
      </c>
      <c r="I267" s="307" t="str">
        <f>("1210150145")</f>
        <v>1210150145</v>
      </c>
    </row>
    <row r="268" spans="1:9" ht="13.5">
      <c r="A268" s="419" t="str">
        <f t="shared" si="4"/>
        <v>緑丘サッカースポーツ少年団_17</v>
      </c>
      <c r="B268" s="307" t="s">
        <v>1379</v>
      </c>
      <c r="C268" s="307" t="str">
        <f>("17")</f>
        <v>17</v>
      </c>
      <c r="D268" s="307" t="s">
        <v>884</v>
      </c>
      <c r="E268" s="307" t="s">
        <v>1408</v>
      </c>
      <c r="F268" s="307" t="s">
        <v>1409</v>
      </c>
      <c r="G268" s="307">
        <v>4</v>
      </c>
      <c r="H268" s="307" t="s">
        <v>858</v>
      </c>
      <c r="I268" s="307" t="str">
        <f>("1209070154")</f>
        <v>1209070154</v>
      </c>
    </row>
    <row r="269" spans="1:9" ht="13.5">
      <c r="A269" s="419" t="str">
        <f t="shared" si="4"/>
        <v>緑丘サッカースポーツ少年団_21</v>
      </c>
      <c r="B269" s="307" t="s">
        <v>1379</v>
      </c>
      <c r="C269" s="307" t="str">
        <f>("21")</f>
        <v>21</v>
      </c>
      <c r="D269" s="307" t="s">
        <v>862</v>
      </c>
      <c r="E269" s="307" t="s">
        <v>1410</v>
      </c>
      <c r="F269" s="307" t="s">
        <v>1411</v>
      </c>
      <c r="G269" s="307">
        <v>6</v>
      </c>
      <c r="H269" s="307" t="s">
        <v>858</v>
      </c>
      <c r="I269" s="307" t="str">
        <f>("1005150206")</f>
        <v>1005150206</v>
      </c>
    </row>
    <row r="270" spans="1:9" ht="13.5">
      <c r="A270" s="419" t="str">
        <f t="shared" si="4"/>
        <v>Ｓｈｙｎｔ　ＦＣ_1</v>
      </c>
      <c r="B270" s="307" t="s">
        <v>1412</v>
      </c>
      <c r="C270" s="307" t="str">
        <f>("1")</f>
        <v>1</v>
      </c>
      <c r="D270" s="307" t="s">
        <v>855</v>
      </c>
      <c r="E270" s="307" t="s">
        <v>1413</v>
      </c>
      <c r="F270" s="307" t="s">
        <v>1414</v>
      </c>
      <c r="G270" s="307">
        <v>6</v>
      </c>
      <c r="H270" s="307" t="s">
        <v>858</v>
      </c>
      <c r="I270" s="307" t="str">
        <f>("1006300150")</f>
        <v>1006300150</v>
      </c>
    </row>
    <row r="271" spans="1:9" ht="13.5">
      <c r="A271" s="419" t="str">
        <f t="shared" si="4"/>
        <v>Ｓｈｙｎｔ　ＦＣ_2</v>
      </c>
      <c r="B271" s="307" t="s">
        <v>1412</v>
      </c>
      <c r="C271" s="307" t="str">
        <f>("2")</f>
        <v>2</v>
      </c>
      <c r="D271" s="307" t="s">
        <v>884</v>
      </c>
      <c r="E271" s="307" t="s">
        <v>1415</v>
      </c>
      <c r="F271" s="307" t="s">
        <v>1416</v>
      </c>
      <c r="G271" s="307">
        <v>6</v>
      </c>
      <c r="H271" s="307" t="s">
        <v>858</v>
      </c>
      <c r="I271" s="307" t="str">
        <f>("1011120133")</f>
        <v>1011120133</v>
      </c>
    </row>
    <row r="272" spans="1:9" ht="13.5">
      <c r="A272" s="419" t="str">
        <f t="shared" si="4"/>
        <v>Ｓｈｙｎｔ　ＦＣ_3</v>
      </c>
      <c r="B272" s="307" t="s">
        <v>1412</v>
      </c>
      <c r="C272" s="307" t="str">
        <f>("3")</f>
        <v>3</v>
      </c>
      <c r="D272" s="307" t="s">
        <v>859</v>
      </c>
      <c r="E272" s="307" t="s">
        <v>1417</v>
      </c>
      <c r="F272" s="307" t="s">
        <v>1418</v>
      </c>
      <c r="G272" s="307">
        <v>6</v>
      </c>
      <c r="H272" s="307" t="s">
        <v>858</v>
      </c>
      <c r="I272" s="307" t="str">
        <f>("1007150172")</f>
        <v>1007150172</v>
      </c>
    </row>
    <row r="273" spans="1:9" ht="13.5">
      <c r="A273" s="419" t="str">
        <f t="shared" si="4"/>
        <v>Ｓｈｙｎｔ　ＦＣ_4</v>
      </c>
      <c r="B273" s="307" t="s">
        <v>1412</v>
      </c>
      <c r="C273" s="307" t="str">
        <f>("4")</f>
        <v>4</v>
      </c>
      <c r="D273" s="307" t="s">
        <v>859</v>
      </c>
      <c r="E273" s="307" t="s">
        <v>1419</v>
      </c>
      <c r="F273" s="307" t="s">
        <v>1420</v>
      </c>
      <c r="G273" s="307">
        <v>6</v>
      </c>
      <c r="H273" s="307" t="s">
        <v>858</v>
      </c>
      <c r="I273" s="307" t="str">
        <f>("1011120134")</f>
        <v>1011120134</v>
      </c>
    </row>
    <row r="274" spans="1:9" ht="13.5">
      <c r="A274" s="419" t="str">
        <f t="shared" si="4"/>
        <v>Ｓｈｙｎｔ　ＦＣ_5</v>
      </c>
      <c r="B274" s="307" t="s">
        <v>1412</v>
      </c>
      <c r="C274" s="307" t="str">
        <f>("5")</f>
        <v>5</v>
      </c>
      <c r="D274" s="307" t="s">
        <v>859</v>
      </c>
      <c r="E274" s="307" t="s">
        <v>1421</v>
      </c>
      <c r="F274" s="307" t="s">
        <v>1422</v>
      </c>
      <c r="G274" s="307">
        <v>6</v>
      </c>
      <c r="H274" s="307" t="s">
        <v>858</v>
      </c>
      <c r="I274" s="307" t="str">
        <f>("1007270151")</f>
        <v>1007270151</v>
      </c>
    </row>
    <row r="275" spans="1:9" ht="13.5">
      <c r="A275" s="419" t="str">
        <f t="shared" si="4"/>
        <v>Ｓｈｙｎｔ　ＦＣ_6</v>
      </c>
      <c r="B275" s="307" t="s">
        <v>1412</v>
      </c>
      <c r="C275" s="307" t="str">
        <f>("6")</f>
        <v>6</v>
      </c>
      <c r="D275" s="307" t="s">
        <v>862</v>
      </c>
      <c r="E275" s="307" t="s">
        <v>1423</v>
      </c>
      <c r="F275" s="307" t="s">
        <v>1424</v>
      </c>
      <c r="G275" s="307">
        <v>6</v>
      </c>
      <c r="H275" s="307" t="s">
        <v>858</v>
      </c>
      <c r="I275" s="307" t="str">
        <f>("1005310155")</f>
        <v>1005310155</v>
      </c>
    </row>
    <row r="276" spans="1:9" ht="13.5">
      <c r="A276" s="419" t="str">
        <f t="shared" si="4"/>
        <v>Ｓｈｙｎｔ　ＦＣ_8</v>
      </c>
      <c r="B276" s="307" t="s">
        <v>1412</v>
      </c>
      <c r="C276" s="307" t="str">
        <f>("8")</f>
        <v>8</v>
      </c>
      <c r="D276" s="307" t="s">
        <v>862</v>
      </c>
      <c r="E276" s="307" t="s">
        <v>1425</v>
      </c>
      <c r="F276" s="307" t="s">
        <v>1426</v>
      </c>
      <c r="G276" s="307">
        <v>6</v>
      </c>
      <c r="H276" s="307" t="s">
        <v>858</v>
      </c>
      <c r="I276" s="307" t="str">
        <f>("1010230099")</f>
        <v>1010230099</v>
      </c>
    </row>
    <row r="277" spans="1:9" ht="13.5">
      <c r="A277" s="419" t="str">
        <f t="shared" si="4"/>
        <v>Ｓｈｙｎｔ　ＦＣ_9</v>
      </c>
      <c r="B277" s="307" t="s">
        <v>1412</v>
      </c>
      <c r="C277" s="307" t="str">
        <f>("9")</f>
        <v>9</v>
      </c>
      <c r="D277" s="307" t="s">
        <v>884</v>
      </c>
      <c r="E277" s="307" t="s">
        <v>1427</v>
      </c>
      <c r="F277" s="307" t="s">
        <v>1428</v>
      </c>
      <c r="G277" s="307">
        <v>6</v>
      </c>
      <c r="H277" s="307" t="s">
        <v>858</v>
      </c>
      <c r="I277" s="307" t="str">
        <f>("1011040150")</f>
        <v>1011040150</v>
      </c>
    </row>
    <row r="278" spans="1:10" ht="13.5">
      <c r="A278" s="419" t="str">
        <f t="shared" si="4"/>
        <v>Ｓｈｙｎｔ　ＦＣ_10</v>
      </c>
      <c r="B278" s="307" t="s">
        <v>1412</v>
      </c>
      <c r="C278" s="307" t="str">
        <f>("10")</f>
        <v>10</v>
      </c>
      <c r="D278" s="307" t="s">
        <v>862</v>
      </c>
      <c r="E278" s="307" t="s">
        <v>1429</v>
      </c>
      <c r="F278" s="307" t="s">
        <v>1430</v>
      </c>
      <c r="G278" s="307">
        <v>6</v>
      </c>
      <c r="H278" s="307" t="s">
        <v>858</v>
      </c>
      <c r="I278" s="307" t="str">
        <f>("1006300074")</f>
        <v>1006300074</v>
      </c>
      <c r="J278" s="307" t="s">
        <v>15</v>
      </c>
    </row>
    <row r="279" spans="1:9" ht="13.5">
      <c r="A279" s="419" t="str">
        <f t="shared" si="4"/>
        <v>Ｓｈｙｎｔ　ＦＣ_11</v>
      </c>
      <c r="B279" s="307" t="s">
        <v>1412</v>
      </c>
      <c r="C279" s="307" t="str">
        <f>("11")</f>
        <v>11</v>
      </c>
      <c r="D279" s="307" t="s">
        <v>884</v>
      </c>
      <c r="E279" s="307" t="s">
        <v>1431</v>
      </c>
      <c r="F279" s="307" t="s">
        <v>1432</v>
      </c>
      <c r="G279" s="307">
        <v>6</v>
      </c>
      <c r="H279" s="307" t="s">
        <v>858</v>
      </c>
      <c r="I279" s="307" t="str">
        <f>("1103120092")</f>
        <v>1103120092</v>
      </c>
    </row>
    <row r="280" spans="1:9" ht="13.5">
      <c r="A280" s="419" t="str">
        <f t="shared" si="4"/>
        <v>Ｓｈｙｎｔ　ＦＣ_12</v>
      </c>
      <c r="B280" s="307" t="s">
        <v>1412</v>
      </c>
      <c r="C280" s="307" t="str">
        <f>("12")</f>
        <v>12</v>
      </c>
      <c r="D280" s="307" t="s">
        <v>859</v>
      </c>
      <c r="E280" s="307" t="s">
        <v>1433</v>
      </c>
      <c r="F280" s="307" t="s">
        <v>1434</v>
      </c>
      <c r="G280" s="307">
        <v>6</v>
      </c>
      <c r="H280" s="307" t="s">
        <v>858</v>
      </c>
      <c r="I280" s="307" t="str">
        <f>("1102160123")</f>
        <v>1102160123</v>
      </c>
    </row>
    <row r="281" spans="1:9" ht="13.5">
      <c r="A281" s="419" t="str">
        <f t="shared" si="4"/>
        <v>Ｓｈｙｎｔ　ＦＣ_13</v>
      </c>
      <c r="B281" s="307" t="s">
        <v>1412</v>
      </c>
      <c r="C281" s="307" t="str">
        <f>("13")</f>
        <v>13</v>
      </c>
      <c r="D281" s="307" t="s">
        <v>884</v>
      </c>
      <c r="E281" s="307" t="s">
        <v>1435</v>
      </c>
      <c r="F281" s="307" t="s">
        <v>1436</v>
      </c>
      <c r="G281" s="307">
        <v>6</v>
      </c>
      <c r="H281" s="307" t="s">
        <v>858</v>
      </c>
      <c r="I281" s="307" t="str">
        <f>("1004230228")</f>
        <v>1004230228</v>
      </c>
    </row>
    <row r="282" spans="1:9" ht="13.5">
      <c r="A282" s="419" t="str">
        <f t="shared" si="4"/>
        <v>Ｓｈｙｎｔ　ＦＣ_14</v>
      </c>
      <c r="B282" s="307" t="s">
        <v>1412</v>
      </c>
      <c r="C282" s="307" t="str">
        <f>("14")</f>
        <v>14</v>
      </c>
      <c r="D282" s="307" t="s">
        <v>859</v>
      </c>
      <c r="E282" s="307" t="s">
        <v>1437</v>
      </c>
      <c r="F282" s="307" t="s">
        <v>1438</v>
      </c>
      <c r="G282" s="307">
        <v>6</v>
      </c>
      <c r="H282" s="307" t="s">
        <v>869</v>
      </c>
      <c r="I282" s="307" t="str">
        <f>("1007220189")</f>
        <v>1007220189</v>
      </c>
    </row>
    <row r="283" spans="1:9" ht="13.5">
      <c r="A283" s="419" t="str">
        <f t="shared" si="4"/>
        <v>Ｓｈｙｎｔ　ＦＣ_15</v>
      </c>
      <c r="B283" s="307" t="s">
        <v>1412</v>
      </c>
      <c r="C283" s="307" t="str">
        <f>("15")</f>
        <v>15</v>
      </c>
      <c r="D283" s="307" t="s">
        <v>884</v>
      </c>
      <c r="E283" s="307" t="s">
        <v>1439</v>
      </c>
      <c r="F283" s="307" t="s">
        <v>1440</v>
      </c>
      <c r="G283" s="307">
        <v>6</v>
      </c>
      <c r="H283" s="307" t="s">
        <v>869</v>
      </c>
      <c r="I283" s="307" t="str">
        <f>("1101050006")</f>
        <v>1101050006</v>
      </c>
    </row>
    <row r="284" spans="1:9" ht="13.5">
      <c r="A284" s="419" t="str">
        <f t="shared" si="4"/>
        <v>Ｓｈｙｎｔ　ＦＣ_16</v>
      </c>
      <c r="B284" s="307" t="s">
        <v>1412</v>
      </c>
      <c r="C284" s="307" t="str">
        <f>("16")</f>
        <v>16</v>
      </c>
      <c r="D284" s="307" t="s">
        <v>862</v>
      </c>
      <c r="E284" s="307" t="s">
        <v>1441</v>
      </c>
      <c r="F284" s="307" t="s">
        <v>1442</v>
      </c>
      <c r="G284" s="307">
        <v>6</v>
      </c>
      <c r="H284" s="307" t="s">
        <v>858</v>
      </c>
      <c r="I284" s="307" t="str">
        <f>("1010120214")</f>
        <v>1010120214</v>
      </c>
    </row>
    <row r="285" spans="1:10" ht="13.5">
      <c r="A285" s="419" t="str">
        <f t="shared" si="4"/>
        <v>和田少年サッカークラブ_1</v>
      </c>
      <c r="B285" s="307" t="s">
        <v>1443</v>
      </c>
      <c r="C285" s="307" t="str">
        <f>("1")</f>
        <v>1</v>
      </c>
      <c r="D285" s="307" t="s">
        <v>855</v>
      </c>
      <c r="E285" s="307" t="s">
        <v>1444</v>
      </c>
      <c r="F285" s="307" t="s">
        <v>1445</v>
      </c>
      <c r="G285" s="307">
        <v>6</v>
      </c>
      <c r="H285" s="307" t="s">
        <v>858</v>
      </c>
      <c r="I285" s="307" t="str">
        <f>("1012060025")</f>
        <v>1012060025</v>
      </c>
      <c r="J285" s="307" t="s">
        <v>15</v>
      </c>
    </row>
    <row r="286" spans="1:9" ht="13.5">
      <c r="A286" s="419" t="str">
        <f t="shared" si="4"/>
        <v>和田少年サッカークラブ_2</v>
      </c>
      <c r="B286" s="307" t="s">
        <v>1443</v>
      </c>
      <c r="C286" s="307" t="str">
        <f>("2")</f>
        <v>2</v>
      </c>
      <c r="D286" s="307" t="s">
        <v>884</v>
      </c>
      <c r="E286" s="307" t="s">
        <v>1446</v>
      </c>
      <c r="F286" s="307" t="s">
        <v>1447</v>
      </c>
      <c r="G286" s="307">
        <v>6</v>
      </c>
      <c r="H286" s="307" t="s">
        <v>858</v>
      </c>
      <c r="I286" s="307" t="str">
        <f>("1103070115")</f>
        <v>1103070115</v>
      </c>
    </row>
    <row r="287" spans="1:9" ht="13.5">
      <c r="A287" s="419" t="str">
        <f t="shared" si="4"/>
        <v>和田少年サッカークラブ_3</v>
      </c>
      <c r="B287" s="307" t="s">
        <v>1443</v>
      </c>
      <c r="C287" s="307" t="str">
        <f>("3")</f>
        <v>3</v>
      </c>
      <c r="D287" s="307" t="s">
        <v>859</v>
      </c>
      <c r="E287" s="307" t="s">
        <v>1448</v>
      </c>
      <c r="F287" s="307" t="s">
        <v>1449</v>
      </c>
      <c r="G287" s="307">
        <v>6</v>
      </c>
      <c r="H287" s="307" t="s">
        <v>858</v>
      </c>
      <c r="I287" s="307" t="str">
        <f>("1006220215")</f>
        <v>1006220215</v>
      </c>
    </row>
    <row r="288" spans="1:9" ht="13.5">
      <c r="A288" s="419" t="str">
        <f t="shared" si="4"/>
        <v>和田少年サッカークラブ_4</v>
      </c>
      <c r="B288" s="307" t="s">
        <v>1443</v>
      </c>
      <c r="C288" s="307" t="str">
        <f>("4")</f>
        <v>4</v>
      </c>
      <c r="D288" s="307" t="s">
        <v>859</v>
      </c>
      <c r="E288" s="307" t="s">
        <v>1450</v>
      </c>
      <c r="F288" s="307" t="s">
        <v>1451</v>
      </c>
      <c r="G288" s="307">
        <v>6</v>
      </c>
      <c r="H288" s="307" t="s">
        <v>858</v>
      </c>
      <c r="I288" s="307" t="str">
        <f>("1012240197")</f>
        <v>1012240197</v>
      </c>
    </row>
    <row r="289" spans="1:9" ht="13.5">
      <c r="A289" s="419" t="str">
        <f t="shared" si="4"/>
        <v>和田少年サッカークラブ_5</v>
      </c>
      <c r="B289" s="307" t="s">
        <v>1443</v>
      </c>
      <c r="C289" s="307" t="str">
        <f>("5")</f>
        <v>5</v>
      </c>
      <c r="D289" s="307" t="s">
        <v>884</v>
      </c>
      <c r="E289" s="307" t="s">
        <v>1452</v>
      </c>
      <c r="F289" s="307" t="s">
        <v>1453</v>
      </c>
      <c r="G289" s="307">
        <v>5</v>
      </c>
      <c r="H289" s="307" t="s">
        <v>858</v>
      </c>
      <c r="I289" s="307" t="str">
        <f>("1109180175")</f>
        <v>1109180175</v>
      </c>
    </row>
    <row r="290" spans="1:9" ht="13.5">
      <c r="A290" s="419" t="str">
        <f t="shared" si="4"/>
        <v>和田少年サッカークラブ_6</v>
      </c>
      <c r="B290" s="307" t="s">
        <v>1443</v>
      </c>
      <c r="C290" s="307" t="str">
        <f>("6")</f>
        <v>6</v>
      </c>
      <c r="D290" s="307" t="s">
        <v>884</v>
      </c>
      <c r="E290" s="307" t="s">
        <v>1454</v>
      </c>
      <c r="F290" s="307" t="s">
        <v>1455</v>
      </c>
      <c r="G290" s="307">
        <v>5</v>
      </c>
      <c r="H290" s="307" t="s">
        <v>858</v>
      </c>
      <c r="I290" s="307" t="str">
        <f>("1108200076")</f>
        <v>1108200076</v>
      </c>
    </row>
    <row r="291" spans="1:9" ht="13.5">
      <c r="A291" s="419" t="str">
        <f t="shared" si="4"/>
        <v>和田少年サッカークラブ_7</v>
      </c>
      <c r="B291" s="307" t="s">
        <v>1443</v>
      </c>
      <c r="C291" s="307" t="str">
        <f>("7")</f>
        <v>7</v>
      </c>
      <c r="D291" s="307" t="s">
        <v>862</v>
      </c>
      <c r="E291" s="307" t="s">
        <v>1456</v>
      </c>
      <c r="F291" s="307" t="s">
        <v>1457</v>
      </c>
      <c r="G291" s="307">
        <v>5</v>
      </c>
      <c r="H291" s="307" t="s">
        <v>858</v>
      </c>
      <c r="I291" s="307" t="str">
        <f>("1201220004")</f>
        <v>1201220004</v>
      </c>
    </row>
    <row r="292" spans="1:9" ht="13.5">
      <c r="A292" s="419" t="str">
        <f t="shared" si="4"/>
        <v>和田少年サッカークラブ_8</v>
      </c>
      <c r="B292" s="307" t="s">
        <v>1443</v>
      </c>
      <c r="C292" s="307" t="str">
        <f>("8")</f>
        <v>8</v>
      </c>
      <c r="D292" s="307" t="s">
        <v>862</v>
      </c>
      <c r="E292" s="307" t="s">
        <v>1458</v>
      </c>
      <c r="F292" s="307" t="s">
        <v>1459</v>
      </c>
      <c r="G292" s="307">
        <v>5</v>
      </c>
      <c r="H292" s="307" t="s">
        <v>858</v>
      </c>
      <c r="I292" s="307" t="str">
        <f>("1108140067")</f>
        <v>1108140067</v>
      </c>
    </row>
    <row r="293" spans="1:9" ht="13.5">
      <c r="A293" s="419" t="str">
        <f t="shared" si="4"/>
        <v>和田少年サッカークラブ_9</v>
      </c>
      <c r="B293" s="307" t="s">
        <v>1443</v>
      </c>
      <c r="C293" s="307" t="str">
        <f>("9")</f>
        <v>9</v>
      </c>
      <c r="D293" s="307" t="s">
        <v>884</v>
      </c>
      <c r="E293" s="307" t="s">
        <v>1460</v>
      </c>
      <c r="F293" s="307" t="s">
        <v>1461</v>
      </c>
      <c r="G293" s="307">
        <v>5</v>
      </c>
      <c r="H293" s="307" t="s">
        <v>858</v>
      </c>
      <c r="I293" s="307" t="str">
        <f>("1105230105")</f>
        <v>1105230105</v>
      </c>
    </row>
    <row r="294" spans="1:9" ht="13.5">
      <c r="A294" s="419" t="str">
        <f t="shared" si="4"/>
        <v>和田少年サッカークラブ_10</v>
      </c>
      <c r="B294" s="307" t="s">
        <v>1443</v>
      </c>
      <c r="C294" s="307" t="str">
        <f>("10")</f>
        <v>10</v>
      </c>
      <c r="D294" s="307" t="s">
        <v>862</v>
      </c>
      <c r="E294" s="307" t="s">
        <v>1462</v>
      </c>
      <c r="F294" s="307" t="s">
        <v>1463</v>
      </c>
      <c r="G294" s="307">
        <v>5</v>
      </c>
      <c r="H294" s="307" t="s">
        <v>858</v>
      </c>
      <c r="I294" s="307" t="str">
        <f>("1106150091")</f>
        <v>1106150091</v>
      </c>
    </row>
    <row r="295" spans="1:9" ht="13.5">
      <c r="A295" s="419" t="str">
        <f t="shared" si="4"/>
        <v>和田少年サッカークラブ_11</v>
      </c>
      <c r="B295" s="307" t="s">
        <v>1443</v>
      </c>
      <c r="C295" s="307" t="str">
        <f>("11")</f>
        <v>11</v>
      </c>
      <c r="D295" s="307" t="s">
        <v>884</v>
      </c>
      <c r="E295" s="307" t="s">
        <v>1464</v>
      </c>
      <c r="F295" s="307" t="s">
        <v>1465</v>
      </c>
      <c r="G295" s="307">
        <v>5</v>
      </c>
      <c r="H295" s="307" t="s">
        <v>858</v>
      </c>
      <c r="I295" s="307" t="str">
        <f>("1108030036")</f>
        <v>1108030036</v>
      </c>
    </row>
    <row r="296" spans="1:9" ht="13.5">
      <c r="A296" s="419" t="str">
        <f t="shared" si="4"/>
        <v>和田少年サッカークラブ_13</v>
      </c>
      <c r="B296" s="307" t="s">
        <v>1443</v>
      </c>
      <c r="C296" s="307" t="str">
        <f>("13")</f>
        <v>13</v>
      </c>
      <c r="D296" s="307" t="s">
        <v>862</v>
      </c>
      <c r="E296" s="307" t="s">
        <v>1466</v>
      </c>
      <c r="F296" s="307" t="s">
        <v>1467</v>
      </c>
      <c r="G296" s="307">
        <v>5</v>
      </c>
      <c r="H296" s="307" t="s">
        <v>858</v>
      </c>
      <c r="I296" s="307" t="str">
        <f>("1110080009")</f>
        <v>1110080009</v>
      </c>
    </row>
    <row r="297" spans="1:9" ht="13.5">
      <c r="A297" s="419" t="str">
        <f t="shared" si="4"/>
        <v>和田少年サッカークラブ_14</v>
      </c>
      <c r="B297" s="307" t="s">
        <v>1443</v>
      </c>
      <c r="C297" s="307" t="str">
        <f>("14")</f>
        <v>14</v>
      </c>
      <c r="D297" s="307" t="s">
        <v>862</v>
      </c>
      <c r="E297" s="307" t="s">
        <v>1468</v>
      </c>
      <c r="F297" s="307" t="s">
        <v>1469</v>
      </c>
      <c r="G297" s="307">
        <v>4</v>
      </c>
      <c r="H297" s="307" t="s">
        <v>858</v>
      </c>
      <c r="I297" s="307" t="str">
        <f>("1301080114")</f>
        <v>1301080114</v>
      </c>
    </row>
    <row r="298" spans="1:9" ht="13.5">
      <c r="A298" s="419" t="str">
        <f t="shared" si="4"/>
        <v>和田少年サッカークラブ_15</v>
      </c>
      <c r="B298" s="307" t="s">
        <v>1443</v>
      </c>
      <c r="C298" s="307" t="str">
        <f>("15")</f>
        <v>15</v>
      </c>
      <c r="D298" s="307" t="s">
        <v>859</v>
      </c>
      <c r="E298" s="307" t="s">
        <v>1470</v>
      </c>
      <c r="F298" s="307" t="s">
        <v>1471</v>
      </c>
      <c r="G298" s="307">
        <v>4</v>
      </c>
      <c r="H298" s="307" t="s">
        <v>858</v>
      </c>
      <c r="I298" s="307" t="str">
        <f>("1212220007")</f>
        <v>1212220007</v>
      </c>
    </row>
    <row r="299" spans="1:9" ht="13.5">
      <c r="A299" s="419" t="str">
        <f t="shared" si="4"/>
        <v>下毛ＦＣ_1</v>
      </c>
      <c r="B299" s="307" t="s">
        <v>22</v>
      </c>
      <c r="C299" s="307" t="str">
        <f>("1")</f>
        <v>1</v>
      </c>
      <c r="D299" s="307" t="s">
        <v>855</v>
      </c>
      <c r="E299" s="307" t="s">
        <v>1472</v>
      </c>
      <c r="F299" s="307" t="s">
        <v>1473</v>
      </c>
      <c r="G299" s="307">
        <v>5</v>
      </c>
      <c r="H299" s="307" t="s">
        <v>858</v>
      </c>
      <c r="I299" s="307" t="str">
        <f>("1203240015")</f>
        <v>1203240015</v>
      </c>
    </row>
    <row r="300" spans="1:9" ht="13.5">
      <c r="A300" s="419" t="str">
        <f t="shared" si="4"/>
        <v>下毛ＦＣ_2</v>
      </c>
      <c r="B300" s="421" t="s">
        <v>22</v>
      </c>
      <c r="C300" s="307" t="str">
        <f>("2")</f>
        <v>2</v>
      </c>
      <c r="D300" s="307" t="s">
        <v>862</v>
      </c>
      <c r="E300" s="307" t="s">
        <v>1474</v>
      </c>
      <c r="F300" s="307" t="s">
        <v>1475</v>
      </c>
      <c r="G300" s="307">
        <v>6</v>
      </c>
      <c r="H300" s="307" t="s">
        <v>858</v>
      </c>
      <c r="I300" s="307" t="str">
        <f>("1012240257")</f>
        <v>1012240257</v>
      </c>
    </row>
    <row r="301" spans="1:9" ht="13.5">
      <c r="A301" s="419" t="str">
        <f t="shared" si="4"/>
        <v>下毛ＦＣ_3</v>
      </c>
      <c r="B301" s="307" t="s">
        <v>22</v>
      </c>
      <c r="C301" s="307" t="str">
        <f>("3")</f>
        <v>3</v>
      </c>
      <c r="D301" s="307" t="s">
        <v>859</v>
      </c>
      <c r="E301" s="307" t="s">
        <v>1476</v>
      </c>
      <c r="F301" s="307" t="s">
        <v>1477</v>
      </c>
      <c r="G301" s="307">
        <v>5</v>
      </c>
      <c r="H301" s="307" t="s">
        <v>858</v>
      </c>
      <c r="I301" s="307" t="str">
        <f>("1202260009")</f>
        <v>1202260009</v>
      </c>
    </row>
    <row r="302" spans="1:9" ht="13.5">
      <c r="A302" s="419" t="str">
        <f t="shared" si="4"/>
        <v>下毛ＦＣ_4</v>
      </c>
      <c r="B302" s="307" t="s">
        <v>22</v>
      </c>
      <c r="C302" s="307" t="str">
        <f>("4")</f>
        <v>4</v>
      </c>
      <c r="D302" s="307" t="s">
        <v>859</v>
      </c>
      <c r="E302" s="307" t="s">
        <v>1478</v>
      </c>
      <c r="F302" s="307" t="s">
        <v>1479</v>
      </c>
      <c r="G302" s="307">
        <v>6</v>
      </c>
      <c r="H302" s="307" t="s">
        <v>858</v>
      </c>
      <c r="I302" s="307" t="str">
        <f>("1005250023")</f>
        <v>1005250023</v>
      </c>
    </row>
    <row r="303" spans="1:9" ht="13.5">
      <c r="A303" s="419" t="str">
        <f t="shared" si="4"/>
        <v>下毛ＦＣ_5</v>
      </c>
      <c r="B303" s="307" t="s">
        <v>22</v>
      </c>
      <c r="C303" s="307" t="str">
        <f>("5")</f>
        <v>5</v>
      </c>
      <c r="D303" s="307" t="s">
        <v>862</v>
      </c>
      <c r="E303" s="307" t="s">
        <v>1480</v>
      </c>
      <c r="F303" s="307" t="s">
        <v>1481</v>
      </c>
      <c r="G303" s="307">
        <v>6</v>
      </c>
      <c r="H303" s="307" t="s">
        <v>858</v>
      </c>
      <c r="I303" s="307" t="str">
        <f>("1012310062")</f>
        <v>1012310062</v>
      </c>
    </row>
    <row r="304" spans="1:10" ht="13.5">
      <c r="A304" s="419" t="str">
        <f t="shared" si="4"/>
        <v>下毛ＦＣ_6</v>
      </c>
      <c r="B304" s="307" t="s">
        <v>22</v>
      </c>
      <c r="C304" s="307" t="str">
        <f>("6")</f>
        <v>6</v>
      </c>
      <c r="D304" s="307" t="s">
        <v>862</v>
      </c>
      <c r="E304" s="307" t="s">
        <v>1482</v>
      </c>
      <c r="F304" s="307" t="s">
        <v>1483</v>
      </c>
      <c r="G304" s="307">
        <v>6</v>
      </c>
      <c r="H304" s="307" t="s">
        <v>858</v>
      </c>
      <c r="I304" s="307" t="str">
        <f>("1101080011")</f>
        <v>1101080011</v>
      </c>
      <c r="J304" s="307" t="s">
        <v>15</v>
      </c>
    </row>
    <row r="305" spans="1:9" ht="13.5">
      <c r="A305" s="419" t="str">
        <f t="shared" si="4"/>
        <v>下毛ＦＣ_7</v>
      </c>
      <c r="B305" s="307" t="s">
        <v>22</v>
      </c>
      <c r="C305" s="307" t="str">
        <f>("7")</f>
        <v>7</v>
      </c>
      <c r="D305" s="307" t="s">
        <v>862</v>
      </c>
      <c r="E305" s="307" t="s">
        <v>1484</v>
      </c>
      <c r="F305" s="307" t="s">
        <v>1485</v>
      </c>
      <c r="G305" s="307">
        <v>6</v>
      </c>
      <c r="H305" s="307" t="s">
        <v>858</v>
      </c>
      <c r="I305" s="307" t="str">
        <f>("1009070116")</f>
        <v>1009070116</v>
      </c>
    </row>
    <row r="306" spans="1:9" ht="13.5">
      <c r="A306" s="419" t="str">
        <f t="shared" si="4"/>
        <v>下毛ＦＣ_8</v>
      </c>
      <c r="B306" s="307" t="s">
        <v>22</v>
      </c>
      <c r="C306" s="307" t="str">
        <f>("8")</f>
        <v>8</v>
      </c>
      <c r="D306" s="307" t="s">
        <v>862</v>
      </c>
      <c r="E306" s="307" t="s">
        <v>1486</v>
      </c>
      <c r="F306" s="307" t="s">
        <v>1487</v>
      </c>
      <c r="G306" s="307">
        <v>6</v>
      </c>
      <c r="H306" s="307" t="s">
        <v>858</v>
      </c>
      <c r="I306" s="307" t="str">
        <f>("1009170122")</f>
        <v>1009170122</v>
      </c>
    </row>
    <row r="307" spans="1:9" ht="13.5">
      <c r="A307" s="419" t="str">
        <f t="shared" si="4"/>
        <v>下毛ＦＣ_9</v>
      </c>
      <c r="B307" s="307" t="s">
        <v>22</v>
      </c>
      <c r="C307" s="307" t="str">
        <f>("9")</f>
        <v>9</v>
      </c>
      <c r="D307" s="307" t="s">
        <v>884</v>
      </c>
      <c r="E307" s="307" t="s">
        <v>1488</v>
      </c>
      <c r="F307" s="307" t="s">
        <v>1489</v>
      </c>
      <c r="G307" s="307">
        <v>6</v>
      </c>
      <c r="H307" s="307" t="s">
        <v>858</v>
      </c>
      <c r="I307" s="307" t="str">
        <f>("1006070037")</f>
        <v>1006070037</v>
      </c>
    </row>
    <row r="308" spans="1:9" ht="13.5">
      <c r="A308" s="419" t="str">
        <f t="shared" si="4"/>
        <v>下毛ＦＣ_10</v>
      </c>
      <c r="B308" s="307" t="s">
        <v>22</v>
      </c>
      <c r="C308" s="307" t="str">
        <f>("10")</f>
        <v>10</v>
      </c>
      <c r="D308" s="307" t="s">
        <v>862</v>
      </c>
      <c r="E308" s="307" t="s">
        <v>1490</v>
      </c>
      <c r="F308" s="307" t="s">
        <v>1491</v>
      </c>
      <c r="G308" s="307">
        <v>6</v>
      </c>
      <c r="H308" s="307" t="s">
        <v>858</v>
      </c>
      <c r="I308" s="307" t="str">
        <f>("1011110073")</f>
        <v>1011110073</v>
      </c>
    </row>
    <row r="309" spans="1:9" ht="13.5">
      <c r="A309" s="419" t="str">
        <f t="shared" si="4"/>
        <v>下毛ＦＣ_11</v>
      </c>
      <c r="B309" s="307" t="s">
        <v>22</v>
      </c>
      <c r="C309" s="307" t="str">
        <f>("11")</f>
        <v>11</v>
      </c>
      <c r="D309" s="307" t="s">
        <v>862</v>
      </c>
      <c r="E309" s="307" t="s">
        <v>1492</v>
      </c>
      <c r="F309" s="307" t="s">
        <v>1493</v>
      </c>
      <c r="G309" s="307">
        <v>5</v>
      </c>
      <c r="H309" s="307" t="s">
        <v>858</v>
      </c>
      <c r="I309" s="307" t="str">
        <f>("1111110032")</f>
        <v>1111110032</v>
      </c>
    </row>
    <row r="310" spans="1:9" ht="13.5">
      <c r="A310" s="419" t="str">
        <f t="shared" si="4"/>
        <v>下毛ＦＣ_12</v>
      </c>
      <c r="B310" s="307" t="s">
        <v>22</v>
      </c>
      <c r="C310" s="307" t="str">
        <f>("12")</f>
        <v>12</v>
      </c>
      <c r="D310" s="307" t="s">
        <v>862</v>
      </c>
      <c r="E310" s="307" t="s">
        <v>1494</v>
      </c>
      <c r="F310" s="307" t="s">
        <v>1495</v>
      </c>
      <c r="G310" s="307">
        <v>5</v>
      </c>
      <c r="H310" s="307" t="s">
        <v>858</v>
      </c>
      <c r="I310" s="307" t="str">
        <f>("1105280164")</f>
        <v>1105280164</v>
      </c>
    </row>
    <row r="311" spans="1:9" ht="13.5">
      <c r="A311" s="419" t="str">
        <f t="shared" si="4"/>
        <v>下毛ＦＣ_13</v>
      </c>
      <c r="B311" s="307" t="s">
        <v>22</v>
      </c>
      <c r="C311" s="307" t="str">
        <f>("13")</f>
        <v>13</v>
      </c>
      <c r="D311" s="307" t="s">
        <v>862</v>
      </c>
      <c r="E311" s="307" t="s">
        <v>1496</v>
      </c>
      <c r="F311" s="307" t="s">
        <v>1497</v>
      </c>
      <c r="G311" s="307">
        <v>4</v>
      </c>
      <c r="H311" s="307" t="s">
        <v>858</v>
      </c>
      <c r="I311" s="307" t="str">
        <f>("1204170187")</f>
        <v>1204170187</v>
      </c>
    </row>
    <row r="312" spans="1:9" ht="13.5">
      <c r="A312" s="419" t="str">
        <f t="shared" si="4"/>
        <v>下毛ＦＣ_14</v>
      </c>
      <c r="B312" s="307" t="s">
        <v>22</v>
      </c>
      <c r="C312" s="307" t="str">
        <f>("14")</f>
        <v>14</v>
      </c>
      <c r="D312" s="307" t="s">
        <v>884</v>
      </c>
      <c r="E312" s="307" t="s">
        <v>1498</v>
      </c>
      <c r="F312" s="307" t="s">
        <v>1499</v>
      </c>
      <c r="G312" s="307">
        <v>4</v>
      </c>
      <c r="H312" s="307" t="s">
        <v>858</v>
      </c>
      <c r="I312" s="307" t="str">
        <f>("1204030189")</f>
        <v>1204030189</v>
      </c>
    </row>
    <row r="313" spans="1:9" ht="13.5">
      <c r="A313" s="419" t="str">
        <f t="shared" si="4"/>
        <v>下毛ＦＣ_21</v>
      </c>
      <c r="B313" s="307" t="s">
        <v>22</v>
      </c>
      <c r="C313" s="307" t="str">
        <f>("21")</f>
        <v>21</v>
      </c>
      <c r="D313" s="307" t="s">
        <v>855</v>
      </c>
      <c r="E313" s="307" t="s">
        <v>1500</v>
      </c>
      <c r="F313" s="307" t="s">
        <v>1501</v>
      </c>
      <c r="G313" s="307">
        <v>4</v>
      </c>
      <c r="H313" s="307" t="s">
        <v>858</v>
      </c>
      <c r="I313" s="307" t="str">
        <f>("1209280158")</f>
        <v>1209280158</v>
      </c>
    </row>
    <row r="314" spans="1:9" ht="13.5">
      <c r="A314" s="419" t="str">
        <f t="shared" si="4"/>
        <v>中津豊南ＦＣ_1</v>
      </c>
      <c r="B314" s="307" t="s">
        <v>1502</v>
      </c>
      <c r="C314" s="307" t="str">
        <f>("1")</f>
        <v>1</v>
      </c>
      <c r="D314" s="307" t="s">
        <v>855</v>
      </c>
      <c r="E314" s="307" t="s">
        <v>1503</v>
      </c>
      <c r="F314" s="307" t="s">
        <v>1504</v>
      </c>
      <c r="G314" s="307">
        <v>6</v>
      </c>
      <c r="H314" s="307" t="s">
        <v>858</v>
      </c>
      <c r="I314" s="307" t="str">
        <f>("1012060133")</f>
        <v>1012060133</v>
      </c>
    </row>
    <row r="315" spans="1:9" ht="13.5">
      <c r="A315" s="419" t="str">
        <f t="shared" si="4"/>
        <v>中津豊南ＦＣ_2</v>
      </c>
      <c r="B315" s="307" t="s">
        <v>1502</v>
      </c>
      <c r="C315" s="307" t="str">
        <f>("2")</f>
        <v>2</v>
      </c>
      <c r="D315" s="307" t="s">
        <v>884</v>
      </c>
      <c r="E315" s="307" t="s">
        <v>1505</v>
      </c>
      <c r="F315" s="307" t="s">
        <v>1506</v>
      </c>
      <c r="G315" s="307">
        <v>4</v>
      </c>
      <c r="H315" s="307" t="s">
        <v>858</v>
      </c>
      <c r="I315" s="307" t="str">
        <f>("1303250126")</f>
        <v>1303250126</v>
      </c>
    </row>
    <row r="316" spans="1:9" ht="13.5">
      <c r="A316" s="419" t="str">
        <f t="shared" si="4"/>
        <v>中津豊南ＦＣ_3</v>
      </c>
      <c r="B316" s="307" t="s">
        <v>1502</v>
      </c>
      <c r="C316" s="307" t="str">
        <f>("3")</f>
        <v>3</v>
      </c>
      <c r="D316" s="307" t="s">
        <v>862</v>
      </c>
      <c r="E316" s="307" t="s">
        <v>1507</v>
      </c>
      <c r="F316" s="307" t="s">
        <v>1508</v>
      </c>
      <c r="G316" s="307">
        <v>5</v>
      </c>
      <c r="H316" s="307" t="s">
        <v>869</v>
      </c>
      <c r="I316" s="307" t="str">
        <f>("1201100119")</f>
        <v>1201100119</v>
      </c>
    </row>
    <row r="317" spans="1:9" ht="13.5">
      <c r="A317" s="419" t="str">
        <f t="shared" si="4"/>
        <v>中津豊南ＦＣ_4</v>
      </c>
      <c r="B317" s="307" t="s">
        <v>1502</v>
      </c>
      <c r="C317" s="307" t="str">
        <f>("4")</f>
        <v>4</v>
      </c>
      <c r="D317" s="307" t="s">
        <v>859</v>
      </c>
      <c r="E317" s="307" t="s">
        <v>1509</v>
      </c>
      <c r="F317" s="307" t="s">
        <v>1510</v>
      </c>
      <c r="G317" s="307">
        <v>5</v>
      </c>
      <c r="H317" s="307" t="s">
        <v>858</v>
      </c>
      <c r="I317" s="307" t="str">
        <f>("1110170124")</f>
        <v>1110170124</v>
      </c>
    </row>
    <row r="318" spans="1:9" ht="13.5">
      <c r="A318" s="419" t="str">
        <f t="shared" si="4"/>
        <v>中津豊南ＦＣ_5</v>
      </c>
      <c r="B318" s="307" t="s">
        <v>1502</v>
      </c>
      <c r="C318" s="307" t="str">
        <f>("5")</f>
        <v>5</v>
      </c>
      <c r="D318" s="307" t="s">
        <v>862</v>
      </c>
      <c r="E318" s="307" t="s">
        <v>1511</v>
      </c>
      <c r="F318" s="307" t="s">
        <v>1512</v>
      </c>
      <c r="G318" s="307">
        <v>5</v>
      </c>
      <c r="H318" s="307" t="s">
        <v>858</v>
      </c>
      <c r="I318" s="307" t="str">
        <f>("1110230069")</f>
        <v>1110230069</v>
      </c>
    </row>
    <row r="319" spans="1:9" ht="13.5">
      <c r="A319" s="419" t="str">
        <f t="shared" si="4"/>
        <v>中津豊南ＦＣ_6</v>
      </c>
      <c r="B319" s="307" t="s">
        <v>1502</v>
      </c>
      <c r="C319" s="307" t="str">
        <f>("6")</f>
        <v>6</v>
      </c>
      <c r="D319" s="307" t="s">
        <v>859</v>
      </c>
      <c r="E319" s="307" t="s">
        <v>1513</v>
      </c>
      <c r="F319" s="307" t="s">
        <v>1514</v>
      </c>
      <c r="G319" s="307">
        <v>5</v>
      </c>
      <c r="H319" s="307" t="s">
        <v>858</v>
      </c>
      <c r="I319" s="307" t="str">
        <f>("1201100087")</f>
        <v>1201100087</v>
      </c>
    </row>
    <row r="320" spans="1:9" ht="13.5">
      <c r="A320" s="419" t="str">
        <f t="shared" si="4"/>
        <v>中津豊南ＦＣ_7</v>
      </c>
      <c r="B320" s="307" t="s">
        <v>1502</v>
      </c>
      <c r="C320" s="307" t="str">
        <f>("7")</f>
        <v>7</v>
      </c>
      <c r="D320" s="307" t="s">
        <v>859</v>
      </c>
      <c r="E320" s="307" t="s">
        <v>1515</v>
      </c>
      <c r="F320" s="307" t="s">
        <v>1516</v>
      </c>
      <c r="G320" s="307">
        <v>5</v>
      </c>
      <c r="H320" s="307" t="s">
        <v>858</v>
      </c>
      <c r="I320" s="307" t="str">
        <f>("1106200133")</f>
        <v>1106200133</v>
      </c>
    </row>
    <row r="321" spans="1:9" ht="13.5">
      <c r="A321" s="419" t="str">
        <f aca="true" t="shared" si="5" ref="A321:A384">CONCATENATE(B321,"_",C321)</f>
        <v>中津豊南ＦＣ_8</v>
      </c>
      <c r="B321" s="307" t="s">
        <v>1502</v>
      </c>
      <c r="C321" s="307" t="str">
        <f>("8")</f>
        <v>8</v>
      </c>
      <c r="D321" s="307" t="s">
        <v>862</v>
      </c>
      <c r="E321" s="307" t="s">
        <v>1517</v>
      </c>
      <c r="F321" s="307" t="s">
        <v>1518</v>
      </c>
      <c r="G321" s="307">
        <v>5</v>
      </c>
      <c r="H321" s="307" t="s">
        <v>858</v>
      </c>
      <c r="I321" s="307" t="str">
        <f>("1104280134")</f>
        <v>1104280134</v>
      </c>
    </row>
    <row r="322" spans="1:9" ht="13.5">
      <c r="A322" s="419" t="str">
        <f t="shared" si="5"/>
        <v>中津豊南ＦＣ_9</v>
      </c>
      <c r="B322" s="307" t="s">
        <v>1502</v>
      </c>
      <c r="C322" s="307" t="str">
        <f>("9")</f>
        <v>9</v>
      </c>
      <c r="D322" s="307" t="s">
        <v>884</v>
      </c>
      <c r="E322" s="307" t="s">
        <v>1519</v>
      </c>
      <c r="F322" s="307" t="s">
        <v>1520</v>
      </c>
      <c r="G322" s="307">
        <v>6</v>
      </c>
      <c r="H322" s="307" t="s">
        <v>869</v>
      </c>
      <c r="I322" s="307" t="str">
        <f>("1006240161")</f>
        <v>1006240161</v>
      </c>
    </row>
    <row r="323" spans="1:10" ht="13.5">
      <c r="A323" s="419" t="str">
        <f t="shared" si="5"/>
        <v>中津豊南ＦＣ_10</v>
      </c>
      <c r="B323" s="307" t="s">
        <v>1502</v>
      </c>
      <c r="C323" s="307" t="str">
        <f>("10")</f>
        <v>10</v>
      </c>
      <c r="D323" s="307" t="s">
        <v>884</v>
      </c>
      <c r="E323" s="307" t="s">
        <v>1521</v>
      </c>
      <c r="F323" s="307" t="s">
        <v>1522</v>
      </c>
      <c r="G323" s="307">
        <v>6</v>
      </c>
      <c r="H323" s="307" t="s">
        <v>869</v>
      </c>
      <c r="I323" s="307" t="str">
        <f>("1006030159")</f>
        <v>1006030159</v>
      </c>
      <c r="J323" s="307" t="s">
        <v>15</v>
      </c>
    </row>
    <row r="324" spans="1:9" ht="13.5">
      <c r="A324" s="419" t="str">
        <f t="shared" si="5"/>
        <v>中津豊南ＦＣ_11</v>
      </c>
      <c r="B324" s="307" t="s">
        <v>1502</v>
      </c>
      <c r="C324" s="307" t="str">
        <f>("11")</f>
        <v>11</v>
      </c>
      <c r="D324" s="307" t="s">
        <v>862</v>
      </c>
      <c r="E324" s="307" t="s">
        <v>1523</v>
      </c>
      <c r="F324" s="307" t="s">
        <v>1524</v>
      </c>
      <c r="G324" s="307">
        <v>6</v>
      </c>
      <c r="H324" s="307" t="s">
        <v>869</v>
      </c>
      <c r="I324" s="307" t="str">
        <f>("1008110160")</f>
        <v>1008110160</v>
      </c>
    </row>
    <row r="325" spans="1:9" ht="13.5">
      <c r="A325" s="419" t="str">
        <f t="shared" si="5"/>
        <v>中津豊南ＦＣ_12</v>
      </c>
      <c r="B325" s="307" t="s">
        <v>1502</v>
      </c>
      <c r="C325" s="307" t="str">
        <f>("12")</f>
        <v>12</v>
      </c>
      <c r="D325" s="307" t="s">
        <v>859</v>
      </c>
      <c r="E325" s="307" t="s">
        <v>1525</v>
      </c>
      <c r="F325" s="307" t="s">
        <v>1526</v>
      </c>
      <c r="G325" s="307">
        <v>4</v>
      </c>
      <c r="H325" s="307" t="s">
        <v>858</v>
      </c>
      <c r="I325" s="307" t="str">
        <f>("1208300129")</f>
        <v>1208300129</v>
      </c>
    </row>
    <row r="326" spans="1:9" ht="13.5">
      <c r="A326" s="419" t="str">
        <f t="shared" si="5"/>
        <v>中津豊南ＦＣ_13</v>
      </c>
      <c r="B326" s="307" t="s">
        <v>1502</v>
      </c>
      <c r="C326" s="307" t="str">
        <f>("13")</f>
        <v>13</v>
      </c>
      <c r="D326" s="307" t="s">
        <v>862</v>
      </c>
      <c r="E326" s="307" t="s">
        <v>1527</v>
      </c>
      <c r="F326" s="307" t="s">
        <v>1528</v>
      </c>
      <c r="G326" s="307">
        <v>4</v>
      </c>
      <c r="H326" s="307" t="s">
        <v>858</v>
      </c>
      <c r="I326" s="307" t="str">
        <f>("1207250167")</f>
        <v>1207250167</v>
      </c>
    </row>
    <row r="327" spans="1:9" ht="13.5">
      <c r="A327" s="419" t="str">
        <f t="shared" si="5"/>
        <v>中津豊南ＦＣ_14</v>
      </c>
      <c r="B327" s="307" t="s">
        <v>1502</v>
      </c>
      <c r="C327" s="307" t="str">
        <f>("14")</f>
        <v>14</v>
      </c>
      <c r="D327" s="307" t="s">
        <v>862</v>
      </c>
      <c r="E327" s="307" t="s">
        <v>1529</v>
      </c>
      <c r="F327" s="307" t="s">
        <v>1530</v>
      </c>
      <c r="G327" s="307">
        <v>4</v>
      </c>
      <c r="H327" s="307" t="s">
        <v>869</v>
      </c>
      <c r="I327" s="307" t="str">
        <f>("1209010119")</f>
        <v>1209010119</v>
      </c>
    </row>
    <row r="328" spans="1:9" ht="13.5">
      <c r="A328" s="419" t="str">
        <f t="shared" si="5"/>
        <v>中津豊南ＦＣ_15</v>
      </c>
      <c r="B328" s="307" t="s">
        <v>1502</v>
      </c>
      <c r="C328" s="307" t="str">
        <f>("15")</f>
        <v>15</v>
      </c>
      <c r="D328" s="307" t="s">
        <v>884</v>
      </c>
      <c r="E328" s="307" t="s">
        <v>1531</v>
      </c>
      <c r="F328" s="307" t="s">
        <v>1532</v>
      </c>
      <c r="G328" s="307">
        <v>3</v>
      </c>
      <c r="H328" s="307" t="s">
        <v>858</v>
      </c>
      <c r="I328" s="307" t="str">
        <f>("1401260053")</f>
        <v>1401260053</v>
      </c>
    </row>
    <row r="329" spans="1:9" ht="13.5">
      <c r="A329" s="419" t="str">
        <f t="shared" si="5"/>
        <v>中津豊南ＦＣ_16</v>
      </c>
      <c r="B329" s="307" t="s">
        <v>1502</v>
      </c>
      <c r="C329" s="307" t="str">
        <f>("16")</f>
        <v>16</v>
      </c>
      <c r="D329" s="307" t="s">
        <v>855</v>
      </c>
      <c r="E329" s="307" t="s">
        <v>1533</v>
      </c>
      <c r="F329" s="307" t="s">
        <v>1534</v>
      </c>
      <c r="G329" s="307">
        <v>6</v>
      </c>
      <c r="H329" s="307" t="s">
        <v>858</v>
      </c>
      <c r="I329" s="307" t="str">
        <f>("1010140183")</f>
        <v>1010140183</v>
      </c>
    </row>
    <row r="330" spans="1:9" ht="13.5">
      <c r="A330" s="419" t="str">
        <f t="shared" si="5"/>
        <v>中津沖代ジュニアサッカークラブ_1</v>
      </c>
      <c r="B330" s="307" t="s">
        <v>18</v>
      </c>
      <c r="C330" s="307" t="str">
        <f>("1")</f>
        <v>1</v>
      </c>
      <c r="D330" s="307" t="s">
        <v>855</v>
      </c>
      <c r="E330" s="307" t="s">
        <v>1535</v>
      </c>
      <c r="F330" s="307" t="s">
        <v>1536</v>
      </c>
      <c r="G330" s="307">
        <v>6</v>
      </c>
      <c r="H330" s="307" t="s">
        <v>858</v>
      </c>
      <c r="I330" s="307" t="str">
        <f>("1103150156")</f>
        <v>1103150156</v>
      </c>
    </row>
    <row r="331" spans="1:9" ht="13.5">
      <c r="A331" s="419" t="str">
        <f t="shared" si="5"/>
        <v>中津沖代ジュニアサッカークラブ_2</v>
      </c>
      <c r="B331" s="307" t="s">
        <v>18</v>
      </c>
      <c r="C331" s="307" t="str">
        <f>("2")</f>
        <v>2</v>
      </c>
      <c r="D331" s="307" t="s">
        <v>862</v>
      </c>
      <c r="E331" s="307" t="s">
        <v>1537</v>
      </c>
      <c r="F331" s="307" t="s">
        <v>1538</v>
      </c>
      <c r="G331" s="307">
        <v>5</v>
      </c>
      <c r="H331" s="307" t="s">
        <v>858</v>
      </c>
      <c r="I331" s="307" t="str">
        <f>("1203210067")</f>
        <v>1203210067</v>
      </c>
    </row>
    <row r="332" spans="1:9" ht="13.5">
      <c r="A332" s="419" t="str">
        <f t="shared" si="5"/>
        <v>中津沖代ジュニアサッカークラブ_3</v>
      </c>
      <c r="B332" s="307" t="s">
        <v>18</v>
      </c>
      <c r="C332" s="307" t="str">
        <f>("3")</f>
        <v>3</v>
      </c>
      <c r="D332" s="307" t="s">
        <v>862</v>
      </c>
      <c r="E332" s="307" t="s">
        <v>1539</v>
      </c>
      <c r="F332" s="307" t="s">
        <v>1540</v>
      </c>
      <c r="G332" s="307">
        <v>5</v>
      </c>
      <c r="H332" s="307" t="s">
        <v>858</v>
      </c>
      <c r="I332" s="307" t="str">
        <f>("1201180088")</f>
        <v>1201180088</v>
      </c>
    </row>
    <row r="333" spans="1:9" ht="13.5">
      <c r="A333" s="419" t="str">
        <f t="shared" si="5"/>
        <v>中津沖代ジュニアサッカークラブ_5</v>
      </c>
      <c r="B333" s="307" t="s">
        <v>18</v>
      </c>
      <c r="C333" s="307" t="str">
        <f>("5")</f>
        <v>5</v>
      </c>
      <c r="D333" s="307" t="s">
        <v>884</v>
      </c>
      <c r="E333" s="307" t="s">
        <v>1541</v>
      </c>
      <c r="F333" s="307" t="s">
        <v>1542</v>
      </c>
      <c r="G333" s="307">
        <v>5</v>
      </c>
      <c r="H333" s="307" t="s">
        <v>858</v>
      </c>
      <c r="I333" s="307" t="str">
        <f>("1108010152")</f>
        <v>1108010152</v>
      </c>
    </row>
    <row r="334" spans="1:9" ht="13.5">
      <c r="A334" s="419" t="str">
        <f t="shared" si="5"/>
        <v>中津沖代ジュニアサッカークラブ_6</v>
      </c>
      <c r="B334" s="307" t="s">
        <v>18</v>
      </c>
      <c r="C334" s="307" t="str">
        <f>("6")</f>
        <v>6</v>
      </c>
      <c r="D334" s="307" t="s">
        <v>859</v>
      </c>
      <c r="E334" s="307" t="s">
        <v>1543</v>
      </c>
      <c r="F334" s="307" t="s">
        <v>1544</v>
      </c>
      <c r="G334" s="307">
        <v>6</v>
      </c>
      <c r="H334" s="307" t="s">
        <v>858</v>
      </c>
      <c r="I334" s="307" t="str">
        <f>("1007190019")</f>
        <v>1007190019</v>
      </c>
    </row>
    <row r="335" spans="1:9" ht="13.5">
      <c r="A335" s="419" t="str">
        <f t="shared" si="5"/>
        <v>中津沖代ジュニアサッカークラブ_7</v>
      </c>
      <c r="B335" s="307" t="s">
        <v>18</v>
      </c>
      <c r="C335" s="307" t="str">
        <f>("7")</f>
        <v>7</v>
      </c>
      <c r="D335" s="307" t="s">
        <v>859</v>
      </c>
      <c r="E335" s="307" t="s">
        <v>1545</v>
      </c>
      <c r="F335" s="307" t="s">
        <v>1546</v>
      </c>
      <c r="G335" s="307">
        <v>6</v>
      </c>
      <c r="H335" s="307" t="s">
        <v>858</v>
      </c>
      <c r="I335" s="307" t="str">
        <f>("1012080071")</f>
        <v>1012080071</v>
      </c>
    </row>
    <row r="336" spans="1:10" ht="13.5">
      <c r="A336" s="419" t="str">
        <f t="shared" si="5"/>
        <v>中津沖代ジュニアサッカークラブ_8</v>
      </c>
      <c r="B336" s="307" t="s">
        <v>18</v>
      </c>
      <c r="C336" s="307" t="str">
        <f>("8")</f>
        <v>8</v>
      </c>
      <c r="D336" s="307" t="s">
        <v>862</v>
      </c>
      <c r="E336" s="307" t="s">
        <v>1547</v>
      </c>
      <c r="F336" s="307" t="s">
        <v>1548</v>
      </c>
      <c r="G336" s="307">
        <v>6</v>
      </c>
      <c r="H336" s="307" t="s">
        <v>858</v>
      </c>
      <c r="I336" s="307" t="str">
        <f>("1004020105")</f>
        <v>1004020105</v>
      </c>
      <c r="J336" s="307" t="s">
        <v>15</v>
      </c>
    </row>
    <row r="337" spans="1:9" ht="13.5">
      <c r="A337" s="419" t="str">
        <f t="shared" si="5"/>
        <v>中津沖代ジュニアサッカークラブ_9</v>
      </c>
      <c r="B337" s="307" t="s">
        <v>18</v>
      </c>
      <c r="C337" s="307" t="str">
        <f>("9")</f>
        <v>9</v>
      </c>
      <c r="D337" s="307" t="s">
        <v>859</v>
      </c>
      <c r="E337" s="307" t="s">
        <v>1549</v>
      </c>
      <c r="F337" s="307" t="s">
        <v>1550</v>
      </c>
      <c r="G337" s="307">
        <v>6</v>
      </c>
      <c r="H337" s="307" t="s">
        <v>858</v>
      </c>
      <c r="I337" s="307" t="str">
        <f>("1004220104")</f>
        <v>1004220104</v>
      </c>
    </row>
    <row r="338" spans="1:9" ht="13.5">
      <c r="A338" s="419" t="str">
        <f t="shared" si="5"/>
        <v>中津沖代ジュニアサッカークラブ_10</v>
      </c>
      <c r="B338" s="307" t="s">
        <v>18</v>
      </c>
      <c r="C338" s="307" t="str">
        <f>("10")</f>
        <v>10</v>
      </c>
      <c r="D338" s="307" t="s">
        <v>884</v>
      </c>
      <c r="E338" s="307" t="s">
        <v>1551</v>
      </c>
      <c r="F338" s="307" t="s">
        <v>1552</v>
      </c>
      <c r="G338" s="307">
        <v>6</v>
      </c>
      <c r="H338" s="307" t="s">
        <v>858</v>
      </c>
      <c r="I338" s="307" t="str">
        <f>("1010150082")</f>
        <v>1010150082</v>
      </c>
    </row>
    <row r="339" spans="1:9" ht="13.5">
      <c r="A339" s="419" t="str">
        <f t="shared" si="5"/>
        <v>中津沖代ジュニアサッカークラブ_11</v>
      </c>
      <c r="B339" s="307" t="s">
        <v>18</v>
      </c>
      <c r="C339" s="307" t="str">
        <f>("11")</f>
        <v>11</v>
      </c>
      <c r="D339" s="307" t="s">
        <v>862</v>
      </c>
      <c r="E339" s="307" t="s">
        <v>1553</v>
      </c>
      <c r="F339" s="307" t="s">
        <v>1554</v>
      </c>
      <c r="G339" s="307">
        <v>5</v>
      </c>
      <c r="H339" s="307" t="s">
        <v>858</v>
      </c>
      <c r="I339" s="307" t="str">
        <f>("1104190114")</f>
        <v>1104190114</v>
      </c>
    </row>
    <row r="340" spans="1:9" ht="13.5">
      <c r="A340" s="419" t="str">
        <f t="shared" si="5"/>
        <v>中津沖代ジュニアサッカークラブ_12</v>
      </c>
      <c r="B340" s="307" t="s">
        <v>18</v>
      </c>
      <c r="C340" s="307" t="str">
        <f>("12")</f>
        <v>12</v>
      </c>
      <c r="D340" s="307" t="s">
        <v>862</v>
      </c>
      <c r="E340" s="307" t="s">
        <v>1555</v>
      </c>
      <c r="F340" s="307" t="s">
        <v>1556</v>
      </c>
      <c r="G340" s="307">
        <v>5</v>
      </c>
      <c r="H340" s="307" t="s">
        <v>858</v>
      </c>
      <c r="I340" s="307" t="str">
        <f>("1203190050")</f>
        <v>1203190050</v>
      </c>
    </row>
    <row r="341" spans="1:9" ht="13.5">
      <c r="A341" s="419" t="str">
        <f t="shared" si="5"/>
        <v>中津沖代ジュニアサッカークラブ_13</v>
      </c>
      <c r="B341" s="307" t="s">
        <v>18</v>
      </c>
      <c r="C341" s="307" t="str">
        <f>("13")</f>
        <v>13</v>
      </c>
      <c r="D341" s="307" t="s">
        <v>855</v>
      </c>
      <c r="E341" s="307" t="s">
        <v>1557</v>
      </c>
      <c r="F341" s="307" t="s">
        <v>1558</v>
      </c>
      <c r="G341" s="307">
        <v>5</v>
      </c>
      <c r="H341" s="307" t="s">
        <v>858</v>
      </c>
      <c r="I341" s="307" t="str">
        <f>("1111250052")</f>
        <v>1111250052</v>
      </c>
    </row>
    <row r="342" spans="1:9" ht="13.5">
      <c r="A342" s="419" t="str">
        <f t="shared" si="5"/>
        <v>中津沖代ジュニアサッカークラブ_14</v>
      </c>
      <c r="B342" s="307" t="s">
        <v>18</v>
      </c>
      <c r="C342" s="307" t="str">
        <f>("14")</f>
        <v>14</v>
      </c>
      <c r="D342" s="307" t="s">
        <v>862</v>
      </c>
      <c r="E342" s="307" t="s">
        <v>1559</v>
      </c>
      <c r="F342" s="307" t="s">
        <v>1560</v>
      </c>
      <c r="G342" s="307">
        <v>5</v>
      </c>
      <c r="H342" s="307" t="s">
        <v>858</v>
      </c>
      <c r="I342" s="307" t="str">
        <f>("1111300078")</f>
        <v>1111300078</v>
      </c>
    </row>
    <row r="343" spans="1:9" ht="13.5">
      <c r="A343" s="419" t="str">
        <f t="shared" si="5"/>
        <v>中津沖代ジュニアサッカークラブ_15</v>
      </c>
      <c r="B343" s="307" t="s">
        <v>18</v>
      </c>
      <c r="C343" s="307" t="str">
        <f>("15")</f>
        <v>15</v>
      </c>
      <c r="D343" s="307" t="s">
        <v>884</v>
      </c>
      <c r="E343" s="307" t="s">
        <v>1561</v>
      </c>
      <c r="F343" s="307" t="s">
        <v>1562</v>
      </c>
      <c r="G343" s="307">
        <v>5</v>
      </c>
      <c r="H343" s="307" t="s">
        <v>858</v>
      </c>
      <c r="I343" s="307" t="str">
        <f>("1201030059")</f>
        <v>1201030059</v>
      </c>
    </row>
    <row r="344" spans="1:9" ht="13.5">
      <c r="A344" s="419" t="str">
        <f t="shared" si="5"/>
        <v>中津沖代ジュニアサッカークラブ_16</v>
      </c>
      <c r="B344" s="307" t="s">
        <v>18</v>
      </c>
      <c r="C344" s="307" t="str">
        <f>("16")</f>
        <v>16</v>
      </c>
      <c r="D344" s="307" t="s">
        <v>862</v>
      </c>
      <c r="E344" s="307" t="s">
        <v>1563</v>
      </c>
      <c r="F344" s="307" t="s">
        <v>1564</v>
      </c>
      <c r="G344" s="307">
        <v>5</v>
      </c>
      <c r="H344" s="307" t="s">
        <v>858</v>
      </c>
      <c r="I344" s="307" t="str">
        <f>("1108050115")</f>
        <v>1108050115</v>
      </c>
    </row>
    <row r="345" spans="1:9" ht="13.5">
      <c r="A345" s="419" t="str">
        <f t="shared" si="5"/>
        <v>中津沖代ジュニアサッカークラブ_18</v>
      </c>
      <c r="B345" s="307" t="s">
        <v>18</v>
      </c>
      <c r="C345" s="307" t="str">
        <f>("18")</f>
        <v>18</v>
      </c>
      <c r="D345" s="307" t="s">
        <v>855</v>
      </c>
      <c r="E345" s="307" t="s">
        <v>1565</v>
      </c>
      <c r="F345" s="307" t="s">
        <v>1566</v>
      </c>
      <c r="G345" s="307">
        <v>5</v>
      </c>
      <c r="H345" s="307" t="s">
        <v>858</v>
      </c>
      <c r="I345" s="307" t="str">
        <f>("1104270218")</f>
        <v>1104270218</v>
      </c>
    </row>
    <row r="346" spans="1:9" ht="13.5">
      <c r="A346" s="419" t="str">
        <f t="shared" si="5"/>
        <v>東大分サッカースポーツ少年団_1</v>
      </c>
      <c r="B346" s="307" t="s">
        <v>271</v>
      </c>
      <c r="C346" s="307" t="str">
        <f>("1")</f>
        <v>1</v>
      </c>
      <c r="D346" s="307" t="s">
        <v>855</v>
      </c>
      <c r="E346" s="307" t="s">
        <v>1567</v>
      </c>
      <c r="F346" s="307" t="s">
        <v>1568</v>
      </c>
      <c r="G346" s="307">
        <v>6</v>
      </c>
      <c r="H346" s="307" t="s">
        <v>858</v>
      </c>
      <c r="I346" s="307" t="str">
        <f>("1012010113")</f>
        <v>1012010113</v>
      </c>
    </row>
    <row r="347" spans="1:9" ht="13.5">
      <c r="A347" s="419" t="str">
        <f t="shared" si="5"/>
        <v>東大分サッカースポーツ少年団_2</v>
      </c>
      <c r="B347" s="307" t="s">
        <v>271</v>
      </c>
      <c r="C347" s="307" t="str">
        <f>("2")</f>
        <v>2</v>
      </c>
      <c r="D347" s="307" t="s">
        <v>859</v>
      </c>
      <c r="E347" s="307" t="s">
        <v>1569</v>
      </c>
      <c r="F347" s="307" t="s">
        <v>1570</v>
      </c>
      <c r="G347" s="307">
        <v>5</v>
      </c>
      <c r="H347" s="307" t="s">
        <v>858</v>
      </c>
      <c r="I347" s="307" t="str">
        <f>("1201010057")</f>
        <v>1201010057</v>
      </c>
    </row>
    <row r="348" spans="1:9" ht="13.5">
      <c r="A348" s="419" t="str">
        <f t="shared" si="5"/>
        <v>東大分サッカースポーツ少年団_3</v>
      </c>
      <c r="B348" s="307" t="s">
        <v>271</v>
      </c>
      <c r="C348" s="307" t="str">
        <f>("3")</f>
        <v>3</v>
      </c>
      <c r="D348" s="307" t="s">
        <v>884</v>
      </c>
      <c r="E348" s="307" t="s">
        <v>1571</v>
      </c>
      <c r="F348" s="307" t="s">
        <v>1572</v>
      </c>
      <c r="G348" s="307">
        <v>5</v>
      </c>
      <c r="H348" s="307" t="s">
        <v>858</v>
      </c>
      <c r="I348" s="307" t="str">
        <f>("1203160014")</f>
        <v>1203160014</v>
      </c>
    </row>
    <row r="349" spans="1:9" ht="13.5">
      <c r="A349" s="419" t="str">
        <f t="shared" si="5"/>
        <v>東大分サッカースポーツ少年団_4</v>
      </c>
      <c r="B349" s="307" t="s">
        <v>271</v>
      </c>
      <c r="C349" s="307" t="str">
        <f>("4")</f>
        <v>4</v>
      </c>
      <c r="D349" s="307" t="s">
        <v>884</v>
      </c>
      <c r="E349" s="307" t="s">
        <v>1573</v>
      </c>
      <c r="F349" s="307" t="s">
        <v>1574</v>
      </c>
      <c r="G349" s="307">
        <v>4</v>
      </c>
      <c r="H349" s="307" t="s">
        <v>858</v>
      </c>
      <c r="I349" s="307" t="str">
        <f>("1211250072")</f>
        <v>1211250072</v>
      </c>
    </row>
    <row r="350" spans="1:9" ht="13.5">
      <c r="A350" s="419" t="str">
        <f t="shared" si="5"/>
        <v>東大分サッカースポーツ少年団_5</v>
      </c>
      <c r="B350" s="307" t="s">
        <v>271</v>
      </c>
      <c r="C350" s="307" t="str">
        <f>("5")</f>
        <v>5</v>
      </c>
      <c r="D350" s="307" t="s">
        <v>859</v>
      </c>
      <c r="E350" s="307" t="s">
        <v>1575</v>
      </c>
      <c r="F350" s="307" t="s">
        <v>1576</v>
      </c>
      <c r="G350" s="307">
        <v>5</v>
      </c>
      <c r="H350" s="307" t="s">
        <v>858</v>
      </c>
      <c r="I350" s="307" t="str">
        <f>("1109050129")</f>
        <v>1109050129</v>
      </c>
    </row>
    <row r="351" spans="1:9" ht="13.5">
      <c r="A351" s="419" t="str">
        <f t="shared" si="5"/>
        <v>東大分サッカースポーツ少年団_6</v>
      </c>
      <c r="B351" s="307" t="s">
        <v>271</v>
      </c>
      <c r="C351" s="307" t="str">
        <f>("6")</f>
        <v>6</v>
      </c>
      <c r="D351" s="307" t="s">
        <v>859</v>
      </c>
      <c r="E351" s="307" t="s">
        <v>1577</v>
      </c>
      <c r="F351" s="307" t="s">
        <v>1578</v>
      </c>
      <c r="G351" s="307">
        <v>6</v>
      </c>
      <c r="H351" s="307" t="s">
        <v>858</v>
      </c>
      <c r="I351" s="307" t="str">
        <f>("1004180098")</f>
        <v>1004180098</v>
      </c>
    </row>
    <row r="352" spans="1:9" ht="13.5">
      <c r="A352" s="419" t="str">
        <f t="shared" si="5"/>
        <v>東大分サッカースポーツ少年団_7</v>
      </c>
      <c r="B352" s="307" t="s">
        <v>271</v>
      </c>
      <c r="C352" s="307" t="str">
        <f>("7")</f>
        <v>7</v>
      </c>
      <c r="D352" s="307" t="s">
        <v>884</v>
      </c>
      <c r="E352" s="307" t="s">
        <v>1579</v>
      </c>
      <c r="F352" s="307" t="s">
        <v>1580</v>
      </c>
      <c r="G352" s="307">
        <v>6</v>
      </c>
      <c r="H352" s="307" t="s">
        <v>858</v>
      </c>
      <c r="I352" s="307" t="str">
        <f>("1102240088")</f>
        <v>1102240088</v>
      </c>
    </row>
    <row r="353" spans="1:9" ht="13.5">
      <c r="A353" s="419" t="str">
        <f t="shared" si="5"/>
        <v>東大分サッカースポーツ少年団_8</v>
      </c>
      <c r="B353" s="307" t="s">
        <v>271</v>
      </c>
      <c r="C353" s="307" t="str">
        <f>("8")</f>
        <v>8</v>
      </c>
      <c r="D353" s="307" t="s">
        <v>859</v>
      </c>
      <c r="E353" s="307" t="s">
        <v>1581</v>
      </c>
      <c r="F353" s="307" t="s">
        <v>1582</v>
      </c>
      <c r="G353" s="307">
        <v>5</v>
      </c>
      <c r="H353" s="307" t="s">
        <v>858</v>
      </c>
      <c r="I353" s="307" t="str">
        <f>("1112280085")</f>
        <v>1112280085</v>
      </c>
    </row>
    <row r="354" spans="1:9" ht="13.5">
      <c r="A354" s="419" t="str">
        <f t="shared" si="5"/>
        <v>東大分サッカースポーツ少年団_9</v>
      </c>
      <c r="B354" s="307" t="s">
        <v>271</v>
      </c>
      <c r="C354" s="307" t="str">
        <f>("9")</f>
        <v>9</v>
      </c>
      <c r="D354" s="307" t="s">
        <v>862</v>
      </c>
      <c r="E354" s="307" t="s">
        <v>1583</v>
      </c>
      <c r="F354" s="307" t="s">
        <v>1584</v>
      </c>
      <c r="G354" s="307">
        <v>5</v>
      </c>
      <c r="H354" s="307" t="s">
        <v>858</v>
      </c>
      <c r="I354" s="307" t="str">
        <f>("1201120106")</f>
        <v>1201120106</v>
      </c>
    </row>
    <row r="355" spans="1:10" ht="13.5">
      <c r="A355" s="419" t="str">
        <f t="shared" si="5"/>
        <v>東大分サッカースポーツ少年団_10</v>
      </c>
      <c r="B355" s="307" t="s">
        <v>271</v>
      </c>
      <c r="C355" s="307" t="str">
        <f>("10")</f>
        <v>10</v>
      </c>
      <c r="D355" s="307" t="s">
        <v>862</v>
      </c>
      <c r="E355" s="307" t="s">
        <v>1585</v>
      </c>
      <c r="F355" s="307" t="s">
        <v>1586</v>
      </c>
      <c r="G355" s="307">
        <v>6</v>
      </c>
      <c r="H355" s="307" t="s">
        <v>858</v>
      </c>
      <c r="I355" s="307" t="str">
        <f>("1008240051")</f>
        <v>1008240051</v>
      </c>
      <c r="J355" s="307" t="s">
        <v>15</v>
      </c>
    </row>
    <row r="356" spans="1:9" ht="13.5">
      <c r="A356" s="419" t="str">
        <f t="shared" si="5"/>
        <v>東大分サッカースポーツ少年団_11</v>
      </c>
      <c r="B356" s="307" t="s">
        <v>271</v>
      </c>
      <c r="C356" s="307" t="str">
        <f>("11")</f>
        <v>11</v>
      </c>
      <c r="D356" s="307" t="s">
        <v>884</v>
      </c>
      <c r="E356" s="307" t="s">
        <v>1587</v>
      </c>
      <c r="F356" s="307" t="s">
        <v>1588</v>
      </c>
      <c r="G356" s="307">
        <v>4</v>
      </c>
      <c r="H356" s="307" t="s">
        <v>858</v>
      </c>
      <c r="I356" s="307" t="str">
        <f>("1204140103")</f>
        <v>1204140103</v>
      </c>
    </row>
    <row r="357" spans="1:9" ht="13.5">
      <c r="A357" s="419" t="str">
        <f t="shared" si="5"/>
        <v>東大分サッカースポーツ少年団_12</v>
      </c>
      <c r="B357" s="307" t="s">
        <v>271</v>
      </c>
      <c r="C357" s="307" t="str">
        <f>("12")</f>
        <v>12</v>
      </c>
      <c r="D357" s="307" t="s">
        <v>859</v>
      </c>
      <c r="E357" s="307" t="s">
        <v>1589</v>
      </c>
      <c r="F357" s="307" t="s">
        <v>1590</v>
      </c>
      <c r="G357" s="307">
        <v>6</v>
      </c>
      <c r="H357" s="307" t="s">
        <v>869</v>
      </c>
      <c r="I357" s="307" t="str">
        <f>("1012190154")</f>
        <v>1012190154</v>
      </c>
    </row>
    <row r="358" spans="1:9" ht="13.5">
      <c r="A358" s="419" t="str">
        <f t="shared" si="5"/>
        <v>東大分サッカースポーツ少年団_13</v>
      </c>
      <c r="B358" s="307" t="s">
        <v>271</v>
      </c>
      <c r="C358" s="307" t="str">
        <f>("13")</f>
        <v>13</v>
      </c>
      <c r="D358" s="307" t="s">
        <v>859</v>
      </c>
      <c r="E358" s="307" t="s">
        <v>1591</v>
      </c>
      <c r="F358" s="307" t="s">
        <v>1592</v>
      </c>
      <c r="G358" s="307">
        <v>6</v>
      </c>
      <c r="H358" s="307" t="s">
        <v>869</v>
      </c>
      <c r="I358" s="307" t="str">
        <f>("1012130230")</f>
        <v>1012130230</v>
      </c>
    </row>
    <row r="359" spans="1:9" ht="13.5">
      <c r="A359" s="419" t="str">
        <f t="shared" si="5"/>
        <v>東大分サッカースポーツ少年団_16</v>
      </c>
      <c r="B359" s="307" t="s">
        <v>271</v>
      </c>
      <c r="C359" s="307" t="str">
        <f>("16")</f>
        <v>16</v>
      </c>
      <c r="D359" s="307" t="s">
        <v>855</v>
      </c>
      <c r="E359" s="307" t="s">
        <v>1593</v>
      </c>
      <c r="F359" s="307" t="s">
        <v>1594</v>
      </c>
      <c r="G359" s="307">
        <v>5</v>
      </c>
      <c r="H359" s="307" t="s">
        <v>858</v>
      </c>
      <c r="I359" s="307" t="str">
        <f>("1111300149")</f>
        <v>1111300149</v>
      </c>
    </row>
    <row r="360" spans="1:9" ht="13.5">
      <c r="A360" s="419" t="str">
        <f t="shared" si="5"/>
        <v>千怒サッカースポーツ少年団_1</v>
      </c>
      <c r="B360" s="307" t="s">
        <v>1595</v>
      </c>
      <c r="C360" s="307" t="str">
        <f>("1")</f>
        <v>1</v>
      </c>
      <c r="D360" s="307" t="s">
        <v>855</v>
      </c>
      <c r="E360" s="307" t="s">
        <v>1596</v>
      </c>
      <c r="F360" s="307" t="s">
        <v>1597</v>
      </c>
      <c r="G360" s="307">
        <v>5</v>
      </c>
      <c r="H360" s="307" t="s">
        <v>858</v>
      </c>
      <c r="I360" s="307" t="str">
        <f>("1203110022")</f>
        <v>1203110022</v>
      </c>
    </row>
    <row r="361" spans="1:9" ht="13.5">
      <c r="A361" s="419" t="str">
        <f t="shared" si="5"/>
        <v>千怒サッカースポーツ少年団_3</v>
      </c>
      <c r="B361" s="307" t="s">
        <v>1595</v>
      </c>
      <c r="C361" s="307" t="str">
        <f>("3")</f>
        <v>3</v>
      </c>
      <c r="D361" s="307" t="s">
        <v>859</v>
      </c>
      <c r="E361" s="307" t="s">
        <v>1598</v>
      </c>
      <c r="F361" s="307" t="s">
        <v>1599</v>
      </c>
      <c r="G361" s="307">
        <v>6</v>
      </c>
      <c r="H361" s="307" t="s">
        <v>858</v>
      </c>
      <c r="I361" s="307" t="str">
        <f>("1005160089")</f>
        <v>1005160089</v>
      </c>
    </row>
    <row r="362" spans="1:10" ht="13.5">
      <c r="A362" s="419" t="str">
        <f t="shared" si="5"/>
        <v>千怒サッカースポーツ少年団_4</v>
      </c>
      <c r="B362" s="307" t="s">
        <v>1595</v>
      </c>
      <c r="C362" s="307" t="str">
        <f>("4")</f>
        <v>4</v>
      </c>
      <c r="D362" s="307" t="s">
        <v>859</v>
      </c>
      <c r="E362" s="307" t="s">
        <v>1600</v>
      </c>
      <c r="F362" s="307" t="s">
        <v>1601</v>
      </c>
      <c r="G362" s="307">
        <v>6</v>
      </c>
      <c r="H362" s="307" t="s">
        <v>858</v>
      </c>
      <c r="I362" s="307" t="str">
        <f>("1009030008")</f>
        <v>1009030008</v>
      </c>
      <c r="J362" s="307" t="s">
        <v>15</v>
      </c>
    </row>
    <row r="363" spans="1:9" ht="13.5">
      <c r="A363" s="419" t="str">
        <f t="shared" si="5"/>
        <v>千怒サッカースポーツ少年団_5</v>
      </c>
      <c r="B363" s="307" t="s">
        <v>1595</v>
      </c>
      <c r="C363" s="307" t="str">
        <f>("5")</f>
        <v>5</v>
      </c>
      <c r="D363" s="307" t="s">
        <v>859</v>
      </c>
      <c r="E363" s="307" t="s">
        <v>1602</v>
      </c>
      <c r="F363" s="307" t="s">
        <v>1603</v>
      </c>
      <c r="G363" s="307">
        <v>5</v>
      </c>
      <c r="H363" s="307" t="s">
        <v>858</v>
      </c>
      <c r="I363" s="307" t="str">
        <f>("1203280144")</f>
        <v>1203280144</v>
      </c>
    </row>
    <row r="364" spans="1:9" ht="13.5">
      <c r="A364" s="419" t="str">
        <f t="shared" si="5"/>
        <v>千怒サッカースポーツ少年団_6</v>
      </c>
      <c r="B364" s="307" t="s">
        <v>1595</v>
      </c>
      <c r="C364" s="307" t="str">
        <f>("6")</f>
        <v>6</v>
      </c>
      <c r="D364" s="307" t="s">
        <v>884</v>
      </c>
      <c r="E364" s="307" t="s">
        <v>1604</v>
      </c>
      <c r="F364" s="307" t="s">
        <v>1605</v>
      </c>
      <c r="G364" s="307">
        <v>6</v>
      </c>
      <c r="H364" s="307" t="s">
        <v>858</v>
      </c>
      <c r="I364" s="307" t="str">
        <f>("1006030014")</f>
        <v>1006030014</v>
      </c>
    </row>
    <row r="365" spans="1:9" ht="13.5">
      <c r="A365" s="419" t="str">
        <f t="shared" si="5"/>
        <v>千怒サッカースポーツ少年団_7</v>
      </c>
      <c r="B365" s="307" t="s">
        <v>1595</v>
      </c>
      <c r="C365" s="307" t="str">
        <f>("7")</f>
        <v>7</v>
      </c>
      <c r="D365" s="307" t="s">
        <v>859</v>
      </c>
      <c r="E365" s="307" t="s">
        <v>1606</v>
      </c>
      <c r="F365" s="307" t="s">
        <v>1607</v>
      </c>
      <c r="G365" s="307">
        <v>6</v>
      </c>
      <c r="H365" s="307" t="s">
        <v>858</v>
      </c>
      <c r="I365" s="307" t="str">
        <f>("1101160021")</f>
        <v>1101160021</v>
      </c>
    </row>
    <row r="366" spans="1:9" ht="13.5">
      <c r="A366" s="419" t="str">
        <f t="shared" si="5"/>
        <v>千怒サッカースポーツ少年団_8</v>
      </c>
      <c r="B366" s="307" t="s">
        <v>1595</v>
      </c>
      <c r="C366" s="307" t="str">
        <f>("8")</f>
        <v>8</v>
      </c>
      <c r="D366" s="307" t="s">
        <v>862</v>
      </c>
      <c r="E366" s="307" t="s">
        <v>1608</v>
      </c>
      <c r="F366" s="307" t="s">
        <v>1609</v>
      </c>
      <c r="G366" s="307">
        <v>5</v>
      </c>
      <c r="H366" s="307" t="s">
        <v>858</v>
      </c>
      <c r="I366" s="307" t="str">
        <f>("1203080011")</f>
        <v>1203080011</v>
      </c>
    </row>
    <row r="367" spans="1:9" ht="13.5">
      <c r="A367" s="419" t="str">
        <f t="shared" si="5"/>
        <v>千怒サッカースポーツ少年団_9</v>
      </c>
      <c r="B367" s="307" t="s">
        <v>1595</v>
      </c>
      <c r="C367" s="307" t="str">
        <f>("9")</f>
        <v>9</v>
      </c>
      <c r="D367" s="307" t="s">
        <v>862</v>
      </c>
      <c r="E367" s="307" t="s">
        <v>1610</v>
      </c>
      <c r="F367" s="307" t="s">
        <v>1611</v>
      </c>
      <c r="G367" s="307">
        <v>4</v>
      </c>
      <c r="H367" s="307" t="s">
        <v>858</v>
      </c>
      <c r="I367" s="307" t="str">
        <f>("1204210053")</f>
        <v>1204210053</v>
      </c>
    </row>
    <row r="368" spans="1:9" ht="13.5">
      <c r="A368" s="419" t="str">
        <f t="shared" si="5"/>
        <v>千怒サッカースポーツ少年団_10</v>
      </c>
      <c r="B368" s="307" t="s">
        <v>1595</v>
      </c>
      <c r="C368" s="307" t="str">
        <f>("10")</f>
        <v>10</v>
      </c>
      <c r="D368" s="307" t="s">
        <v>862</v>
      </c>
      <c r="E368" s="307" t="s">
        <v>1612</v>
      </c>
      <c r="F368" s="307" t="s">
        <v>1613</v>
      </c>
      <c r="G368" s="307">
        <v>6</v>
      </c>
      <c r="H368" s="307" t="s">
        <v>858</v>
      </c>
      <c r="I368" s="307" t="str">
        <f>("1009160012")</f>
        <v>1009160012</v>
      </c>
    </row>
    <row r="369" spans="1:9" ht="13.5">
      <c r="A369" s="419" t="str">
        <f t="shared" si="5"/>
        <v>千怒サッカースポーツ少年団_11</v>
      </c>
      <c r="B369" s="307" t="s">
        <v>1595</v>
      </c>
      <c r="C369" s="307" t="str">
        <f>("11")</f>
        <v>11</v>
      </c>
      <c r="D369" s="307" t="s">
        <v>862</v>
      </c>
      <c r="E369" s="307" t="s">
        <v>1614</v>
      </c>
      <c r="F369" s="307" t="s">
        <v>1615</v>
      </c>
      <c r="G369" s="307">
        <v>6</v>
      </c>
      <c r="H369" s="307" t="s">
        <v>858</v>
      </c>
      <c r="I369" s="307" t="str">
        <f>("1007300023")</f>
        <v>1007300023</v>
      </c>
    </row>
    <row r="370" spans="1:9" ht="13.5">
      <c r="A370" s="419" t="str">
        <f t="shared" si="5"/>
        <v>千怒サッカースポーツ少年団_13</v>
      </c>
      <c r="B370" s="307" t="s">
        <v>1595</v>
      </c>
      <c r="C370" s="307" t="str">
        <f>("13")</f>
        <v>13</v>
      </c>
      <c r="D370" s="307" t="s">
        <v>862</v>
      </c>
      <c r="E370" s="307" t="s">
        <v>1616</v>
      </c>
      <c r="F370" s="307" t="s">
        <v>1617</v>
      </c>
      <c r="G370" s="307">
        <v>4</v>
      </c>
      <c r="H370" s="307" t="s">
        <v>858</v>
      </c>
      <c r="I370" s="307" t="str">
        <f>("1208230015")</f>
        <v>1208230015</v>
      </c>
    </row>
    <row r="371" spans="1:9" ht="13.5">
      <c r="A371" s="419" t="str">
        <f t="shared" si="5"/>
        <v>千怒サッカースポーツ少年団_14</v>
      </c>
      <c r="B371" s="307" t="s">
        <v>1595</v>
      </c>
      <c r="C371" s="307" t="str">
        <f>("14")</f>
        <v>14</v>
      </c>
      <c r="D371" s="307" t="s">
        <v>884</v>
      </c>
      <c r="E371" s="307" t="s">
        <v>1618</v>
      </c>
      <c r="F371" s="307" t="s">
        <v>1619</v>
      </c>
      <c r="G371" s="307">
        <v>4</v>
      </c>
      <c r="H371" s="307" t="s">
        <v>858</v>
      </c>
      <c r="I371" s="307" t="str">
        <f>("1204170053")</f>
        <v>1204170053</v>
      </c>
    </row>
    <row r="372" spans="1:9" ht="13.5">
      <c r="A372" s="419" t="str">
        <f t="shared" si="5"/>
        <v>千怒サッカースポーツ少年団_15</v>
      </c>
      <c r="B372" s="307" t="s">
        <v>1595</v>
      </c>
      <c r="C372" s="307" t="str">
        <f>("15")</f>
        <v>15</v>
      </c>
      <c r="D372" s="307" t="s">
        <v>884</v>
      </c>
      <c r="E372" s="307" t="s">
        <v>1620</v>
      </c>
      <c r="F372" s="307" t="s">
        <v>1621</v>
      </c>
      <c r="G372" s="307">
        <v>4</v>
      </c>
      <c r="H372" s="307" t="s">
        <v>858</v>
      </c>
      <c r="I372" s="307" t="str">
        <f>("1205270014")</f>
        <v>1205270014</v>
      </c>
    </row>
    <row r="373" spans="1:10" ht="13.5">
      <c r="A373" s="419" t="str">
        <f t="shared" si="5"/>
        <v>鶴見少年サッカークラブ_1</v>
      </c>
      <c r="B373" s="307" t="s">
        <v>1622</v>
      </c>
      <c r="C373" s="307" t="str">
        <f>("1")</f>
        <v>1</v>
      </c>
      <c r="D373" s="307" t="s">
        <v>855</v>
      </c>
      <c r="E373" s="307" t="s">
        <v>1623</v>
      </c>
      <c r="F373" s="307" t="s">
        <v>1624</v>
      </c>
      <c r="G373" s="307">
        <v>5</v>
      </c>
      <c r="H373" s="307" t="s">
        <v>858</v>
      </c>
      <c r="I373" s="307" t="str">
        <f>("1112280024")</f>
        <v>1112280024</v>
      </c>
      <c r="J373" s="307" t="s">
        <v>15</v>
      </c>
    </row>
    <row r="374" spans="1:9" ht="13.5">
      <c r="A374" s="419" t="str">
        <f t="shared" si="5"/>
        <v>鶴見少年サッカークラブ_6</v>
      </c>
      <c r="B374" s="307" t="s">
        <v>1622</v>
      </c>
      <c r="C374" s="307" t="str">
        <f>("6")</f>
        <v>6</v>
      </c>
      <c r="D374" s="307" t="s">
        <v>862</v>
      </c>
      <c r="E374" s="307" t="s">
        <v>1625</v>
      </c>
      <c r="F374" s="307" t="s">
        <v>1626</v>
      </c>
      <c r="G374" s="307">
        <v>4</v>
      </c>
      <c r="H374" s="307" t="s">
        <v>858</v>
      </c>
      <c r="I374" s="307" t="str">
        <f>("1211260041")</f>
        <v>1211260041</v>
      </c>
    </row>
    <row r="375" spans="1:9" ht="13.5">
      <c r="A375" s="419" t="str">
        <f t="shared" si="5"/>
        <v>鶴見少年サッカークラブ_7</v>
      </c>
      <c r="B375" s="307" t="s">
        <v>1622</v>
      </c>
      <c r="C375" s="307" t="str">
        <f>("7")</f>
        <v>7</v>
      </c>
      <c r="D375" s="307" t="s">
        <v>862</v>
      </c>
      <c r="E375" s="307" t="s">
        <v>1627</v>
      </c>
      <c r="F375" s="307" t="s">
        <v>1628</v>
      </c>
      <c r="G375" s="307">
        <v>4</v>
      </c>
      <c r="H375" s="307" t="s">
        <v>858</v>
      </c>
      <c r="I375" s="307" t="str">
        <f>("1204140048")</f>
        <v>1204140048</v>
      </c>
    </row>
    <row r="376" spans="1:9" ht="13.5">
      <c r="A376" s="419" t="str">
        <f t="shared" si="5"/>
        <v>鶴見少年サッカークラブ_8</v>
      </c>
      <c r="B376" s="307" t="s">
        <v>1622</v>
      </c>
      <c r="C376" s="307" t="str">
        <f>("8")</f>
        <v>8</v>
      </c>
      <c r="D376" s="307" t="s">
        <v>862</v>
      </c>
      <c r="E376" s="307" t="s">
        <v>1629</v>
      </c>
      <c r="F376" s="307" t="s">
        <v>1630</v>
      </c>
      <c r="G376" s="307">
        <v>4</v>
      </c>
      <c r="H376" s="307" t="s">
        <v>858</v>
      </c>
      <c r="I376" s="307" t="str">
        <f>("1302210028")</f>
        <v>1302210028</v>
      </c>
    </row>
    <row r="377" spans="1:9" ht="13.5">
      <c r="A377" s="419" t="str">
        <f t="shared" si="5"/>
        <v>鶴見少年サッカークラブ_9</v>
      </c>
      <c r="B377" s="307" t="s">
        <v>1622</v>
      </c>
      <c r="C377" s="307" t="str">
        <f>("9")</f>
        <v>9</v>
      </c>
      <c r="D377" s="307" t="s">
        <v>862</v>
      </c>
      <c r="E377" s="307" t="s">
        <v>1631</v>
      </c>
      <c r="F377" s="307" t="s">
        <v>1632</v>
      </c>
      <c r="G377" s="307">
        <v>4</v>
      </c>
      <c r="H377" s="307" t="s">
        <v>858</v>
      </c>
      <c r="I377" s="307" t="str">
        <f>("1205090001")</f>
        <v>1205090001</v>
      </c>
    </row>
    <row r="378" spans="1:9" ht="13.5">
      <c r="A378" s="419" t="str">
        <f t="shared" si="5"/>
        <v>鶴見少年サッカークラブ_10</v>
      </c>
      <c r="B378" s="307" t="s">
        <v>1622</v>
      </c>
      <c r="C378" s="307" t="str">
        <f>("10")</f>
        <v>10</v>
      </c>
      <c r="D378" s="307" t="s">
        <v>862</v>
      </c>
      <c r="E378" s="307" t="s">
        <v>1633</v>
      </c>
      <c r="F378" s="307" t="s">
        <v>1634</v>
      </c>
      <c r="G378" s="307">
        <v>4</v>
      </c>
      <c r="H378" s="307" t="s">
        <v>858</v>
      </c>
      <c r="I378" s="307" t="str">
        <f>("1206200031")</f>
        <v>1206200031</v>
      </c>
    </row>
    <row r="379" spans="1:9" ht="13.5">
      <c r="A379" s="419" t="str">
        <f t="shared" si="5"/>
        <v>鶴見少年サッカークラブ_11</v>
      </c>
      <c r="B379" s="307" t="s">
        <v>1622</v>
      </c>
      <c r="C379" s="307" t="str">
        <f>("11")</f>
        <v>11</v>
      </c>
      <c r="D379" s="307" t="s">
        <v>862</v>
      </c>
      <c r="E379" s="307" t="s">
        <v>1635</v>
      </c>
      <c r="F379" s="307" t="s">
        <v>1636</v>
      </c>
      <c r="G379" s="307">
        <v>4</v>
      </c>
      <c r="H379" s="307" t="s">
        <v>858</v>
      </c>
      <c r="I379" s="307" t="str">
        <f>("1301240034")</f>
        <v>1301240034</v>
      </c>
    </row>
    <row r="380" spans="1:9" ht="13.5">
      <c r="A380" s="419" t="str">
        <f t="shared" si="5"/>
        <v>鶴見少年サッカークラブ_13</v>
      </c>
      <c r="B380" s="307" t="s">
        <v>1622</v>
      </c>
      <c r="C380" s="307" t="str">
        <f>("13")</f>
        <v>13</v>
      </c>
      <c r="D380" s="307" t="s">
        <v>862</v>
      </c>
      <c r="E380" s="307" t="s">
        <v>1637</v>
      </c>
      <c r="F380" s="307" t="s">
        <v>1638</v>
      </c>
      <c r="G380" s="307">
        <v>3</v>
      </c>
      <c r="H380" s="307" t="s">
        <v>858</v>
      </c>
      <c r="I380" s="307" t="str">
        <f>("1306190008")</f>
        <v>1306190008</v>
      </c>
    </row>
    <row r="381" spans="1:9" ht="13.5">
      <c r="A381" s="419" t="str">
        <f t="shared" si="5"/>
        <v>鶴見少年サッカークラブ_14</v>
      </c>
      <c r="B381" s="307" t="s">
        <v>1622</v>
      </c>
      <c r="C381" s="307" t="str">
        <f>("14")</f>
        <v>14</v>
      </c>
      <c r="D381" s="307" t="s">
        <v>862</v>
      </c>
      <c r="E381" s="307" t="s">
        <v>1639</v>
      </c>
      <c r="F381" s="307" t="s">
        <v>1640</v>
      </c>
      <c r="G381" s="307">
        <v>3</v>
      </c>
      <c r="H381" s="307" t="s">
        <v>858</v>
      </c>
      <c r="I381" s="307" t="str">
        <f>("1312100011")</f>
        <v>1312100011</v>
      </c>
    </row>
    <row r="382" spans="1:9" ht="13.5">
      <c r="A382" s="419" t="str">
        <f t="shared" si="5"/>
        <v>鶴見少年サッカークラブ_15</v>
      </c>
      <c r="B382" s="307" t="s">
        <v>1622</v>
      </c>
      <c r="C382" s="307" t="str">
        <f>("15")</f>
        <v>15</v>
      </c>
      <c r="D382" s="307" t="s">
        <v>862</v>
      </c>
      <c r="E382" s="307" t="s">
        <v>1641</v>
      </c>
      <c r="F382" s="307" t="s">
        <v>1642</v>
      </c>
      <c r="G382" s="307">
        <v>3</v>
      </c>
      <c r="H382" s="307" t="s">
        <v>858</v>
      </c>
      <c r="I382" s="307" t="str">
        <f>("1310290019")</f>
        <v>1310290019</v>
      </c>
    </row>
    <row r="383" spans="1:9" ht="13.5">
      <c r="A383" s="419" t="str">
        <f t="shared" si="5"/>
        <v>鶴見少年サッカークラブ_16</v>
      </c>
      <c r="B383" s="307" t="s">
        <v>1622</v>
      </c>
      <c r="C383" s="307" t="str">
        <f>("16")</f>
        <v>16</v>
      </c>
      <c r="D383" s="307" t="s">
        <v>862</v>
      </c>
      <c r="E383" s="307" t="s">
        <v>1643</v>
      </c>
      <c r="F383" s="307" t="s">
        <v>1644</v>
      </c>
      <c r="G383" s="307">
        <v>2</v>
      </c>
      <c r="H383" s="307" t="s">
        <v>858</v>
      </c>
      <c r="I383" s="307" t="str">
        <f>("1503080002")</f>
        <v>1503080002</v>
      </c>
    </row>
    <row r="384" spans="1:9" ht="13.5">
      <c r="A384" s="419" t="str">
        <f t="shared" si="5"/>
        <v>鶴見少年サッカークラブ_17</v>
      </c>
      <c r="B384" s="307" t="s">
        <v>1622</v>
      </c>
      <c r="C384" s="307" t="str">
        <f>("17")</f>
        <v>17</v>
      </c>
      <c r="D384" s="307" t="s">
        <v>855</v>
      </c>
      <c r="E384" s="307" t="s">
        <v>1645</v>
      </c>
      <c r="F384" s="307" t="s">
        <v>1646</v>
      </c>
      <c r="G384" s="307">
        <v>4</v>
      </c>
      <c r="H384" s="307" t="s">
        <v>858</v>
      </c>
      <c r="I384" s="307" t="str">
        <f>("1204100137")</f>
        <v>1204100137</v>
      </c>
    </row>
    <row r="385" spans="1:9" ht="13.5">
      <c r="A385" s="419" t="str">
        <f aca="true" t="shared" si="6" ref="A385:A448">CONCATENATE(B385,"_",C385)</f>
        <v>弥生少年サッカークラブ_1</v>
      </c>
      <c r="B385" s="307" t="s">
        <v>1647</v>
      </c>
      <c r="C385" s="307" t="str">
        <f>("1")</f>
        <v>1</v>
      </c>
      <c r="D385" s="307" t="s">
        <v>855</v>
      </c>
      <c r="E385" s="307" t="s">
        <v>1648</v>
      </c>
      <c r="F385" s="307" t="s">
        <v>1649</v>
      </c>
      <c r="G385" s="307">
        <v>5</v>
      </c>
      <c r="H385" s="307" t="s">
        <v>858</v>
      </c>
      <c r="I385" s="307" t="str">
        <f>("1104250045")</f>
        <v>1104250045</v>
      </c>
    </row>
    <row r="386" spans="1:9" ht="13.5">
      <c r="A386" s="419" t="str">
        <f t="shared" si="6"/>
        <v>弥生少年サッカークラブ_2</v>
      </c>
      <c r="B386" s="307" t="s">
        <v>1647</v>
      </c>
      <c r="C386" s="307" t="str">
        <f>("2")</f>
        <v>2</v>
      </c>
      <c r="D386" s="307" t="s">
        <v>859</v>
      </c>
      <c r="E386" s="307" t="s">
        <v>1650</v>
      </c>
      <c r="F386" s="307" t="s">
        <v>1651</v>
      </c>
      <c r="G386" s="307">
        <v>5</v>
      </c>
      <c r="H386" s="307" t="s">
        <v>858</v>
      </c>
      <c r="I386" s="307" t="str">
        <f>("1201290030")</f>
        <v>1201290030</v>
      </c>
    </row>
    <row r="387" spans="1:9" ht="13.5">
      <c r="A387" s="419" t="str">
        <f t="shared" si="6"/>
        <v>弥生少年サッカークラブ_3</v>
      </c>
      <c r="B387" s="307" t="s">
        <v>1647</v>
      </c>
      <c r="C387" s="307" t="str">
        <f>("3")</f>
        <v>3</v>
      </c>
      <c r="D387" s="307" t="s">
        <v>884</v>
      </c>
      <c r="E387" s="307" t="s">
        <v>1652</v>
      </c>
      <c r="F387" s="307" t="s">
        <v>1653</v>
      </c>
      <c r="G387" s="307">
        <v>5</v>
      </c>
      <c r="H387" s="307" t="s">
        <v>858</v>
      </c>
      <c r="I387" s="307" t="str">
        <f>("1108240051")</f>
        <v>1108240051</v>
      </c>
    </row>
    <row r="388" spans="1:9" ht="13.5">
      <c r="A388" s="419" t="str">
        <f t="shared" si="6"/>
        <v>弥生少年サッカークラブ_4</v>
      </c>
      <c r="B388" s="307" t="s">
        <v>1647</v>
      </c>
      <c r="C388" s="307" t="str">
        <f>("4")</f>
        <v>4</v>
      </c>
      <c r="D388" s="307" t="s">
        <v>859</v>
      </c>
      <c r="E388" s="307" t="s">
        <v>1654</v>
      </c>
      <c r="F388" s="307" t="s">
        <v>1655</v>
      </c>
      <c r="G388" s="307">
        <v>6</v>
      </c>
      <c r="H388" s="307" t="s">
        <v>858</v>
      </c>
      <c r="I388" s="307" t="str">
        <f>("1005090034")</f>
        <v>1005090034</v>
      </c>
    </row>
    <row r="389" spans="1:9" ht="13.5">
      <c r="A389" s="419" t="str">
        <f t="shared" si="6"/>
        <v>弥生少年サッカークラブ_5</v>
      </c>
      <c r="B389" s="307" t="s">
        <v>1647</v>
      </c>
      <c r="C389" s="307" t="str">
        <f>("5")</f>
        <v>5</v>
      </c>
      <c r="D389" s="307" t="s">
        <v>859</v>
      </c>
      <c r="E389" s="307" t="s">
        <v>1656</v>
      </c>
      <c r="F389" s="307" t="s">
        <v>1657</v>
      </c>
      <c r="G389" s="307">
        <v>5</v>
      </c>
      <c r="H389" s="307" t="s">
        <v>858</v>
      </c>
      <c r="I389" s="307" t="str">
        <f>("1202090037")</f>
        <v>1202090037</v>
      </c>
    </row>
    <row r="390" spans="1:9" ht="13.5">
      <c r="A390" s="419" t="str">
        <f t="shared" si="6"/>
        <v>弥生少年サッカークラブ_6</v>
      </c>
      <c r="B390" s="307" t="s">
        <v>1647</v>
      </c>
      <c r="C390" s="307" t="str">
        <f>("6")</f>
        <v>6</v>
      </c>
      <c r="D390" s="307" t="s">
        <v>862</v>
      </c>
      <c r="E390" s="307" t="s">
        <v>1658</v>
      </c>
      <c r="F390" s="307" t="s">
        <v>1659</v>
      </c>
      <c r="G390" s="307">
        <v>6</v>
      </c>
      <c r="H390" s="307" t="s">
        <v>869</v>
      </c>
      <c r="I390" s="307" t="str">
        <f>("1009300125")</f>
        <v>1009300125</v>
      </c>
    </row>
    <row r="391" spans="1:9" ht="13.5">
      <c r="A391" s="419" t="str">
        <f t="shared" si="6"/>
        <v>弥生少年サッカークラブ_7</v>
      </c>
      <c r="B391" s="307" t="s">
        <v>1647</v>
      </c>
      <c r="C391" s="307" t="str">
        <f>("7")</f>
        <v>7</v>
      </c>
      <c r="D391" s="307" t="s">
        <v>862</v>
      </c>
      <c r="E391" s="307" t="s">
        <v>1660</v>
      </c>
      <c r="F391" s="307" t="s">
        <v>1661</v>
      </c>
      <c r="G391" s="307">
        <v>5</v>
      </c>
      <c r="H391" s="307" t="s">
        <v>858</v>
      </c>
      <c r="I391" s="307" t="str">
        <f>("1105260072")</f>
        <v>1105260072</v>
      </c>
    </row>
    <row r="392" spans="1:9" ht="13.5">
      <c r="A392" s="419" t="str">
        <f t="shared" si="6"/>
        <v>弥生少年サッカークラブ_8</v>
      </c>
      <c r="B392" s="307" t="s">
        <v>1647</v>
      </c>
      <c r="C392" s="307" t="str">
        <f>("8")</f>
        <v>8</v>
      </c>
      <c r="D392" s="307" t="s">
        <v>862</v>
      </c>
      <c r="E392" s="307" t="s">
        <v>1662</v>
      </c>
      <c r="F392" s="307" t="s">
        <v>1663</v>
      </c>
      <c r="G392" s="307">
        <v>5</v>
      </c>
      <c r="H392" s="307" t="s">
        <v>858</v>
      </c>
      <c r="I392" s="307" t="str">
        <f>("1201100032")</f>
        <v>1201100032</v>
      </c>
    </row>
    <row r="393" spans="1:9" ht="13.5">
      <c r="A393" s="419" t="str">
        <f t="shared" si="6"/>
        <v>弥生少年サッカークラブ_9</v>
      </c>
      <c r="B393" s="307" t="s">
        <v>1647</v>
      </c>
      <c r="C393" s="307" t="str">
        <f>("9")</f>
        <v>9</v>
      </c>
      <c r="D393" s="307" t="s">
        <v>884</v>
      </c>
      <c r="E393" s="307" t="s">
        <v>1664</v>
      </c>
      <c r="F393" s="307" t="s">
        <v>1665</v>
      </c>
      <c r="G393" s="307">
        <v>5</v>
      </c>
      <c r="H393" s="307" t="s">
        <v>858</v>
      </c>
      <c r="I393" s="307" t="str">
        <f>("1104020016")</f>
        <v>1104020016</v>
      </c>
    </row>
    <row r="394" spans="1:10" ht="13.5">
      <c r="A394" s="419" t="str">
        <f t="shared" si="6"/>
        <v>弥生少年サッカークラブ_10</v>
      </c>
      <c r="B394" s="307" t="s">
        <v>1647</v>
      </c>
      <c r="C394" s="307" t="str">
        <f>("10")</f>
        <v>10</v>
      </c>
      <c r="D394" s="307" t="s">
        <v>862</v>
      </c>
      <c r="E394" s="307" t="s">
        <v>1666</v>
      </c>
      <c r="F394" s="307" t="s">
        <v>1667</v>
      </c>
      <c r="G394" s="307">
        <v>6</v>
      </c>
      <c r="H394" s="307" t="s">
        <v>858</v>
      </c>
      <c r="I394" s="307" t="str">
        <f>("1012100035")</f>
        <v>1012100035</v>
      </c>
      <c r="J394" s="307" t="s">
        <v>15</v>
      </c>
    </row>
    <row r="395" spans="1:9" ht="13.5">
      <c r="A395" s="419" t="str">
        <f t="shared" si="6"/>
        <v>弥生少年サッカークラブ_11</v>
      </c>
      <c r="B395" s="307" t="s">
        <v>1647</v>
      </c>
      <c r="C395" s="307" t="str">
        <f>("11")</f>
        <v>11</v>
      </c>
      <c r="D395" s="307" t="s">
        <v>862</v>
      </c>
      <c r="E395" s="307" t="s">
        <v>1668</v>
      </c>
      <c r="F395" s="307" t="s">
        <v>1669</v>
      </c>
      <c r="G395" s="307">
        <v>5</v>
      </c>
      <c r="H395" s="307" t="s">
        <v>858</v>
      </c>
      <c r="I395" s="307" t="str">
        <f>("1104120059")</f>
        <v>1104120059</v>
      </c>
    </row>
    <row r="396" spans="1:9" ht="13.5">
      <c r="A396" s="419" t="str">
        <f t="shared" si="6"/>
        <v>弥生少年サッカークラブ_12</v>
      </c>
      <c r="B396" s="307" t="s">
        <v>1647</v>
      </c>
      <c r="C396" s="307" t="str">
        <f>("12")</f>
        <v>12</v>
      </c>
      <c r="D396" s="307" t="s">
        <v>862</v>
      </c>
      <c r="E396" s="307" t="s">
        <v>1670</v>
      </c>
      <c r="F396" s="307" t="s">
        <v>1671</v>
      </c>
      <c r="G396" s="307">
        <v>5</v>
      </c>
      <c r="H396" s="307" t="s">
        <v>858</v>
      </c>
      <c r="I396" s="307" t="str">
        <f>("1104140044")</f>
        <v>1104140044</v>
      </c>
    </row>
    <row r="397" spans="1:9" ht="13.5">
      <c r="A397" s="419" t="str">
        <f t="shared" si="6"/>
        <v>弥生少年サッカークラブ_13</v>
      </c>
      <c r="B397" s="307" t="s">
        <v>1647</v>
      </c>
      <c r="C397" s="307" t="str">
        <f>("13")</f>
        <v>13</v>
      </c>
      <c r="D397" s="307" t="s">
        <v>862</v>
      </c>
      <c r="E397" s="307" t="s">
        <v>1672</v>
      </c>
      <c r="F397" s="307" t="s">
        <v>1673</v>
      </c>
      <c r="G397" s="307">
        <v>4</v>
      </c>
      <c r="H397" s="307" t="s">
        <v>858</v>
      </c>
      <c r="I397" s="307" t="str">
        <f>("1205220107")</f>
        <v>1205220107</v>
      </c>
    </row>
    <row r="398" spans="1:9" ht="13.5">
      <c r="A398" s="419" t="str">
        <f t="shared" si="6"/>
        <v>弥生少年サッカークラブ_14</v>
      </c>
      <c r="B398" s="307" t="s">
        <v>1647</v>
      </c>
      <c r="C398" s="307" t="str">
        <f>("14")</f>
        <v>14</v>
      </c>
      <c r="D398" s="307" t="s">
        <v>862</v>
      </c>
      <c r="E398" s="307" t="s">
        <v>1674</v>
      </c>
      <c r="F398" s="307" t="s">
        <v>1675</v>
      </c>
      <c r="G398" s="307">
        <v>4</v>
      </c>
      <c r="H398" s="307" t="s">
        <v>869</v>
      </c>
      <c r="I398" s="307" t="str">
        <f>("1206150011")</f>
        <v>1206150011</v>
      </c>
    </row>
    <row r="399" spans="1:9" ht="13.5">
      <c r="A399" s="419" t="str">
        <f t="shared" si="6"/>
        <v>弥生少年サッカークラブ_15</v>
      </c>
      <c r="B399" s="307" t="s">
        <v>1647</v>
      </c>
      <c r="C399" s="307" t="str">
        <f>("15")</f>
        <v>15</v>
      </c>
      <c r="D399" s="307" t="s">
        <v>862</v>
      </c>
      <c r="E399" s="307" t="s">
        <v>1676</v>
      </c>
      <c r="F399" s="307" t="s">
        <v>1677</v>
      </c>
      <c r="G399" s="307">
        <v>4</v>
      </c>
      <c r="H399" s="307" t="s">
        <v>858</v>
      </c>
      <c r="I399" s="307" t="str">
        <f>("1206270142")</f>
        <v>1206270142</v>
      </c>
    </row>
    <row r="400" spans="1:9" ht="13.5">
      <c r="A400" s="419" t="str">
        <f t="shared" si="6"/>
        <v>弥生少年サッカークラブ_16</v>
      </c>
      <c r="B400" s="307" t="s">
        <v>1647</v>
      </c>
      <c r="C400" s="307" t="str">
        <f>("16")</f>
        <v>16</v>
      </c>
      <c r="D400" s="307" t="s">
        <v>862</v>
      </c>
      <c r="E400" s="307" t="s">
        <v>1678</v>
      </c>
      <c r="F400" s="307" t="s">
        <v>1679</v>
      </c>
      <c r="G400" s="307">
        <v>5</v>
      </c>
      <c r="H400" s="307" t="s">
        <v>858</v>
      </c>
      <c r="I400" s="307" t="str">
        <f>("1110160026")</f>
        <v>1110160026</v>
      </c>
    </row>
    <row r="401" spans="1:9" ht="13.5">
      <c r="A401" s="419" t="str">
        <f t="shared" si="6"/>
        <v>上堅田少年サッカークラブ_1</v>
      </c>
      <c r="B401" s="307" t="s">
        <v>1680</v>
      </c>
      <c r="C401" s="307" t="str">
        <f>("1")</f>
        <v>1</v>
      </c>
      <c r="D401" s="307" t="s">
        <v>855</v>
      </c>
      <c r="E401" s="307" t="s">
        <v>1681</v>
      </c>
      <c r="F401" s="307" t="s">
        <v>1682</v>
      </c>
      <c r="G401" s="307">
        <v>4</v>
      </c>
      <c r="H401" s="307" t="s">
        <v>858</v>
      </c>
      <c r="I401" s="307" t="str">
        <f>("1204300038")</f>
        <v>1204300038</v>
      </c>
    </row>
    <row r="402" spans="1:9" ht="13.5">
      <c r="A402" s="419" t="str">
        <f t="shared" si="6"/>
        <v>上堅田少年サッカークラブ_3</v>
      </c>
      <c r="B402" s="307" t="s">
        <v>1680</v>
      </c>
      <c r="C402" s="307" t="str">
        <f>("3")</f>
        <v>3</v>
      </c>
      <c r="D402" s="307" t="s">
        <v>859</v>
      </c>
      <c r="E402" s="307" t="s">
        <v>1683</v>
      </c>
      <c r="F402" s="307" t="s">
        <v>1684</v>
      </c>
      <c r="G402" s="307">
        <v>5</v>
      </c>
      <c r="H402" s="307" t="s">
        <v>858</v>
      </c>
      <c r="I402" s="307" t="str">
        <f>("1108200066")</f>
        <v>1108200066</v>
      </c>
    </row>
    <row r="403" spans="1:9" ht="13.5">
      <c r="A403" s="419" t="str">
        <f t="shared" si="6"/>
        <v>上堅田少年サッカークラブ_5</v>
      </c>
      <c r="B403" s="307" t="s">
        <v>1680</v>
      </c>
      <c r="C403" s="307" t="str">
        <f>("5")</f>
        <v>5</v>
      </c>
      <c r="D403" s="307" t="s">
        <v>859</v>
      </c>
      <c r="E403" s="307" t="s">
        <v>1685</v>
      </c>
      <c r="F403" s="307" t="s">
        <v>1686</v>
      </c>
      <c r="G403" s="307">
        <v>4</v>
      </c>
      <c r="H403" s="307" t="s">
        <v>858</v>
      </c>
      <c r="I403" s="307" t="str">
        <f>("1204130025")</f>
        <v>1204130025</v>
      </c>
    </row>
    <row r="404" spans="1:9" ht="13.5">
      <c r="A404" s="419" t="str">
        <f t="shared" si="6"/>
        <v>上堅田少年サッカークラブ_6</v>
      </c>
      <c r="B404" s="307" t="s">
        <v>1680</v>
      </c>
      <c r="C404" s="307" t="str">
        <f>("6")</f>
        <v>6</v>
      </c>
      <c r="D404" s="307" t="s">
        <v>862</v>
      </c>
      <c r="E404" s="307" t="s">
        <v>1687</v>
      </c>
      <c r="F404" s="307" t="s">
        <v>1688</v>
      </c>
      <c r="G404" s="307">
        <v>5</v>
      </c>
      <c r="H404" s="307" t="s">
        <v>858</v>
      </c>
      <c r="I404" s="307" t="str">
        <f>("1203140135")</f>
        <v>1203140135</v>
      </c>
    </row>
    <row r="405" spans="1:9" ht="13.5">
      <c r="A405" s="419" t="str">
        <f t="shared" si="6"/>
        <v>上堅田少年サッカークラブ_7</v>
      </c>
      <c r="B405" s="307" t="s">
        <v>1680</v>
      </c>
      <c r="C405" s="307" t="str">
        <f>("7")</f>
        <v>7</v>
      </c>
      <c r="D405" s="307" t="s">
        <v>862</v>
      </c>
      <c r="E405" s="307" t="s">
        <v>1689</v>
      </c>
      <c r="F405" s="307" t="s">
        <v>1690</v>
      </c>
      <c r="G405" s="307">
        <v>5</v>
      </c>
      <c r="H405" s="307" t="s">
        <v>858</v>
      </c>
      <c r="I405" s="307" t="str">
        <f>("1110160061")</f>
        <v>1110160061</v>
      </c>
    </row>
    <row r="406" spans="1:9" ht="13.5">
      <c r="A406" s="419" t="str">
        <f t="shared" si="6"/>
        <v>上堅田少年サッカークラブ_8</v>
      </c>
      <c r="B406" s="307" t="s">
        <v>1680</v>
      </c>
      <c r="C406" s="307" t="str">
        <f>("8")</f>
        <v>8</v>
      </c>
      <c r="D406" s="307" t="s">
        <v>859</v>
      </c>
      <c r="E406" s="307" t="s">
        <v>1691</v>
      </c>
      <c r="F406" s="307" t="s">
        <v>1692</v>
      </c>
      <c r="G406" s="307">
        <v>6</v>
      </c>
      <c r="H406" s="307" t="s">
        <v>858</v>
      </c>
      <c r="I406" s="307" t="str">
        <f>("1101050027")</f>
        <v>1101050027</v>
      </c>
    </row>
    <row r="407" spans="1:9" ht="13.5">
      <c r="A407" s="419" t="str">
        <f t="shared" si="6"/>
        <v>上堅田少年サッカークラブ_9</v>
      </c>
      <c r="B407" s="307" t="s">
        <v>1680</v>
      </c>
      <c r="C407" s="307" t="str">
        <f>("9")</f>
        <v>9</v>
      </c>
      <c r="D407" s="307" t="s">
        <v>862</v>
      </c>
      <c r="E407" s="307" t="s">
        <v>1693</v>
      </c>
      <c r="F407" s="307" t="s">
        <v>1694</v>
      </c>
      <c r="G407" s="307">
        <v>4</v>
      </c>
      <c r="H407" s="307" t="s">
        <v>858</v>
      </c>
      <c r="I407" s="307" t="str">
        <f>("1206060037")</f>
        <v>1206060037</v>
      </c>
    </row>
    <row r="408" spans="1:10" ht="13.5">
      <c r="A408" s="419" t="str">
        <f t="shared" si="6"/>
        <v>上堅田少年サッカークラブ_10</v>
      </c>
      <c r="B408" s="307" t="s">
        <v>1680</v>
      </c>
      <c r="C408" s="307" t="str">
        <f>("10")</f>
        <v>10</v>
      </c>
      <c r="D408" s="307" t="s">
        <v>862</v>
      </c>
      <c r="E408" s="307" t="s">
        <v>1695</v>
      </c>
      <c r="F408" s="307" t="s">
        <v>1696</v>
      </c>
      <c r="G408" s="307">
        <v>6</v>
      </c>
      <c r="H408" s="307" t="s">
        <v>858</v>
      </c>
      <c r="I408" s="307" t="str">
        <f>("1007290001")</f>
        <v>1007290001</v>
      </c>
      <c r="J408" s="307" t="s">
        <v>15</v>
      </c>
    </row>
    <row r="409" spans="1:9" ht="13.5">
      <c r="A409" s="419" t="str">
        <f t="shared" si="6"/>
        <v>上堅田少年サッカークラブ_11</v>
      </c>
      <c r="B409" s="307" t="s">
        <v>1680</v>
      </c>
      <c r="C409" s="307" t="str">
        <f>("11")</f>
        <v>11</v>
      </c>
      <c r="D409" s="307" t="s">
        <v>884</v>
      </c>
      <c r="E409" s="307" t="s">
        <v>1697</v>
      </c>
      <c r="F409" s="307" t="s">
        <v>1698</v>
      </c>
      <c r="G409" s="307">
        <v>6</v>
      </c>
      <c r="H409" s="307" t="s">
        <v>858</v>
      </c>
      <c r="I409" s="307" t="str">
        <f>("1005250266")</f>
        <v>1005250266</v>
      </c>
    </row>
    <row r="410" spans="1:9" ht="13.5">
      <c r="A410" s="419" t="str">
        <f t="shared" si="6"/>
        <v>上堅田少年サッカークラブ_12</v>
      </c>
      <c r="B410" s="307" t="s">
        <v>1680</v>
      </c>
      <c r="C410" s="307" t="str">
        <f>("12")</f>
        <v>12</v>
      </c>
      <c r="D410" s="307" t="s">
        <v>862</v>
      </c>
      <c r="E410" s="307" t="s">
        <v>1699</v>
      </c>
      <c r="F410" s="307" t="s">
        <v>1700</v>
      </c>
      <c r="G410" s="307">
        <v>6</v>
      </c>
      <c r="H410" s="307" t="s">
        <v>858</v>
      </c>
      <c r="I410" s="307" t="str">
        <f>("1010060198")</f>
        <v>1010060198</v>
      </c>
    </row>
    <row r="411" spans="1:9" ht="13.5">
      <c r="A411" s="419" t="str">
        <f t="shared" si="6"/>
        <v>上堅田少年サッカークラブ_13</v>
      </c>
      <c r="B411" s="307" t="s">
        <v>1680</v>
      </c>
      <c r="C411" s="307" t="str">
        <f>("13")</f>
        <v>13</v>
      </c>
      <c r="D411" s="307" t="s">
        <v>884</v>
      </c>
      <c r="E411" s="307" t="s">
        <v>1701</v>
      </c>
      <c r="F411" s="307" t="s">
        <v>1702</v>
      </c>
      <c r="G411" s="307">
        <v>4</v>
      </c>
      <c r="H411" s="307" t="s">
        <v>858</v>
      </c>
      <c r="I411" s="307" t="str">
        <f>("1205110087")</f>
        <v>1205110087</v>
      </c>
    </row>
    <row r="412" spans="1:9" ht="13.5">
      <c r="A412" s="419" t="str">
        <f t="shared" si="6"/>
        <v>上堅田少年サッカークラブ_14</v>
      </c>
      <c r="B412" s="307" t="s">
        <v>1680</v>
      </c>
      <c r="C412" s="307" t="str">
        <f>("14")</f>
        <v>14</v>
      </c>
      <c r="D412" s="307" t="s">
        <v>884</v>
      </c>
      <c r="E412" s="307" t="s">
        <v>1703</v>
      </c>
      <c r="F412" s="307" t="s">
        <v>1704</v>
      </c>
      <c r="G412" s="307">
        <v>5</v>
      </c>
      <c r="H412" s="307" t="s">
        <v>858</v>
      </c>
      <c r="I412" s="307" t="str">
        <f>("1108230096")</f>
        <v>1108230096</v>
      </c>
    </row>
    <row r="413" spans="1:9" ht="13.5">
      <c r="A413" s="419" t="str">
        <f t="shared" si="6"/>
        <v>上堅田少年サッカークラブ_15</v>
      </c>
      <c r="B413" s="307" t="s">
        <v>1680</v>
      </c>
      <c r="C413" s="307" t="str">
        <f>("15")</f>
        <v>15</v>
      </c>
      <c r="D413" s="307" t="s">
        <v>884</v>
      </c>
      <c r="E413" s="307" t="s">
        <v>1705</v>
      </c>
      <c r="F413" s="307" t="s">
        <v>1706</v>
      </c>
      <c r="G413" s="307">
        <v>2</v>
      </c>
      <c r="H413" s="307" t="s">
        <v>869</v>
      </c>
      <c r="I413" s="307" t="str">
        <f>("1408140003")</f>
        <v>1408140003</v>
      </c>
    </row>
    <row r="414" spans="1:9" ht="13.5">
      <c r="A414" s="419" t="str">
        <f t="shared" si="6"/>
        <v>鶴岡Ｓ―ｐｌａｙ・ＭＩＮＡＭＩ_1</v>
      </c>
      <c r="B414" s="307" t="s">
        <v>43</v>
      </c>
      <c r="C414" s="307" t="str">
        <f>("1")</f>
        <v>1</v>
      </c>
      <c r="D414" s="307" t="s">
        <v>855</v>
      </c>
      <c r="E414" s="307" t="s">
        <v>1707</v>
      </c>
      <c r="F414" s="307" t="s">
        <v>1708</v>
      </c>
      <c r="G414" s="307">
        <v>6</v>
      </c>
      <c r="H414" s="307" t="s">
        <v>858</v>
      </c>
      <c r="I414" s="307" t="str">
        <f>("1103040158")</f>
        <v>1103040158</v>
      </c>
    </row>
    <row r="415" spans="1:9" ht="13.5">
      <c r="A415" s="419" t="str">
        <f t="shared" si="6"/>
        <v>鶴岡Ｓ―ｐｌａｙ・ＭＩＮＡＭＩ_2</v>
      </c>
      <c r="B415" s="307" t="s">
        <v>43</v>
      </c>
      <c r="C415" s="307" t="str">
        <f>("2")</f>
        <v>2</v>
      </c>
      <c r="D415" s="307" t="s">
        <v>859</v>
      </c>
      <c r="E415" s="307" t="s">
        <v>1709</v>
      </c>
      <c r="F415" s="307" t="s">
        <v>1710</v>
      </c>
      <c r="G415" s="307">
        <v>5</v>
      </c>
      <c r="H415" s="307" t="s">
        <v>858</v>
      </c>
      <c r="I415" s="307" t="str">
        <f>("1110250031")</f>
        <v>1110250031</v>
      </c>
    </row>
    <row r="416" spans="1:9" ht="13.5">
      <c r="A416" s="419" t="str">
        <f t="shared" si="6"/>
        <v>鶴岡Ｓ―ｐｌａｙ・ＭＩＮＡＭＩ_3</v>
      </c>
      <c r="B416" s="307" t="s">
        <v>43</v>
      </c>
      <c r="C416" s="307" t="str">
        <f>("3")</f>
        <v>3</v>
      </c>
      <c r="D416" s="307" t="s">
        <v>859</v>
      </c>
      <c r="E416" s="307" t="s">
        <v>1711</v>
      </c>
      <c r="F416" s="307" t="s">
        <v>1712</v>
      </c>
      <c r="G416" s="307">
        <v>5</v>
      </c>
      <c r="H416" s="307" t="s">
        <v>858</v>
      </c>
      <c r="I416" s="307" t="str">
        <f>("1201030080")</f>
        <v>1201030080</v>
      </c>
    </row>
    <row r="417" spans="1:9" ht="13.5">
      <c r="A417" s="419" t="str">
        <f t="shared" si="6"/>
        <v>鶴岡Ｓ―ｐｌａｙ・ＭＩＮＡＭＩ_4</v>
      </c>
      <c r="B417" s="307" t="s">
        <v>43</v>
      </c>
      <c r="C417" s="307" t="str">
        <f>("4")</f>
        <v>4</v>
      </c>
      <c r="D417" s="307" t="s">
        <v>862</v>
      </c>
      <c r="E417" s="307" t="s">
        <v>1713</v>
      </c>
      <c r="F417" s="307" t="s">
        <v>1714</v>
      </c>
      <c r="G417" s="307">
        <v>5</v>
      </c>
      <c r="H417" s="307" t="s">
        <v>858</v>
      </c>
      <c r="I417" s="307" t="str">
        <f>("1110070173")</f>
        <v>1110070173</v>
      </c>
    </row>
    <row r="418" spans="1:9" ht="13.5">
      <c r="A418" s="419" t="str">
        <f t="shared" si="6"/>
        <v>鶴岡Ｓ―ｐｌａｙ・ＭＩＮＡＭＩ_5</v>
      </c>
      <c r="B418" s="307" t="s">
        <v>43</v>
      </c>
      <c r="C418" s="307" t="str">
        <f>("5")</f>
        <v>5</v>
      </c>
      <c r="D418" s="307" t="s">
        <v>859</v>
      </c>
      <c r="E418" s="307" t="s">
        <v>1715</v>
      </c>
      <c r="F418" s="307" t="s">
        <v>1716</v>
      </c>
      <c r="G418" s="307">
        <v>5</v>
      </c>
      <c r="H418" s="307" t="s">
        <v>858</v>
      </c>
      <c r="I418" s="307" t="str">
        <f>("1104120099")</f>
        <v>1104120099</v>
      </c>
    </row>
    <row r="419" spans="1:9" ht="13.5">
      <c r="A419" s="419" t="str">
        <f t="shared" si="6"/>
        <v>鶴岡Ｓ―ｐｌａｙ・ＭＩＮＡＭＩ_6</v>
      </c>
      <c r="B419" s="307" t="s">
        <v>43</v>
      </c>
      <c r="C419" s="307" t="str">
        <f>("6")</f>
        <v>6</v>
      </c>
      <c r="D419" s="307" t="s">
        <v>862</v>
      </c>
      <c r="E419" s="307" t="s">
        <v>1717</v>
      </c>
      <c r="F419" s="307" t="s">
        <v>1718</v>
      </c>
      <c r="G419" s="307">
        <v>5</v>
      </c>
      <c r="H419" s="307" t="s">
        <v>858</v>
      </c>
      <c r="I419" s="307" t="str">
        <f>("1109050050")</f>
        <v>1109050050</v>
      </c>
    </row>
    <row r="420" spans="1:9" ht="13.5">
      <c r="A420" s="419" t="str">
        <f t="shared" si="6"/>
        <v>鶴岡Ｓ―ｐｌａｙ・ＭＩＮＡＭＩ_7</v>
      </c>
      <c r="B420" s="307" t="s">
        <v>43</v>
      </c>
      <c r="C420" s="307" t="str">
        <f>("7")</f>
        <v>7</v>
      </c>
      <c r="D420" s="307" t="s">
        <v>862</v>
      </c>
      <c r="E420" s="307" t="s">
        <v>1719</v>
      </c>
      <c r="F420" s="307" t="s">
        <v>1720</v>
      </c>
      <c r="G420" s="307">
        <v>5</v>
      </c>
      <c r="H420" s="307" t="s">
        <v>858</v>
      </c>
      <c r="I420" s="307" t="str">
        <f>("1108230174")</f>
        <v>1108230174</v>
      </c>
    </row>
    <row r="421" spans="1:9" ht="13.5">
      <c r="A421" s="419" t="str">
        <f t="shared" si="6"/>
        <v>鶴岡Ｓ―ｐｌａｙ・ＭＩＮＡＭＩ_8</v>
      </c>
      <c r="B421" s="307" t="s">
        <v>43</v>
      </c>
      <c r="C421" s="307" t="str">
        <f>("8")</f>
        <v>8</v>
      </c>
      <c r="D421" s="307" t="s">
        <v>884</v>
      </c>
      <c r="E421" s="307" t="s">
        <v>1721</v>
      </c>
      <c r="F421" s="307" t="s">
        <v>1722</v>
      </c>
      <c r="G421" s="307">
        <v>5</v>
      </c>
      <c r="H421" s="307" t="s">
        <v>858</v>
      </c>
      <c r="I421" s="307" t="str">
        <f>("1109020120")</f>
        <v>1109020120</v>
      </c>
    </row>
    <row r="422" spans="1:9" ht="13.5">
      <c r="A422" s="419" t="str">
        <f t="shared" si="6"/>
        <v>鶴岡Ｓ―ｐｌａｙ・ＭＩＮＡＭＩ_9</v>
      </c>
      <c r="B422" s="307" t="s">
        <v>43</v>
      </c>
      <c r="C422" s="307" t="str">
        <f>("9")</f>
        <v>9</v>
      </c>
      <c r="D422" s="307" t="s">
        <v>862</v>
      </c>
      <c r="E422" s="307" t="s">
        <v>1723</v>
      </c>
      <c r="F422" s="307" t="s">
        <v>1724</v>
      </c>
      <c r="G422" s="307">
        <v>6</v>
      </c>
      <c r="H422" s="307" t="s">
        <v>858</v>
      </c>
      <c r="I422" s="307" t="str">
        <f>("1006280269")</f>
        <v>1006280269</v>
      </c>
    </row>
    <row r="423" spans="1:10" ht="13.5">
      <c r="A423" s="419" t="str">
        <f t="shared" si="6"/>
        <v>鶴岡Ｓ―ｐｌａｙ・ＭＩＮＡＭＩ_10</v>
      </c>
      <c r="B423" s="307" t="s">
        <v>43</v>
      </c>
      <c r="C423" s="307" t="str">
        <f>("10")</f>
        <v>10</v>
      </c>
      <c r="D423" s="307" t="s">
        <v>862</v>
      </c>
      <c r="E423" s="307" t="s">
        <v>1725</v>
      </c>
      <c r="F423" s="307" t="s">
        <v>1726</v>
      </c>
      <c r="G423" s="307">
        <v>6</v>
      </c>
      <c r="H423" s="307" t="s">
        <v>858</v>
      </c>
      <c r="I423" s="307" t="str">
        <f>("1009230046")</f>
        <v>1009230046</v>
      </c>
      <c r="J423" s="307" t="s">
        <v>15</v>
      </c>
    </row>
    <row r="424" spans="1:9" ht="13.5">
      <c r="A424" s="419" t="str">
        <f t="shared" si="6"/>
        <v>鶴岡Ｓ―ｐｌａｙ・ＭＩＮＡＭＩ_11</v>
      </c>
      <c r="B424" s="307" t="s">
        <v>43</v>
      </c>
      <c r="C424" s="307" t="str">
        <f>("11")</f>
        <v>11</v>
      </c>
      <c r="D424" s="307" t="s">
        <v>859</v>
      </c>
      <c r="E424" s="307" t="s">
        <v>1727</v>
      </c>
      <c r="F424" s="307" t="s">
        <v>1728</v>
      </c>
      <c r="G424" s="307">
        <v>5</v>
      </c>
      <c r="H424" s="307" t="s">
        <v>858</v>
      </c>
      <c r="I424" s="307" t="str">
        <f>("1111290005")</f>
        <v>1111290005</v>
      </c>
    </row>
    <row r="425" spans="1:9" ht="13.5">
      <c r="A425" s="419" t="str">
        <f t="shared" si="6"/>
        <v>鶴岡Ｓ―ｐｌａｙ・ＭＩＮＡＭＩ_12</v>
      </c>
      <c r="B425" s="307" t="s">
        <v>43</v>
      </c>
      <c r="C425" s="307" t="str">
        <f>("12")</f>
        <v>12</v>
      </c>
      <c r="D425" s="307" t="s">
        <v>859</v>
      </c>
      <c r="E425" s="307" t="s">
        <v>1729</v>
      </c>
      <c r="F425" s="307" t="s">
        <v>1730</v>
      </c>
      <c r="G425" s="307">
        <v>6</v>
      </c>
      <c r="H425" s="307" t="s">
        <v>858</v>
      </c>
      <c r="I425" s="307" t="str">
        <f>("1103160180")</f>
        <v>1103160180</v>
      </c>
    </row>
    <row r="426" spans="1:9" ht="13.5">
      <c r="A426" s="419" t="str">
        <f t="shared" si="6"/>
        <v>鶴岡Ｓ―ｐｌａｙ・ＭＩＮＡＭＩ_13</v>
      </c>
      <c r="B426" s="307" t="s">
        <v>43</v>
      </c>
      <c r="C426" s="307" t="str">
        <f>("13")</f>
        <v>13</v>
      </c>
      <c r="D426" s="307" t="s">
        <v>862</v>
      </c>
      <c r="E426" s="307" t="s">
        <v>1731</v>
      </c>
      <c r="F426" s="307" t="s">
        <v>1732</v>
      </c>
      <c r="G426" s="307">
        <v>5</v>
      </c>
      <c r="H426" s="307" t="s">
        <v>858</v>
      </c>
      <c r="I426" s="307" t="str">
        <f>("1202110117")</f>
        <v>1202110117</v>
      </c>
    </row>
    <row r="427" spans="1:9" ht="13.5">
      <c r="A427" s="419" t="str">
        <f t="shared" si="6"/>
        <v>鶴岡Ｓ―ｐｌａｙ・ＭＩＮＡＭＩ_14</v>
      </c>
      <c r="B427" s="307" t="s">
        <v>43</v>
      </c>
      <c r="C427" s="307" t="str">
        <f>("14")</f>
        <v>14</v>
      </c>
      <c r="D427" s="307" t="s">
        <v>884</v>
      </c>
      <c r="E427" s="307" t="s">
        <v>1733</v>
      </c>
      <c r="F427" s="307" t="s">
        <v>1734</v>
      </c>
      <c r="G427" s="307">
        <v>4</v>
      </c>
      <c r="H427" s="307" t="s">
        <v>858</v>
      </c>
      <c r="I427" s="307" t="str">
        <f>("1210180009")</f>
        <v>1210180009</v>
      </c>
    </row>
    <row r="428" spans="1:9" ht="13.5">
      <c r="A428" s="419" t="str">
        <f t="shared" si="6"/>
        <v>鶴岡Ｓ―ｐｌａｙ・ＭＩＮＡＭＩ_23</v>
      </c>
      <c r="B428" s="307" t="s">
        <v>43</v>
      </c>
      <c r="C428" s="307" t="str">
        <f>("23")</f>
        <v>23</v>
      </c>
      <c r="D428" s="307" t="s">
        <v>855</v>
      </c>
      <c r="E428" s="307" t="s">
        <v>1735</v>
      </c>
      <c r="F428" s="307" t="s">
        <v>1736</v>
      </c>
      <c r="G428" s="307">
        <v>5</v>
      </c>
      <c r="H428" s="307" t="s">
        <v>858</v>
      </c>
      <c r="I428" s="307" t="str">
        <f>("1105310127")</f>
        <v>1105310127</v>
      </c>
    </row>
    <row r="429" spans="1:9" ht="13.5">
      <c r="A429" s="419" t="str">
        <f t="shared" si="6"/>
        <v>佐伯リベロフットボールクラブ_1</v>
      </c>
      <c r="B429" s="307" t="s">
        <v>1737</v>
      </c>
      <c r="C429" s="307" t="str">
        <f>("1")</f>
        <v>1</v>
      </c>
      <c r="D429" s="307" t="s">
        <v>855</v>
      </c>
      <c r="E429" s="307" t="s">
        <v>1738</v>
      </c>
      <c r="F429" s="307" t="s">
        <v>1739</v>
      </c>
      <c r="G429" s="307">
        <v>6</v>
      </c>
      <c r="H429" s="307" t="s">
        <v>858</v>
      </c>
      <c r="I429" s="307" t="str">
        <f>("1012290129")</f>
        <v>1012290129</v>
      </c>
    </row>
    <row r="430" spans="1:9" ht="13.5">
      <c r="A430" s="419" t="str">
        <f t="shared" si="6"/>
        <v>佐伯リベロフットボールクラブ_2</v>
      </c>
      <c r="B430" s="307" t="s">
        <v>1737</v>
      </c>
      <c r="C430" s="307" t="str">
        <f>("2")</f>
        <v>2</v>
      </c>
      <c r="D430" s="307" t="s">
        <v>862</v>
      </c>
      <c r="E430" s="307" t="s">
        <v>1740</v>
      </c>
      <c r="F430" s="307" t="s">
        <v>1741</v>
      </c>
      <c r="G430" s="307">
        <v>5</v>
      </c>
      <c r="H430" s="307" t="s">
        <v>858</v>
      </c>
      <c r="I430" s="307" t="str">
        <f>("1203190056")</f>
        <v>1203190056</v>
      </c>
    </row>
    <row r="431" spans="1:9" ht="13.5">
      <c r="A431" s="419" t="str">
        <f t="shared" si="6"/>
        <v>佐伯リベロフットボールクラブ_3</v>
      </c>
      <c r="B431" s="307" t="s">
        <v>1737</v>
      </c>
      <c r="C431" s="307" t="str">
        <f>("3")</f>
        <v>3</v>
      </c>
      <c r="D431" s="307" t="s">
        <v>859</v>
      </c>
      <c r="E431" s="307" t="s">
        <v>1742</v>
      </c>
      <c r="F431" s="307" t="s">
        <v>1743</v>
      </c>
      <c r="G431" s="307">
        <v>5</v>
      </c>
      <c r="H431" s="307" t="s">
        <v>858</v>
      </c>
      <c r="I431" s="307" t="str">
        <f>("1110140077")</f>
        <v>1110140077</v>
      </c>
    </row>
    <row r="432" spans="1:9" ht="13.5">
      <c r="A432" s="419" t="str">
        <f t="shared" si="6"/>
        <v>佐伯リベロフットボールクラブ_4</v>
      </c>
      <c r="B432" s="307" t="s">
        <v>1737</v>
      </c>
      <c r="C432" s="307" t="str">
        <f>("4")</f>
        <v>4</v>
      </c>
      <c r="D432" s="307" t="s">
        <v>884</v>
      </c>
      <c r="E432" s="307" t="s">
        <v>1744</v>
      </c>
      <c r="F432" s="307" t="s">
        <v>1745</v>
      </c>
      <c r="G432" s="307">
        <v>6</v>
      </c>
      <c r="H432" s="307" t="s">
        <v>858</v>
      </c>
      <c r="I432" s="307" t="str">
        <f>("1004080122")</f>
        <v>1004080122</v>
      </c>
    </row>
    <row r="433" spans="1:9" ht="13.5">
      <c r="A433" s="419" t="str">
        <f t="shared" si="6"/>
        <v>佐伯リベロフットボールクラブ_6</v>
      </c>
      <c r="B433" s="307" t="s">
        <v>1737</v>
      </c>
      <c r="C433" s="307" t="str">
        <f>("6")</f>
        <v>6</v>
      </c>
      <c r="D433" s="307" t="s">
        <v>859</v>
      </c>
      <c r="E433" s="307" t="s">
        <v>1746</v>
      </c>
      <c r="F433" s="307" t="s">
        <v>1747</v>
      </c>
      <c r="G433" s="307">
        <v>6</v>
      </c>
      <c r="H433" s="307" t="s">
        <v>858</v>
      </c>
      <c r="I433" s="307" t="str">
        <f>("1102280089")</f>
        <v>1102280089</v>
      </c>
    </row>
    <row r="434" spans="1:10" ht="13.5">
      <c r="A434" s="419" t="str">
        <f t="shared" si="6"/>
        <v>佐伯リベロフットボールクラブ_7</v>
      </c>
      <c r="B434" s="307" t="s">
        <v>1737</v>
      </c>
      <c r="C434" s="307" t="str">
        <f>("7")</f>
        <v>7</v>
      </c>
      <c r="D434" s="307" t="s">
        <v>862</v>
      </c>
      <c r="E434" s="307" t="s">
        <v>1748</v>
      </c>
      <c r="F434" s="307" t="s">
        <v>1749</v>
      </c>
      <c r="G434" s="307">
        <v>6</v>
      </c>
      <c r="H434" s="307" t="s">
        <v>858</v>
      </c>
      <c r="I434" s="307" t="str">
        <f>("1005160080")</f>
        <v>1005160080</v>
      </c>
      <c r="J434" s="307" t="s">
        <v>15</v>
      </c>
    </row>
    <row r="435" spans="1:9" ht="13.5">
      <c r="A435" s="419" t="str">
        <f t="shared" si="6"/>
        <v>佐伯リベロフットボールクラブ_8</v>
      </c>
      <c r="B435" s="307" t="s">
        <v>1737</v>
      </c>
      <c r="C435" s="307" t="str">
        <f>("8")</f>
        <v>8</v>
      </c>
      <c r="D435" s="307" t="s">
        <v>859</v>
      </c>
      <c r="E435" s="307" t="s">
        <v>1750</v>
      </c>
      <c r="F435" s="307" t="s">
        <v>1751</v>
      </c>
      <c r="G435" s="307">
        <v>6</v>
      </c>
      <c r="H435" s="307" t="s">
        <v>858</v>
      </c>
      <c r="I435" s="307" t="str">
        <f>("1008020120")</f>
        <v>1008020120</v>
      </c>
    </row>
    <row r="436" spans="1:9" ht="13.5">
      <c r="A436" s="419" t="str">
        <f t="shared" si="6"/>
        <v>佐伯リベロフットボールクラブ_9</v>
      </c>
      <c r="B436" s="307" t="s">
        <v>1737</v>
      </c>
      <c r="C436" s="307" t="str">
        <f>("9")</f>
        <v>9</v>
      </c>
      <c r="D436" s="307" t="s">
        <v>884</v>
      </c>
      <c r="E436" s="307" t="s">
        <v>1752</v>
      </c>
      <c r="F436" s="307" t="s">
        <v>1753</v>
      </c>
      <c r="G436" s="307">
        <v>5</v>
      </c>
      <c r="H436" s="307" t="s">
        <v>858</v>
      </c>
      <c r="I436" s="307" t="str">
        <f>("1201240093")</f>
        <v>1201240093</v>
      </c>
    </row>
    <row r="437" spans="1:9" ht="13.5">
      <c r="A437" s="419" t="str">
        <f t="shared" si="6"/>
        <v>佐伯リベロフットボールクラブ_10</v>
      </c>
      <c r="B437" s="307" t="s">
        <v>1737</v>
      </c>
      <c r="C437" s="307" t="str">
        <f>("10")</f>
        <v>10</v>
      </c>
      <c r="D437" s="307" t="s">
        <v>862</v>
      </c>
      <c r="E437" s="307" t="s">
        <v>1754</v>
      </c>
      <c r="F437" s="307" t="s">
        <v>1755</v>
      </c>
      <c r="G437" s="307">
        <v>6</v>
      </c>
      <c r="H437" s="307" t="s">
        <v>858</v>
      </c>
      <c r="I437" s="307" t="str">
        <f>("1103140085")</f>
        <v>1103140085</v>
      </c>
    </row>
    <row r="438" spans="1:9" ht="13.5">
      <c r="A438" s="419" t="str">
        <f t="shared" si="6"/>
        <v>佐伯リベロフットボールクラブ_11</v>
      </c>
      <c r="B438" s="307" t="s">
        <v>1737</v>
      </c>
      <c r="C438" s="307" t="str">
        <f>("11")</f>
        <v>11</v>
      </c>
      <c r="D438" s="307" t="s">
        <v>859</v>
      </c>
      <c r="E438" s="307" t="s">
        <v>1756</v>
      </c>
      <c r="F438" s="307" t="s">
        <v>1757</v>
      </c>
      <c r="G438" s="307">
        <v>6</v>
      </c>
      <c r="H438" s="307" t="s">
        <v>858</v>
      </c>
      <c r="I438" s="307" t="str">
        <f>("1004200129")</f>
        <v>1004200129</v>
      </c>
    </row>
    <row r="439" spans="1:9" ht="13.5">
      <c r="A439" s="419" t="str">
        <f t="shared" si="6"/>
        <v>佐伯リベロフットボールクラブ_12</v>
      </c>
      <c r="B439" s="307" t="s">
        <v>1737</v>
      </c>
      <c r="C439" s="307" t="str">
        <f>("12")</f>
        <v>12</v>
      </c>
      <c r="D439" s="307" t="s">
        <v>859</v>
      </c>
      <c r="E439" s="307" t="s">
        <v>1758</v>
      </c>
      <c r="F439" s="307" t="s">
        <v>1759</v>
      </c>
      <c r="G439" s="307">
        <v>5</v>
      </c>
      <c r="H439" s="307" t="s">
        <v>858</v>
      </c>
      <c r="I439" s="307" t="str">
        <f>("1202140080")</f>
        <v>1202140080</v>
      </c>
    </row>
    <row r="440" spans="1:9" ht="13.5">
      <c r="A440" s="419" t="str">
        <f t="shared" si="6"/>
        <v>佐伯リベロフットボールクラブ_13</v>
      </c>
      <c r="B440" s="307" t="s">
        <v>1737</v>
      </c>
      <c r="C440" s="307" t="str">
        <f>("13")</f>
        <v>13</v>
      </c>
      <c r="D440" s="307" t="s">
        <v>884</v>
      </c>
      <c r="E440" s="307" t="s">
        <v>1760</v>
      </c>
      <c r="F440" s="307" t="s">
        <v>1761</v>
      </c>
      <c r="G440" s="307">
        <v>5</v>
      </c>
      <c r="H440" s="307" t="s">
        <v>858</v>
      </c>
      <c r="I440" s="307" t="str">
        <f>("1203060101")</f>
        <v>1203060101</v>
      </c>
    </row>
    <row r="441" spans="1:9" ht="13.5">
      <c r="A441" s="419" t="str">
        <f t="shared" si="6"/>
        <v>佐伯リベロフットボールクラブ_14</v>
      </c>
      <c r="B441" s="307" t="s">
        <v>1737</v>
      </c>
      <c r="C441" s="307" t="str">
        <f>("14")</f>
        <v>14</v>
      </c>
      <c r="D441" s="307" t="s">
        <v>884</v>
      </c>
      <c r="E441" s="307" t="s">
        <v>1762</v>
      </c>
      <c r="F441" s="307" t="s">
        <v>1763</v>
      </c>
      <c r="G441" s="307">
        <v>5</v>
      </c>
      <c r="H441" s="307" t="s">
        <v>858</v>
      </c>
      <c r="I441" s="307" t="str">
        <f>("1107130104")</f>
        <v>1107130104</v>
      </c>
    </row>
    <row r="442" spans="1:9" ht="13.5">
      <c r="A442" s="419" t="str">
        <f t="shared" si="6"/>
        <v>佐伯リベロフットボールクラブ_15</v>
      </c>
      <c r="B442" s="307" t="s">
        <v>1737</v>
      </c>
      <c r="C442" s="307" t="str">
        <f>("15")</f>
        <v>15</v>
      </c>
      <c r="D442" s="307" t="s">
        <v>859</v>
      </c>
      <c r="E442" s="307" t="s">
        <v>1764</v>
      </c>
      <c r="F442" s="307" t="s">
        <v>1765</v>
      </c>
      <c r="G442" s="307">
        <v>5</v>
      </c>
      <c r="H442" s="307" t="s">
        <v>858</v>
      </c>
      <c r="I442" s="307" t="str">
        <f>("1203060128")</f>
        <v>1203060128</v>
      </c>
    </row>
    <row r="443" spans="1:9" ht="13.5">
      <c r="A443" s="419" t="str">
        <f t="shared" si="6"/>
        <v>佐伯リベロフットボールクラブ_21</v>
      </c>
      <c r="B443" s="307" t="s">
        <v>1737</v>
      </c>
      <c r="C443" s="307" t="str">
        <f>("21")</f>
        <v>21</v>
      </c>
      <c r="D443" s="307" t="s">
        <v>855</v>
      </c>
      <c r="E443" s="307" t="s">
        <v>1766</v>
      </c>
      <c r="F443" s="307" t="s">
        <v>1767</v>
      </c>
      <c r="G443" s="307">
        <v>5</v>
      </c>
      <c r="H443" s="307" t="s">
        <v>858</v>
      </c>
      <c r="I443" s="307" t="str">
        <f>("1104060125")</f>
        <v>1104060125</v>
      </c>
    </row>
    <row r="444" spans="1:9" ht="13.5">
      <c r="A444" s="419" t="str">
        <f t="shared" si="6"/>
        <v>別府フットボールクラブ．ミネルバＵ－１２_1</v>
      </c>
      <c r="B444" s="307" t="s">
        <v>32</v>
      </c>
      <c r="C444" s="307" t="str">
        <f>("1")</f>
        <v>1</v>
      </c>
      <c r="D444" s="307" t="s">
        <v>855</v>
      </c>
      <c r="E444" s="307" t="s">
        <v>1768</v>
      </c>
      <c r="F444" s="307" t="s">
        <v>1769</v>
      </c>
      <c r="G444" s="307">
        <v>6</v>
      </c>
      <c r="H444" s="307" t="s">
        <v>858</v>
      </c>
      <c r="I444" s="307" t="str">
        <f>("1012070131")</f>
        <v>1012070131</v>
      </c>
    </row>
    <row r="445" spans="1:9" ht="13.5">
      <c r="A445" s="419" t="str">
        <f t="shared" si="6"/>
        <v>別府フットボールクラブ．ミネルバＵ－１２_2</v>
      </c>
      <c r="B445" s="307" t="s">
        <v>32</v>
      </c>
      <c r="C445" s="307" t="str">
        <f>("2")</f>
        <v>2</v>
      </c>
      <c r="D445" s="307" t="s">
        <v>859</v>
      </c>
      <c r="E445" s="307" t="s">
        <v>1770</v>
      </c>
      <c r="F445" s="307" t="s">
        <v>1771</v>
      </c>
      <c r="G445" s="307">
        <v>6</v>
      </c>
      <c r="H445" s="307" t="s">
        <v>858</v>
      </c>
      <c r="I445" s="307" t="str">
        <f>("1006260121")</f>
        <v>1006260121</v>
      </c>
    </row>
    <row r="446" spans="1:9" ht="13.5">
      <c r="A446" s="419" t="str">
        <f t="shared" si="6"/>
        <v>別府フットボールクラブ．ミネルバＵ－１２_3</v>
      </c>
      <c r="B446" s="307" t="s">
        <v>32</v>
      </c>
      <c r="C446" s="307" t="str">
        <f>("3")</f>
        <v>3</v>
      </c>
      <c r="D446" s="307" t="s">
        <v>859</v>
      </c>
      <c r="E446" s="307" t="s">
        <v>1772</v>
      </c>
      <c r="F446" s="307" t="s">
        <v>1773</v>
      </c>
      <c r="G446" s="307">
        <v>6</v>
      </c>
      <c r="H446" s="307" t="s">
        <v>858</v>
      </c>
      <c r="I446" s="307" t="str">
        <f>("1003140122")</f>
        <v>1003140122</v>
      </c>
    </row>
    <row r="447" spans="1:9" ht="13.5">
      <c r="A447" s="419" t="str">
        <f t="shared" si="6"/>
        <v>別府フットボールクラブ．ミネルバＵ－１２_4</v>
      </c>
      <c r="B447" s="307" t="s">
        <v>32</v>
      </c>
      <c r="C447" s="307" t="str">
        <f>("4")</f>
        <v>4</v>
      </c>
      <c r="D447" s="307" t="s">
        <v>862</v>
      </c>
      <c r="E447" s="307" t="s">
        <v>1774</v>
      </c>
      <c r="F447" s="307" t="s">
        <v>1775</v>
      </c>
      <c r="G447" s="307">
        <v>6</v>
      </c>
      <c r="H447" s="307" t="s">
        <v>858</v>
      </c>
      <c r="I447" s="307" t="str">
        <f>("1102080126")</f>
        <v>1102080126</v>
      </c>
    </row>
    <row r="448" spans="1:9" ht="13.5">
      <c r="A448" s="419" t="str">
        <f t="shared" si="6"/>
        <v>別府フットボールクラブ．ミネルバＵ－１２_5</v>
      </c>
      <c r="B448" s="307" t="s">
        <v>32</v>
      </c>
      <c r="C448" s="307" t="str">
        <f>("5")</f>
        <v>5</v>
      </c>
      <c r="D448" s="307" t="s">
        <v>859</v>
      </c>
      <c r="E448" s="307" t="s">
        <v>1776</v>
      </c>
      <c r="F448" s="307" t="s">
        <v>1777</v>
      </c>
      <c r="G448" s="307">
        <v>6</v>
      </c>
      <c r="H448" s="307" t="s">
        <v>858</v>
      </c>
      <c r="I448" s="307" t="str">
        <f>("1008300110")</f>
        <v>1008300110</v>
      </c>
    </row>
    <row r="449" spans="1:9" ht="13.5">
      <c r="A449" s="419" t="str">
        <f aca="true" t="shared" si="7" ref="A449:A512">CONCATENATE(B449,"_",C449)</f>
        <v>別府フットボールクラブ．ミネルバＵ－１２_6</v>
      </c>
      <c r="B449" s="307" t="s">
        <v>32</v>
      </c>
      <c r="C449" s="307" t="str">
        <f>("6")</f>
        <v>6</v>
      </c>
      <c r="D449" s="307" t="s">
        <v>859</v>
      </c>
      <c r="E449" s="307" t="s">
        <v>1778</v>
      </c>
      <c r="F449" s="307" t="s">
        <v>1779</v>
      </c>
      <c r="G449" s="307">
        <v>6</v>
      </c>
      <c r="H449" s="307" t="s">
        <v>858</v>
      </c>
      <c r="I449" s="307" t="str">
        <f>("1103140146")</f>
        <v>1103140146</v>
      </c>
    </row>
    <row r="450" spans="1:10" ht="13.5">
      <c r="A450" s="419" t="str">
        <f t="shared" si="7"/>
        <v>別府フットボールクラブ．ミネルバＵ－１２_7</v>
      </c>
      <c r="B450" s="307" t="s">
        <v>32</v>
      </c>
      <c r="C450" s="307" t="str">
        <f>("7")</f>
        <v>7</v>
      </c>
      <c r="D450" s="307" t="s">
        <v>859</v>
      </c>
      <c r="E450" s="307" t="s">
        <v>1780</v>
      </c>
      <c r="F450" s="307" t="s">
        <v>1781</v>
      </c>
      <c r="G450" s="307">
        <v>6</v>
      </c>
      <c r="H450" s="307" t="s">
        <v>858</v>
      </c>
      <c r="I450" s="307" t="str">
        <f>("1007060151")</f>
        <v>1007060151</v>
      </c>
      <c r="J450" s="307" t="s">
        <v>15</v>
      </c>
    </row>
    <row r="451" spans="1:9" ht="13.5">
      <c r="A451" s="419" t="str">
        <f t="shared" si="7"/>
        <v>別府フットボールクラブ．ミネルバＵ－１２_8</v>
      </c>
      <c r="B451" s="307" t="s">
        <v>32</v>
      </c>
      <c r="C451" s="307" t="str">
        <f>("8")</f>
        <v>8</v>
      </c>
      <c r="D451" s="307" t="s">
        <v>862</v>
      </c>
      <c r="E451" s="307" t="s">
        <v>1782</v>
      </c>
      <c r="F451" s="307" t="s">
        <v>1783</v>
      </c>
      <c r="G451" s="307">
        <v>6</v>
      </c>
      <c r="H451" s="307" t="s">
        <v>858</v>
      </c>
      <c r="I451" s="307" t="str">
        <f>("1009300124")</f>
        <v>1009300124</v>
      </c>
    </row>
    <row r="452" spans="1:9" ht="13.5">
      <c r="A452" s="419" t="str">
        <f t="shared" si="7"/>
        <v>別府フットボールクラブ．ミネルバＵ－１２_9</v>
      </c>
      <c r="B452" s="307" t="s">
        <v>32</v>
      </c>
      <c r="C452" s="307" t="str">
        <f>("9")</f>
        <v>9</v>
      </c>
      <c r="D452" s="307" t="s">
        <v>884</v>
      </c>
      <c r="E452" s="307" t="s">
        <v>1784</v>
      </c>
      <c r="F452" s="307" t="s">
        <v>1785</v>
      </c>
      <c r="G452" s="307">
        <v>6</v>
      </c>
      <c r="H452" s="307" t="s">
        <v>858</v>
      </c>
      <c r="I452" s="307" t="str">
        <f>("1006120119")</f>
        <v>1006120119</v>
      </c>
    </row>
    <row r="453" spans="1:9" ht="13.5">
      <c r="A453" s="419" t="str">
        <f t="shared" si="7"/>
        <v>別府フットボールクラブ．ミネルバＵ－１２_10</v>
      </c>
      <c r="B453" s="307" t="s">
        <v>32</v>
      </c>
      <c r="C453" s="307" t="str">
        <f>("10")</f>
        <v>10</v>
      </c>
      <c r="D453" s="307" t="s">
        <v>862</v>
      </c>
      <c r="E453" s="307" t="s">
        <v>1786</v>
      </c>
      <c r="F453" s="307" t="s">
        <v>1787</v>
      </c>
      <c r="G453" s="307">
        <v>6</v>
      </c>
      <c r="H453" s="307" t="s">
        <v>858</v>
      </c>
      <c r="I453" s="307" t="str">
        <f>("1101090094")</f>
        <v>1101090094</v>
      </c>
    </row>
    <row r="454" spans="1:9" ht="13.5">
      <c r="A454" s="419" t="str">
        <f t="shared" si="7"/>
        <v>別府フットボールクラブ．ミネルバＵ－１２_11</v>
      </c>
      <c r="B454" s="307" t="s">
        <v>32</v>
      </c>
      <c r="C454" s="307" t="str">
        <f>("11")</f>
        <v>11</v>
      </c>
      <c r="D454" s="307" t="s">
        <v>884</v>
      </c>
      <c r="E454" s="307" t="s">
        <v>1788</v>
      </c>
      <c r="F454" s="307" t="s">
        <v>1789</v>
      </c>
      <c r="G454" s="307">
        <v>6</v>
      </c>
      <c r="H454" s="307" t="s">
        <v>858</v>
      </c>
      <c r="I454" s="307" t="str">
        <f>("1102070101")</f>
        <v>1102070101</v>
      </c>
    </row>
    <row r="455" spans="1:9" ht="13.5">
      <c r="A455" s="419" t="str">
        <f t="shared" si="7"/>
        <v>別府フットボールクラブ．ミネルバＵ－１２_12</v>
      </c>
      <c r="B455" s="307" t="s">
        <v>32</v>
      </c>
      <c r="C455" s="307" t="str">
        <f>("12")</f>
        <v>12</v>
      </c>
      <c r="D455" s="307" t="s">
        <v>862</v>
      </c>
      <c r="E455" s="307" t="s">
        <v>1790</v>
      </c>
      <c r="F455" s="307" t="s">
        <v>1791</v>
      </c>
      <c r="G455" s="307">
        <v>5</v>
      </c>
      <c r="H455" s="307" t="s">
        <v>858</v>
      </c>
      <c r="I455" s="307" t="str">
        <f>("1104020101")</f>
        <v>1104020101</v>
      </c>
    </row>
    <row r="456" spans="1:9" ht="13.5">
      <c r="A456" s="419" t="str">
        <f t="shared" si="7"/>
        <v>別府フットボールクラブ．ミネルバＵ－１２_13</v>
      </c>
      <c r="B456" s="307" t="s">
        <v>32</v>
      </c>
      <c r="C456" s="307" t="str">
        <f>("13")</f>
        <v>13</v>
      </c>
      <c r="D456" s="307" t="s">
        <v>862</v>
      </c>
      <c r="E456" s="307" t="s">
        <v>1792</v>
      </c>
      <c r="F456" s="307" t="s">
        <v>1793</v>
      </c>
      <c r="G456" s="307">
        <v>5</v>
      </c>
      <c r="H456" s="307" t="s">
        <v>858</v>
      </c>
      <c r="I456" s="307" t="str">
        <f>("1110030123")</f>
        <v>1110030123</v>
      </c>
    </row>
    <row r="457" spans="1:9" ht="13.5">
      <c r="A457" s="419" t="str">
        <f t="shared" si="7"/>
        <v>別府フットボールクラブ．ミネルバＵ－１２_14</v>
      </c>
      <c r="B457" s="307" t="s">
        <v>32</v>
      </c>
      <c r="C457" s="307" t="str">
        <f>("14")</f>
        <v>14</v>
      </c>
      <c r="D457" s="307" t="s">
        <v>884</v>
      </c>
      <c r="E457" s="307" t="s">
        <v>1794</v>
      </c>
      <c r="F457" s="307" t="s">
        <v>1795</v>
      </c>
      <c r="G457" s="307">
        <v>6</v>
      </c>
      <c r="H457" s="307" t="s">
        <v>869</v>
      </c>
      <c r="I457" s="307" t="str">
        <f>("1006210135")</f>
        <v>1006210135</v>
      </c>
    </row>
    <row r="458" spans="1:9" ht="13.5">
      <c r="A458" s="419" t="str">
        <f t="shared" si="7"/>
        <v>別府フットボールクラブ．ミネルバＵ－１２_15</v>
      </c>
      <c r="B458" s="307" t="s">
        <v>32</v>
      </c>
      <c r="C458" s="307" t="str">
        <f>("15")</f>
        <v>15</v>
      </c>
      <c r="D458" s="307" t="s">
        <v>855</v>
      </c>
      <c r="E458" s="307" t="s">
        <v>1796</v>
      </c>
      <c r="F458" s="307" t="s">
        <v>1797</v>
      </c>
      <c r="G458" s="307">
        <v>5</v>
      </c>
      <c r="H458" s="307" t="s">
        <v>858</v>
      </c>
      <c r="I458" s="307" t="str">
        <f>("1108200166")</f>
        <v>1108200166</v>
      </c>
    </row>
    <row r="459" spans="1:9" ht="13.5">
      <c r="A459" s="419" t="str">
        <f t="shared" si="7"/>
        <v>別府フットボールクラブ．ミネルバＵ－１２_16</v>
      </c>
      <c r="B459" s="307" t="s">
        <v>32</v>
      </c>
      <c r="C459" s="307" t="str">
        <f>("16")</f>
        <v>16</v>
      </c>
      <c r="D459" s="307" t="s">
        <v>862</v>
      </c>
      <c r="E459" s="307" t="s">
        <v>1798</v>
      </c>
      <c r="F459" s="307" t="s">
        <v>1799</v>
      </c>
      <c r="G459" s="307">
        <v>5</v>
      </c>
      <c r="H459" s="307" t="s">
        <v>858</v>
      </c>
      <c r="I459" s="307" t="str">
        <f>("1108110154")</f>
        <v>1108110154</v>
      </c>
    </row>
    <row r="460" spans="1:10" ht="13.5">
      <c r="A460" s="419" t="str">
        <f t="shared" si="7"/>
        <v>別保ＳＦＣ_1</v>
      </c>
      <c r="B460" s="307" t="s">
        <v>41</v>
      </c>
      <c r="C460" s="307" t="str">
        <f>("1")</f>
        <v>1</v>
      </c>
      <c r="D460" s="307" t="s">
        <v>855</v>
      </c>
      <c r="E460" s="307" t="s">
        <v>1800</v>
      </c>
      <c r="F460" s="307" t="s">
        <v>1801</v>
      </c>
      <c r="G460" s="307">
        <v>6</v>
      </c>
      <c r="H460" s="307" t="s">
        <v>858</v>
      </c>
      <c r="I460" s="307" t="str">
        <f>("1012190103")</f>
        <v>1012190103</v>
      </c>
      <c r="J460" s="307" t="s">
        <v>15</v>
      </c>
    </row>
    <row r="461" spans="1:9" ht="13.5">
      <c r="A461" s="419" t="str">
        <f t="shared" si="7"/>
        <v>別保ＳＦＣ_2</v>
      </c>
      <c r="B461" s="307" t="s">
        <v>41</v>
      </c>
      <c r="C461" s="307" t="str">
        <f>("2")</f>
        <v>2</v>
      </c>
      <c r="D461" s="307" t="s">
        <v>859</v>
      </c>
      <c r="E461" s="307" t="s">
        <v>1802</v>
      </c>
      <c r="F461" s="307" t="s">
        <v>1803</v>
      </c>
      <c r="G461" s="307">
        <v>5</v>
      </c>
      <c r="H461" s="307" t="s">
        <v>858</v>
      </c>
      <c r="I461" s="307" t="str">
        <f>("1105040095")</f>
        <v>1105040095</v>
      </c>
    </row>
    <row r="462" spans="1:9" ht="13.5">
      <c r="A462" s="419" t="str">
        <f t="shared" si="7"/>
        <v>別保ＳＦＣ_3</v>
      </c>
      <c r="B462" s="307" t="s">
        <v>41</v>
      </c>
      <c r="C462" s="307" t="str">
        <f>("3")</f>
        <v>3</v>
      </c>
      <c r="D462" s="307" t="s">
        <v>862</v>
      </c>
      <c r="E462" s="307" t="s">
        <v>1804</v>
      </c>
      <c r="F462" s="307" t="s">
        <v>1805</v>
      </c>
      <c r="G462" s="307">
        <v>6</v>
      </c>
      <c r="H462" s="307" t="s">
        <v>858</v>
      </c>
      <c r="I462" s="307" t="str">
        <f>("1004140245")</f>
        <v>1004140245</v>
      </c>
    </row>
    <row r="463" spans="1:9" ht="13.5">
      <c r="A463" s="419" t="str">
        <f t="shared" si="7"/>
        <v>別保ＳＦＣ_4</v>
      </c>
      <c r="B463" s="307" t="s">
        <v>41</v>
      </c>
      <c r="C463" s="307" t="str">
        <f>("4")</f>
        <v>4</v>
      </c>
      <c r="D463" s="307" t="s">
        <v>862</v>
      </c>
      <c r="E463" s="307" t="s">
        <v>1806</v>
      </c>
      <c r="F463" s="307" t="s">
        <v>1807</v>
      </c>
      <c r="G463" s="307">
        <v>6</v>
      </c>
      <c r="H463" s="307" t="s">
        <v>858</v>
      </c>
      <c r="I463" s="307" t="str">
        <f>("1101090169")</f>
        <v>1101090169</v>
      </c>
    </row>
    <row r="464" spans="1:9" ht="13.5">
      <c r="A464" s="419" t="str">
        <f t="shared" si="7"/>
        <v>別保ＳＦＣ_5</v>
      </c>
      <c r="B464" s="307" t="s">
        <v>41</v>
      </c>
      <c r="C464" s="307" t="str">
        <f>("5")</f>
        <v>5</v>
      </c>
      <c r="D464" s="307" t="s">
        <v>862</v>
      </c>
      <c r="E464" s="307" t="s">
        <v>1808</v>
      </c>
      <c r="F464" s="307" t="s">
        <v>1809</v>
      </c>
      <c r="G464" s="307">
        <v>6</v>
      </c>
      <c r="H464" s="307" t="s">
        <v>869</v>
      </c>
      <c r="I464" s="307" t="str">
        <f>("1012130156")</f>
        <v>1012130156</v>
      </c>
    </row>
    <row r="465" spans="1:9" ht="13.5">
      <c r="A465" s="419" t="str">
        <f t="shared" si="7"/>
        <v>別保ＳＦＣ_6</v>
      </c>
      <c r="B465" s="307" t="s">
        <v>41</v>
      </c>
      <c r="C465" s="307" t="str">
        <f>("6")</f>
        <v>6</v>
      </c>
      <c r="D465" s="307" t="s">
        <v>862</v>
      </c>
      <c r="E465" s="307" t="s">
        <v>1810</v>
      </c>
      <c r="F465" s="307" t="s">
        <v>1811</v>
      </c>
      <c r="G465" s="307">
        <v>6</v>
      </c>
      <c r="H465" s="307" t="s">
        <v>858</v>
      </c>
      <c r="I465" s="307" t="str">
        <f>("1011040170")</f>
        <v>1011040170</v>
      </c>
    </row>
    <row r="466" spans="1:9" ht="13.5">
      <c r="A466" s="419" t="str">
        <f t="shared" si="7"/>
        <v>別保ＳＦＣ_7</v>
      </c>
      <c r="B466" s="307" t="s">
        <v>41</v>
      </c>
      <c r="C466" s="307" t="str">
        <f>("7")</f>
        <v>7</v>
      </c>
      <c r="D466" s="307" t="s">
        <v>862</v>
      </c>
      <c r="E466" s="307" t="s">
        <v>1812</v>
      </c>
      <c r="F466" s="307" t="s">
        <v>1813</v>
      </c>
      <c r="G466" s="307">
        <v>6</v>
      </c>
      <c r="H466" s="307" t="s">
        <v>858</v>
      </c>
      <c r="I466" s="307" t="str">
        <f>("1006050136")</f>
        <v>1006050136</v>
      </c>
    </row>
    <row r="467" spans="1:9" ht="13.5">
      <c r="A467" s="419" t="str">
        <f t="shared" si="7"/>
        <v>別保ＳＦＣ_8</v>
      </c>
      <c r="B467" s="307" t="s">
        <v>41</v>
      </c>
      <c r="C467" s="307" t="str">
        <f>("8")</f>
        <v>8</v>
      </c>
      <c r="D467" s="307" t="s">
        <v>862</v>
      </c>
      <c r="E467" s="307" t="s">
        <v>1814</v>
      </c>
      <c r="F467" s="307" t="s">
        <v>1815</v>
      </c>
      <c r="G467" s="307">
        <v>6</v>
      </c>
      <c r="H467" s="307" t="s">
        <v>869</v>
      </c>
      <c r="I467" s="307" t="str">
        <f>("1009280187")</f>
        <v>1009280187</v>
      </c>
    </row>
    <row r="468" spans="1:9" ht="13.5">
      <c r="A468" s="419" t="str">
        <f t="shared" si="7"/>
        <v>別保ＳＦＣ_9</v>
      </c>
      <c r="B468" s="307" t="s">
        <v>41</v>
      </c>
      <c r="C468" s="307" t="str">
        <f>("9")</f>
        <v>9</v>
      </c>
      <c r="D468" s="307" t="s">
        <v>884</v>
      </c>
      <c r="E468" s="307" t="s">
        <v>1816</v>
      </c>
      <c r="F468" s="307" t="s">
        <v>1817</v>
      </c>
      <c r="G468" s="307">
        <v>6</v>
      </c>
      <c r="H468" s="307" t="s">
        <v>858</v>
      </c>
      <c r="I468" s="307" t="str">
        <f>("1004220206")</f>
        <v>1004220206</v>
      </c>
    </row>
    <row r="469" spans="1:9" ht="13.5">
      <c r="A469" s="419" t="str">
        <f t="shared" si="7"/>
        <v>別保ＳＦＣ_10</v>
      </c>
      <c r="B469" s="307" t="s">
        <v>41</v>
      </c>
      <c r="C469" s="307" t="str">
        <f>("10")</f>
        <v>10</v>
      </c>
      <c r="D469" s="307" t="s">
        <v>859</v>
      </c>
      <c r="E469" s="307" t="s">
        <v>1818</v>
      </c>
      <c r="F469" s="307" t="s">
        <v>1819</v>
      </c>
      <c r="G469" s="307">
        <v>6</v>
      </c>
      <c r="H469" s="307" t="s">
        <v>858</v>
      </c>
      <c r="I469" s="307" t="str">
        <f>("1102090162")</f>
        <v>1102090162</v>
      </c>
    </row>
    <row r="470" spans="1:9" ht="13.5">
      <c r="A470" s="419" t="str">
        <f t="shared" si="7"/>
        <v>別保ＳＦＣ_11</v>
      </c>
      <c r="B470" s="307" t="s">
        <v>41</v>
      </c>
      <c r="C470" s="307" t="str">
        <f>("11")</f>
        <v>11</v>
      </c>
      <c r="D470" s="307" t="s">
        <v>884</v>
      </c>
      <c r="E470" s="307" t="s">
        <v>1820</v>
      </c>
      <c r="F470" s="307" t="s">
        <v>1821</v>
      </c>
      <c r="G470" s="307">
        <v>6</v>
      </c>
      <c r="H470" s="307" t="s">
        <v>858</v>
      </c>
      <c r="I470" s="307" t="str">
        <f>("1010080266")</f>
        <v>1010080266</v>
      </c>
    </row>
    <row r="471" spans="1:9" ht="13.5">
      <c r="A471" s="419" t="str">
        <f t="shared" si="7"/>
        <v>別保ＳＦＣ_12</v>
      </c>
      <c r="B471" s="307" t="s">
        <v>41</v>
      </c>
      <c r="C471" s="307" t="str">
        <f>("12")</f>
        <v>12</v>
      </c>
      <c r="D471" s="307" t="s">
        <v>859</v>
      </c>
      <c r="E471" s="307" t="s">
        <v>1822</v>
      </c>
      <c r="F471" s="307" t="s">
        <v>1823</v>
      </c>
      <c r="G471" s="307">
        <v>5</v>
      </c>
      <c r="H471" s="307" t="s">
        <v>858</v>
      </c>
      <c r="I471" s="307" t="str">
        <f>("1109210163")</f>
        <v>1109210163</v>
      </c>
    </row>
    <row r="472" spans="1:9" ht="13.5">
      <c r="A472" s="419" t="str">
        <f t="shared" si="7"/>
        <v>別保ＳＦＣ_13</v>
      </c>
      <c r="B472" s="307" t="s">
        <v>41</v>
      </c>
      <c r="C472" s="307" t="str">
        <f>("13")</f>
        <v>13</v>
      </c>
      <c r="D472" s="307" t="s">
        <v>859</v>
      </c>
      <c r="E472" s="307" t="s">
        <v>1824</v>
      </c>
      <c r="F472" s="307" t="s">
        <v>1825</v>
      </c>
      <c r="G472" s="307">
        <v>5</v>
      </c>
      <c r="H472" s="307" t="s">
        <v>858</v>
      </c>
      <c r="I472" s="307" t="str">
        <f>("1107020115")</f>
        <v>1107020115</v>
      </c>
    </row>
    <row r="473" spans="1:9" ht="13.5">
      <c r="A473" s="419" t="str">
        <f t="shared" si="7"/>
        <v>別保ＳＦＣ_14</v>
      </c>
      <c r="B473" s="307" t="s">
        <v>41</v>
      </c>
      <c r="C473" s="307" t="str">
        <f>("14")</f>
        <v>14</v>
      </c>
      <c r="D473" s="307" t="s">
        <v>862</v>
      </c>
      <c r="E473" s="307" t="s">
        <v>1826</v>
      </c>
      <c r="F473" s="307" t="s">
        <v>1827</v>
      </c>
      <c r="G473" s="307">
        <v>5</v>
      </c>
      <c r="H473" s="307" t="s">
        <v>858</v>
      </c>
      <c r="I473" s="307" t="str">
        <f>("1108110161")</f>
        <v>1108110161</v>
      </c>
    </row>
    <row r="474" spans="1:9" ht="13.5">
      <c r="A474" s="419" t="str">
        <f t="shared" si="7"/>
        <v>別保ＳＦＣ_15</v>
      </c>
      <c r="B474" s="307" t="s">
        <v>41</v>
      </c>
      <c r="C474" s="307" t="str">
        <f>("15")</f>
        <v>15</v>
      </c>
      <c r="D474" s="307" t="s">
        <v>862</v>
      </c>
      <c r="E474" s="307" t="s">
        <v>1828</v>
      </c>
      <c r="F474" s="307" t="s">
        <v>1829</v>
      </c>
      <c r="G474" s="307">
        <v>5</v>
      </c>
      <c r="H474" s="307" t="s">
        <v>858</v>
      </c>
      <c r="I474" s="307" t="str">
        <f>("1201110209")</f>
        <v>1201110209</v>
      </c>
    </row>
    <row r="475" spans="1:9" ht="13.5">
      <c r="A475" s="419" t="str">
        <f t="shared" si="7"/>
        <v>別保ＳＦＣ_19</v>
      </c>
      <c r="B475" s="307" t="s">
        <v>41</v>
      </c>
      <c r="C475" s="307" t="str">
        <f>("19")</f>
        <v>19</v>
      </c>
      <c r="D475" s="307" t="s">
        <v>855</v>
      </c>
      <c r="E475" s="307" t="s">
        <v>1830</v>
      </c>
      <c r="F475" s="307" t="s">
        <v>1831</v>
      </c>
      <c r="G475" s="307">
        <v>4</v>
      </c>
      <c r="H475" s="307" t="s">
        <v>858</v>
      </c>
      <c r="I475" s="307" t="str">
        <f>("1210210109")</f>
        <v>1210210109</v>
      </c>
    </row>
    <row r="476" spans="1:9" ht="13.5">
      <c r="A476" s="419" t="str">
        <f t="shared" si="7"/>
        <v>大在サッカースポーツ少年団_1</v>
      </c>
      <c r="B476" s="307" t="s">
        <v>242</v>
      </c>
      <c r="C476" s="307" t="str">
        <f>("1")</f>
        <v>1</v>
      </c>
      <c r="D476" s="307" t="s">
        <v>855</v>
      </c>
      <c r="E476" s="307" t="s">
        <v>1832</v>
      </c>
      <c r="F476" s="307" t="s">
        <v>1833</v>
      </c>
      <c r="G476" s="307">
        <v>6</v>
      </c>
      <c r="H476" s="307" t="s">
        <v>858</v>
      </c>
      <c r="I476" s="307" t="str">
        <f>("1004070115")</f>
        <v>1004070115</v>
      </c>
    </row>
    <row r="477" spans="1:9" ht="13.5">
      <c r="A477" s="419" t="str">
        <f t="shared" si="7"/>
        <v>大在サッカースポーツ少年団_3</v>
      </c>
      <c r="B477" s="307" t="s">
        <v>242</v>
      </c>
      <c r="C477" s="307" t="str">
        <f>("3")</f>
        <v>3</v>
      </c>
      <c r="D477" s="307" t="s">
        <v>859</v>
      </c>
      <c r="E477" s="307" t="s">
        <v>1834</v>
      </c>
      <c r="F477" s="307" t="s">
        <v>1835</v>
      </c>
      <c r="G477" s="307">
        <v>6</v>
      </c>
      <c r="H477" s="307" t="s">
        <v>858</v>
      </c>
      <c r="I477" s="307" t="str">
        <f>("1005240016")</f>
        <v>1005240016</v>
      </c>
    </row>
    <row r="478" spans="1:9" ht="13.5">
      <c r="A478" s="419" t="str">
        <f t="shared" si="7"/>
        <v>大在サッカースポーツ少年団_4</v>
      </c>
      <c r="B478" s="307" t="s">
        <v>242</v>
      </c>
      <c r="C478" s="307" t="str">
        <f>("4")</f>
        <v>4</v>
      </c>
      <c r="D478" s="307" t="s">
        <v>862</v>
      </c>
      <c r="E478" s="307" t="s">
        <v>1836</v>
      </c>
      <c r="F478" s="307" t="s">
        <v>1837</v>
      </c>
      <c r="G478" s="307">
        <v>6</v>
      </c>
      <c r="H478" s="307" t="s">
        <v>858</v>
      </c>
      <c r="I478" s="307" t="str">
        <f>("1103160100")</f>
        <v>1103160100</v>
      </c>
    </row>
    <row r="479" spans="1:9" ht="13.5">
      <c r="A479" s="419" t="str">
        <f t="shared" si="7"/>
        <v>大在サッカースポーツ少年団_5</v>
      </c>
      <c r="B479" s="307" t="s">
        <v>242</v>
      </c>
      <c r="C479" s="307" t="str">
        <f>("5")</f>
        <v>5</v>
      </c>
      <c r="D479" s="307" t="s">
        <v>862</v>
      </c>
      <c r="E479" s="307" t="s">
        <v>1838</v>
      </c>
      <c r="F479" s="307" t="s">
        <v>1839</v>
      </c>
      <c r="G479" s="307">
        <v>6</v>
      </c>
      <c r="H479" s="307" t="s">
        <v>858</v>
      </c>
      <c r="I479" s="307" t="str">
        <f>("1008210007")</f>
        <v>1008210007</v>
      </c>
    </row>
    <row r="480" spans="1:9" ht="13.5">
      <c r="A480" s="419" t="str">
        <f t="shared" si="7"/>
        <v>大在サッカースポーツ少年団_6</v>
      </c>
      <c r="B480" s="307" t="s">
        <v>242</v>
      </c>
      <c r="C480" s="307" t="str">
        <f>("6")</f>
        <v>6</v>
      </c>
      <c r="D480" s="307" t="s">
        <v>884</v>
      </c>
      <c r="E480" s="307" t="s">
        <v>1840</v>
      </c>
      <c r="F480" s="307" t="s">
        <v>1841</v>
      </c>
      <c r="G480" s="307">
        <v>6</v>
      </c>
      <c r="H480" s="307" t="s">
        <v>858</v>
      </c>
      <c r="I480" s="307" t="str">
        <f>("1009020025")</f>
        <v>1009020025</v>
      </c>
    </row>
    <row r="481" spans="1:9" ht="13.5">
      <c r="A481" s="419" t="str">
        <f t="shared" si="7"/>
        <v>大在サッカースポーツ少年団_7</v>
      </c>
      <c r="B481" s="307" t="s">
        <v>242</v>
      </c>
      <c r="C481" s="307" t="str">
        <f>("7")</f>
        <v>7</v>
      </c>
      <c r="D481" s="307" t="s">
        <v>862</v>
      </c>
      <c r="E481" s="307" t="s">
        <v>1842</v>
      </c>
      <c r="F481" s="307" t="s">
        <v>1843</v>
      </c>
      <c r="G481" s="307">
        <v>6</v>
      </c>
      <c r="H481" s="307" t="s">
        <v>858</v>
      </c>
      <c r="I481" s="307" t="str">
        <f>("1009130009")</f>
        <v>1009130009</v>
      </c>
    </row>
    <row r="482" spans="1:10" ht="13.5">
      <c r="A482" s="419" t="str">
        <f t="shared" si="7"/>
        <v>大在サッカースポーツ少年団_8</v>
      </c>
      <c r="B482" s="307" t="s">
        <v>242</v>
      </c>
      <c r="C482" s="307" t="str">
        <f>("8")</f>
        <v>8</v>
      </c>
      <c r="D482" s="307" t="s">
        <v>859</v>
      </c>
      <c r="E482" s="307" t="s">
        <v>1844</v>
      </c>
      <c r="F482" s="307" t="s">
        <v>1845</v>
      </c>
      <c r="G482" s="307">
        <v>6</v>
      </c>
      <c r="H482" s="307" t="s">
        <v>858</v>
      </c>
      <c r="I482" s="307" t="str">
        <f>("1011030088")</f>
        <v>1011030088</v>
      </c>
      <c r="J482" s="307" t="s">
        <v>15</v>
      </c>
    </row>
    <row r="483" spans="1:9" ht="13.5">
      <c r="A483" s="419" t="str">
        <f t="shared" si="7"/>
        <v>大在サッカースポーツ少年団_9</v>
      </c>
      <c r="B483" s="307" t="s">
        <v>242</v>
      </c>
      <c r="C483" s="307" t="str">
        <f>("9")</f>
        <v>9</v>
      </c>
      <c r="D483" s="307" t="s">
        <v>859</v>
      </c>
      <c r="E483" s="307" t="s">
        <v>1846</v>
      </c>
      <c r="F483" s="307" t="s">
        <v>1847</v>
      </c>
      <c r="G483" s="307">
        <v>6</v>
      </c>
      <c r="H483" s="307" t="s">
        <v>858</v>
      </c>
      <c r="I483" s="307" t="str">
        <f>("1011100025")</f>
        <v>1011100025</v>
      </c>
    </row>
    <row r="484" spans="1:9" ht="13.5">
      <c r="A484" s="419" t="str">
        <f t="shared" si="7"/>
        <v>大在サッカースポーツ少年団_10</v>
      </c>
      <c r="B484" s="307" t="s">
        <v>242</v>
      </c>
      <c r="C484" s="307" t="str">
        <f>("10")</f>
        <v>10</v>
      </c>
      <c r="D484" s="307" t="s">
        <v>862</v>
      </c>
      <c r="E484" s="307" t="s">
        <v>1848</v>
      </c>
      <c r="F484" s="307" t="s">
        <v>1849</v>
      </c>
      <c r="G484" s="307">
        <v>6</v>
      </c>
      <c r="H484" s="307" t="s">
        <v>858</v>
      </c>
      <c r="I484" s="307" t="str">
        <f>("1012280075")</f>
        <v>1012280075</v>
      </c>
    </row>
    <row r="485" spans="1:9" ht="13.5">
      <c r="A485" s="419" t="str">
        <f t="shared" si="7"/>
        <v>大在サッカースポーツ少年団_11</v>
      </c>
      <c r="B485" s="307" t="s">
        <v>242</v>
      </c>
      <c r="C485" s="307" t="str">
        <f>("11")</f>
        <v>11</v>
      </c>
      <c r="D485" s="307" t="s">
        <v>862</v>
      </c>
      <c r="E485" s="307" t="s">
        <v>1850</v>
      </c>
      <c r="F485" s="307" t="s">
        <v>1851</v>
      </c>
      <c r="G485" s="307">
        <v>6</v>
      </c>
      <c r="H485" s="307" t="s">
        <v>858</v>
      </c>
      <c r="I485" s="307" t="str">
        <f>("1101180005")</f>
        <v>1101180005</v>
      </c>
    </row>
    <row r="486" spans="1:9" ht="13.5">
      <c r="A486" s="419" t="str">
        <f t="shared" si="7"/>
        <v>大在サッカースポーツ少年団_12</v>
      </c>
      <c r="B486" s="307" t="s">
        <v>242</v>
      </c>
      <c r="C486" s="307" t="str">
        <f>("12")</f>
        <v>12</v>
      </c>
      <c r="D486" s="307" t="s">
        <v>862</v>
      </c>
      <c r="E486" s="307" t="s">
        <v>1852</v>
      </c>
      <c r="F486" s="307" t="s">
        <v>1853</v>
      </c>
      <c r="G486" s="307">
        <v>6</v>
      </c>
      <c r="H486" s="307" t="s">
        <v>858</v>
      </c>
      <c r="I486" s="307" t="str">
        <f>("1102230015")</f>
        <v>1102230015</v>
      </c>
    </row>
    <row r="487" spans="1:9" ht="13.5">
      <c r="A487" s="419" t="str">
        <f t="shared" si="7"/>
        <v>大在サッカースポーツ少年団_13</v>
      </c>
      <c r="B487" s="307" t="s">
        <v>242</v>
      </c>
      <c r="C487" s="307" t="str">
        <f>("13")</f>
        <v>13</v>
      </c>
      <c r="D487" s="307" t="s">
        <v>859</v>
      </c>
      <c r="E487" s="307" t="s">
        <v>1854</v>
      </c>
      <c r="F487" s="307" t="s">
        <v>1855</v>
      </c>
      <c r="G487" s="307">
        <v>6</v>
      </c>
      <c r="H487" s="307" t="s">
        <v>858</v>
      </c>
      <c r="I487" s="307" t="str">
        <f>("1103050004")</f>
        <v>1103050004</v>
      </c>
    </row>
    <row r="488" spans="1:9" ht="13.5">
      <c r="A488" s="419" t="str">
        <f t="shared" si="7"/>
        <v>大在サッカースポーツ少年団_14</v>
      </c>
      <c r="B488" s="307" t="s">
        <v>242</v>
      </c>
      <c r="C488" s="307" t="str">
        <f>("14")</f>
        <v>14</v>
      </c>
      <c r="D488" s="307" t="s">
        <v>884</v>
      </c>
      <c r="E488" s="307" t="s">
        <v>1856</v>
      </c>
      <c r="F488" s="307" t="s">
        <v>1857</v>
      </c>
      <c r="G488" s="307">
        <v>6</v>
      </c>
      <c r="H488" s="307" t="s">
        <v>858</v>
      </c>
      <c r="I488" s="307" t="str">
        <f>("1007070289")</f>
        <v>1007070289</v>
      </c>
    </row>
    <row r="489" spans="1:9" ht="13.5">
      <c r="A489" s="419" t="str">
        <f t="shared" si="7"/>
        <v>大分トリニータＵ－１２_1</v>
      </c>
      <c r="B489" s="307" t="s">
        <v>28</v>
      </c>
      <c r="C489" s="307" t="str">
        <f>("1")</f>
        <v>1</v>
      </c>
      <c r="D489" s="307" t="s">
        <v>855</v>
      </c>
      <c r="E489" s="307" t="s">
        <v>1858</v>
      </c>
      <c r="F489" s="307" t="s">
        <v>1859</v>
      </c>
      <c r="G489" s="307">
        <v>6</v>
      </c>
      <c r="H489" s="307" t="s">
        <v>858</v>
      </c>
      <c r="I489" s="307" t="str">
        <f>("1006230099")</f>
        <v>1006230099</v>
      </c>
    </row>
    <row r="490" spans="1:9" ht="13.5">
      <c r="A490" s="419" t="str">
        <f t="shared" si="7"/>
        <v>大分トリニータＵ－１２_2</v>
      </c>
      <c r="B490" s="307" t="s">
        <v>28</v>
      </c>
      <c r="C490" s="307" t="str">
        <f>("2")</f>
        <v>2</v>
      </c>
      <c r="D490" s="307" t="s">
        <v>862</v>
      </c>
      <c r="E490" s="307" t="s">
        <v>1860</v>
      </c>
      <c r="F490" s="307" t="s">
        <v>1861</v>
      </c>
      <c r="G490" s="307">
        <v>6</v>
      </c>
      <c r="H490" s="307" t="s">
        <v>869</v>
      </c>
      <c r="I490" s="307" t="str">
        <f>("1005070174")</f>
        <v>1005070174</v>
      </c>
    </row>
    <row r="491" spans="1:9" ht="13.5">
      <c r="A491" s="419" t="str">
        <f t="shared" si="7"/>
        <v>大分トリニータＵ－１２_3</v>
      </c>
      <c r="B491" s="307" t="s">
        <v>28</v>
      </c>
      <c r="C491" s="307" t="str">
        <f>("3")</f>
        <v>3</v>
      </c>
      <c r="D491" s="307" t="s">
        <v>862</v>
      </c>
      <c r="E491" s="307" t="s">
        <v>1862</v>
      </c>
      <c r="F491" s="307" t="s">
        <v>1863</v>
      </c>
      <c r="G491" s="307">
        <v>6</v>
      </c>
      <c r="H491" s="307" t="s">
        <v>858</v>
      </c>
      <c r="I491" s="307" t="str">
        <f>("1011270031")</f>
        <v>1011270031</v>
      </c>
    </row>
    <row r="492" spans="1:9" ht="13.5">
      <c r="A492" s="419" t="str">
        <f t="shared" si="7"/>
        <v>大分トリニータＵ－１２_4</v>
      </c>
      <c r="B492" s="307" t="s">
        <v>28</v>
      </c>
      <c r="C492" s="307" t="str">
        <f>("4")</f>
        <v>4</v>
      </c>
      <c r="D492" s="307" t="s">
        <v>862</v>
      </c>
      <c r="E492" s="307" t="s">
        <v>1864</v>
      </c>
      <c r="F492" s="307" t="s">
        <v>1865</v>
      </c>
      <c r="G492" s="307">
        <v>6</v>
      </c>
      <c r="H492" s="307" t="s">
        <v>858</v>
      </c>
      <c r="I492" s="307" t="str">
        <f>("1011010101")</f>
        <v>1011010101</v>
      </c>
    </row>
    <row r="493" spans="1:9" ht="13.5">
      <c r="A493" s="419" t="str">
        <f t="shared" si="7"/>
        <v>大分トリニータＵ－１２_5</v>
      </c>
      <c r="B493" s="307" t="s">
        <v>28</v>
      </c>
      <c r="C493" s="307" t="str">
        <f>("5")</f>
        <v>5</v>
      </c>
      <c r="D493" s="307" t="s">
        <v>862</v>
      </c>
      <c r="E493" s="307" t="s">
        <v>1866</v>
      </c>
      <c r="F493" s="307" t="s">
        <v>1867</v>
      </c>
      <c r="G493" s="307">
        <v>4</v>
      </c>
      <c r="H493" s="307" t="s">
        <v>858</v>
      </c>
      <c r="I493" s="307" t="str">
        <f>("1210100169")</f>
        <v>1210100169</v>
      </c>
    </row>
    <row r="494" spans="1:9" ht="13.5">
      <c r="A494" s="419" t="str">
        <f t="shared" si="7"/>
        <v>大分トリニータＵ－１２_6</v>
      </c>
      <c r="B494" s="307" t="s">
        <v>28</v>
      </c>
      <c r="C494" s="307" t="str">
        <f>("6")</f>
        <v>6</v>
      </c>
      <c r="D494" s="307" t="s">
        <v>862</v>
      </c>
      <c r="E494" s="307" t="s">
        <v>1868</v>
      </c>
      <c r="F494" s="307" t="s">
        <v>1869</v>
      </c>
      <c r="G494" s="307">
        <v>6</v>
      </c>
      <c r="H494" s="307" t="s">
        <v>858</v>
      </c>
      <c r="I494" s="307" t="str">
        <f>("1012190018")</f>
        <v>1012190018</v>
      </c>
    </row>
    <row r="495" spans="1:9" ht="13.5">
      <c r="A495" s="419" t="str">
        <f t="shared" si="7"/>
        <v>大分トリニータＵ－１２_7</v>
      </c>
      <c r="B495" s="307" t="s">
        <v>28</v>
      </c>
      <c r="C495" s="307" t="str">
        <f>("7")</f>
        <v>7</v>
      </c>
      <c r="D495" s="307" t="s">
        <v>862</v>
      </c>
      <c r="E495" s="307" t="s">
        <v>1870</v>
      </c>
      <c r="F495" s="307" t="s">
        <v>1871</v>
      </c>
      <c r="G495" s="307">
        <v>6</v>
      </c>
      <c r="H495" s="307" t="s">
        <v>858</v>
      </c>
      <c r="I495" s="307" t="str">
        <f>("1008220034")</f>
        <v>1008220034</v>
      </c>
    </row>
    <row r="496" spans="1:9" ht="13.5">
      <c r="A496" s="419" t="str">
        <f t="shared" si="7"/>
        <v>大分トリニータＵ－１２_8</v>
      </c>
      <c r="B496" s="421" t="s">
        <v>28</v>
      </c>
      <c r="C496" s="307" t="str">
        <f>("8")</f>
        <v>8</v>
      </c>
      <c r="D496" s="307" t="s">
        <v>862</v>
      </c>
      <c r="E496" s="307" t="s">
        <v>1872</v>
      </c>
      <c r="F496" s="307" t="s">
        <v>1873</v>
      </c>
      <c r="G496" s="307">
        <v>6</v>
      </c>
      <c r="H496" s="307" t="s">
        <v>858</v>
      </c>
      <c r="I496" s="307" t="str">
        <f>("1009080055")</f>
        <v>1009080055</v>
      </c>
    </row>
    <row r="497" spans="1:9" ht="13.5">
      <c r="A497" s="419" t="str">
        <f t="shared" si="7"/>
        <v>大分トリニータＵ－１２_9</v>
      </c>
      <c r="B497" s="307" t="s">
        <v>28</v>
      </c>
      <c r="C497" s="307" t="str">
        <f>("9")</f>
        <v>9</v>
      </c>
      <c r="D497" s="307" t="s">
        <v>862</v>
      </c>
      <c r="E497" s="307" t="s">
        <v>1874</v>
      </c>
      <c r="F497" s="307" t="s">
        <v>1875</v>
      </c>
      <c r="G497" s="307">
        <v>6</v>
      </c>
      <c r="H497" s="307" t="s">
        <v>858</v>
      </c>
      <c r="I497" s="307" t="str">
        <f>("1009040110")</f>
        <v>1009040110</v>
      </c>
    </row>
    <row r="498" spans="1:10" ht="13.5">
      <c r="A498" s="419" t="str">
        <f t="shared" si="7"/>
        <v>大分トリニータＵ－１２_10</v>
      </c>
      <c r="B498" s="307" t="s">
        <v>28</v>
      </c>
      <c r="C498" s="307" t="str">
        <f>("10")</f>
        <v>10</v>
      </c>
      <c r="D498" s="307" t="s">
        <v>862</v>
      </c>
      <c r="E498" s="307" t="s">
        <v>1876</v>
      </c>
      <c r="F498" s="307" t="s">
        <v>1877</v>
      </c>
      <c r="G498" s="307">
        <v>6</v>
      </c>
      <c r="H498" s="307" t="s">
        <v>858</v>
      </c>
      <c r="I498" s="307" t="str">
        <f>("1008120092")</f>
        <v>1008120092</v>
      </c>
      <c r="J498" s="307" t="s">
        <v>15</v>
      </c>
    </row>
    <row r="499" spans="1:9" ht="13.5">
      <c r="A499" s="419" t="str">
        <f t="shared" si="7"/>
        <v>大分トリニータＵ－１２_11</v>
      </c>
      <c r="B499" s="307" t="s">
        <v>28</v>
      </c>
      <c r="C499" s="307" t="str">
        <f>("11")</f>
        <v>11</v>
      </c>
      <c r="D499" s="307" t="s">
        <v>862</v>
      </c>
      <c r="E499" s="307" t="s">
        <v>1878</v>
      </c>
      <c r="F499" s="307" t="s">
        <v>1879</v>
      </c>
      <c r="G499" s="307">
        <v>6</v>
      </c>
      <c r="H499" s="307" t="s">
        <v>858</v>
      </c>
      <c r="I499" s="307" t="str">
        <f>("1012290047")</f>
        <v>1012290047</v>
      </c>
    </row>
    <row r="500" spans="1:9" ht="13.5">
      <c r="A500" s="419" t="str">
        <f t="shared" si="7"/>
        <v>大分トリニータＵ－１２_12</v>
      </c>
      <c r="B500" s="307" t="s">
        <v>28</v>
      </c>
      <c r="C500" s="307" t="str">
        <f>("12")</f>
        <v>12</v>
      </c>
      <c r="D500" s="307" t="s">
        <v>862</v>
      </c>
      <c r="E500" s="307" t="s">
        <v>1880</v>
      </c>
      <c r="F500" s="307" t="s">
        <v>1881</v>
      </c>
      <c r="G500" s="307">
        <v>6</v>
      </c>
      <c r="H500" s="307" t="s">
        <v>858</v>
      </c>
      <c r="I500" s="307" t="str">
        <f>("1006190038")</f>
        <v>1006190038</v>
      </c>
    </row>
    <row r="501" spans="1:9" ht="13.5">
      <c r="A501" s="419" t="str">
        <f t="shared" si="7"/>
        <v>大分トリニータＵ－１２_13</v>
      </c>
      <c r="B501" s="307" t="s">
        <v>28</v>
      </c>
      <c r="C501" s="307" t="str">
        <f>("13")</f>
        <v>13</v>
      </c>
      <c r="D501" s="307" t="s">
        <v>862</v>
      </c>
      <c r="E501" s="307" t="s">
        <v>1882</v>
      </c>
      <c r="F501" s="307" t="s">
        <v>1883</v>
      </c>
      <c r="G501" s="307">
        <v>6</v>
      </c>
      <c r="H501" s="307" t="s">
        <v>858</v>
      </c>
      <c r="I501" s="307" t="str">
        <f>("1011010171")</f>
        <v>1011010171</v>
      </c>
    </row>
    <row r="502" spans="1:9" ht="13.5">
      <c r="A502" s="419" t="str">
        <f t="shared" si="7"/>
        <v>大分トリニータＵ－１２_14</v>
      </c>
      <c r="B502" s="307" t="s">
        <v>28</v>
      </c>
      <c r="C502" s="307" t="str">
        <f>("14")</f>
        <v>14</v>
      </c>
      <c r="D502" s="307" t="s">
        <v>884</v>
      </c>
      <c r="E502" s="307" t="s">
        <v>1884</v>
      </c>
      <c r="F502" s="307" t="s">
        <v>1885</v>
      </c>
      <c r="G502" s="307">
        <v>6</v>
      </c>
      <c r="H502" s="307" t="s">
        <v>858</v>
      </c>
      <c r="I502" s="307" t="str">
        <f>("1005170122")</f>
        <v>1005170122</v>
      </c>
    </row>
    <row r="503" spans="1:9" ht="13.5">
      <c r="A503" s="419" t="str">
        <f t="shared" si="7"/>
        <v>大分トリニータＵ－１２_15</v>
      </c>
      <c r="B503" s="307" t="s">
        <v>28</v>
      </c>
      <c r="C503" s="307" t="str">
        <f>("15")</f>
        <v>15</v>
      </c>
      <c r="D503" s="307" t="s">
        <v>884</v>
      </c>
      <c r="E503" s="307" t="s">
        <v>1886</v>
      </c>
      <c r="F503" s="307" t="s">
        <v>1887</v>
      </c>
      <c r="G503" s="307">
        <v>5</v>
      </c>
      <c r="H503" s="307" t="s">
        <v>858</v>
      </c>
      <c r="I503" s="307" t="str">
        <f>("1106170133")</f>
        <v>1106170133</v>
      </c>
    </row>
    <row r="504" spans="1:9" ht="13.5">
      <c r="A504" s="419" t="str">
        <f t="shared" si="7"/>
        <v>大分トリニータＵ－１２_16</v>
      </c>
      <c r="B504" s="307" t="s">
        <v>28</v>
      </c>
      <c r="C504" s="307" t="str">
        <f>("16")</f>
        <v>16</v>
      </c>
      <c r="D504" s="307" t="s">
        <v>862</v>
      </c>
      <c r="E504" s="307" t="s">
        <v>1888</v>
      </c>
      <c r="F504" s="307" t="s">
        <v>1889</v>
      </c>
      <c r="G504" s="307">
        <v>6</v>
      </c>
      <c r="H504" s="307" t="s">
        <v>858</v>
      </c>
      <c r="I504" s="307" t="str">
        <f>("1010290095")</f>
        <v>1010290095</v>
      </c>
    </row>
    <row r="505" spans="1:9" ht="13.5">
      <c r="A505" s="419" t="str">
        <f t="shared" si="7"/>
        <v>碩田サッカースポーツ少年団_1</v>
      </c>
      <c r="B505" s="307" t="s">
        <v>262</v>
      </c>
      <c r="C505" s="307" t="str">
        <f>("1")</f>
        <v>1</v>
      </c>
      <c r="D505" s="307" t="s">
        <v>855</v>
      </c>
      <c r="E505" s="307" t="s">
        <v>1890</v>
      </c>
      <c r="F505" s="307" t="s">
        <v>1891</v>
      </c>
      <c r="G505" s="307">
        <v>5</v>
      </c>
      <c r="H505" s="307" t="s">
        <v>858</v>
      </c>
      <c r="I505" s="307" t="str">
        <f>("1108170045")</f>
        <v>1108170045</v>
      </c>
    </row>
    <row r="506" spans="1:9" ht="13.5">
      <c r="A506" s="419" t="str">
        <f t="shared" si="7"/>
        <v>碩田サッカースポーツ少年団_2</v>
      </c>
      <c r="B506" s="307" t="s">
        <v>262</v>
      </c>
      <c r="C506" s="307" t="str">
        <f>("2")</f>
        <v>2</v>
      </c>
      <c r="D506" s="307" t="s">
        <v>859</v>
      </c>
      <c r="E506" s="307" t="s">
        <v>1892</v>
      </c>
      <c r="F506" s="307" t="s">
        <v>1893</v>
      </c>
      <c r="G506" s="307">
        <v>5</v>
      </c>
      <c r="H506" s="307" t="s">
        <v>858</v>
      </c>
      <c r="I506" s="307" t="str">
        <f>("1112310087")</f>
        <v>1112310087</v>
      </c>
    </row>
    <row r="507" spans="1:9" ht="13.5">
      <c r="A507" s="419" t="str">
        <f t="shared" si="7"/>
        <v>碩田サッカースポーツ少年団_3</v>
      </c>
      <c r="B507" s="307" t="s">
        <v>262</v>
      </c>
      <c r="C507" s="307" t="str">
        <f>("3")</f>
        <v>3</v>
      </c>
      <c r="D507" s="307" t="s">
        <v>884</v>
      </c>
      <c r="E507" s="307" t="s">
        <v>1894</v>
      </c>
      <c r="F507" s="307" t="s">
        <v>1895</v>
      </c>
      <c r="G507" s="307">
        <v>3</v>
      </c>
      <c r="H507" s="307" t="s">
        <v>869</v>
      </c>
      <c r="I507" s="307" t="str">
        <f>("1310150009")</f>
        <v>1310150009</v>
      </c>
    </row>
    <row r="508" spans="1:9" ht="13.5">
      <c r="A508" s="419" t="str">
        <f t="shared" si="7"/>
        <v>碩田サッカースポーツ少年団_4</v>
      </c>
      <c r="B508" s="307" t="s">
        <v>262</v>
      </c>
      <c r="C508" s="307" t="str">
        <f>("4")</f>
        <v>4</v>
      </c>
      <c r="D508" s="307" t="s">
        <v>859</v>
      </c>
      <c r="E508" s="307" t="s">
        <v>1896</v>
      </c>
      <c r="F508" s="307" t="s">
        <v>1897</v>
      </c>
      <c r="G508" s="307">
        <v>4</v>
      </c>
      <c r="H508" s="307" t="s">
        <v>869</v>
      </c>
      <c r="I508" s="307" t="str">
        <f>("1212230018")</f>
        <v>1212230018</v>
      </c>
    </row>
    <row r="509" spans="1:9" ht="13.5">
      <c r="A509" s="419" t="str">
        <f t="shared" si="7"/>
        <v>碩田サッカースポーツ少年団_5</v>
      </c>
      <c r="B509" s="307" t="s">
        <v>262</v>
      </c>
      <c r="C509" s="307" t="str">
        <f>("5")</f>
        <v>5</v>
      </c>
      <c r="D509" s="307" t="s">
        <v>884</v>
      </c>
      <c r="E509" s="307" t="s">
        <v>1898</v>
      </c>
      <c r="F509" s="307" t="s">
        <v>1899</v>
      </c>
      <c r="G509" s="307">
        <v>4</v>
      </c>
      <c r="H509" s="307" t="s">
        <v>858</v>
      </c>
      <c r="I509" s="307" t="str">
        <f>("1212240019")</f>
        <v>1212240019</v>
      </c>
    </row>
    <row r="510" spans="1:9" ht="13.5">
      <c r="A510" s="419" t="str">
        <f t="shared" si="7"/>
        <v>碩田サッカースポーツ少年団_6</v>
      </c>
      <c r="B510" s="307" t="s">
        <v>262</v>
      </c>
      <c r="C510" s="307" t="str">
        <f>("6")</f>
        <v>6</v>
      </c>
      <c r="D510" s="307" t="s">
        <v>862</v>
      </c>
      <c r="E510" s="307" t="s">
        <v>1900</v>
      </c>
      <c r="F510" s="307" t="s">
        <v>1901</v>
      </c>
      <c r="G510" s="307">
        <v>4</v>
      </c>
      <c r="H510" s="307" t="s">
        <v>858</v>
      </c>
      <c r="I510" s="307" t="str">
        <f>("1207250022")</f>
        <v>1207250022</v>
      </c>
    </row>
    <row r="511" spans="1:10" ht="13.5">
      <c r="A511" s="419" t="str">
        <f t="shared" si="7"/>
        <v>碩田サッカースポーツ少年団_7</v>
      </c>
      <c r="B511" s="307" t="s">
        <v>262</v>
      </c>
      <c r="C511" s="307" t="str">
        <f>("7")</f>
        <v>7</v>
      </c>
      <c r="D511" s="307" t="s">
        <v>884</v>
      </c>
      <c r="E511" s="307" t="s">
        <v>1902</v>
      </c>
      <c r="F511" s="307" t="s">
        <v>1903</v>
      </c>
      <c r="G511" s="307">
        <v>6</v>
      </c>
      <c r="H511" s="307" t="s">
        <v>858</v>
      </c>
      <c r="I511" s="307" t="str">
        <f>("1101210177")</f>
        <v>1101210177</v>
      </c>
      <c r="J511" s="307" t="s">
        <v>15</v>
      </c>
    </row>
    <row r="512" spans="1:9" ht="13.5">
      <c r="A512" s="419" t="str">
        <f t="shared" si="7"/>
        <v>碩田サッカースポーツ少年団_8</v>
      </c>
      <c r="B512" s="307" t="s">
        <v>262</v>
      </c>
      <c r="C512" s="307" t="str">
        <f>("8")</f>
        <v>8</v>
      </c>
      <c r="D512" s="307" t="s">
        <v>884</v>
      </c>
      <c r="E512" s="307" t="s">
        <v>1904</v>
      </c>
      <c r="F512" s="307" t="s">
        <v>1905</v>
      </c>
      <c r="G512" s="307">
        <v>6</v>
      </c>
      <c r="H512" s="307" t="s">
        <v>869</v>
      </c>
      <c r="I512" s="307" t="str">
        <f>("1009100152")</f>
        <v>1009100152</v>
      </c>
    </row>
    <row r="513" spans="1:9" ht="13.5">
      <c r="A513" s="419" t="str">
        <f aca="true" t="shared" si="8" ref="A513:A576">CONCATENATE(B513,"_",C513)</f>
        <v>碩田サッカースポーツ少年団_9</v>
      </c>
      <c r="B513" s="307" t="s">
        <v>262</v>
      </c>
      <c r="C513" s="307" t="str">
        <f>("9")</f>
        <v>9</v>
      </c>
      <c r="D513" s="307" t="s">
        <v>884</v>
      </c>
      <c r="E513" s="307" t="s">
        <v>1906</v>
      </c>
      <c r="F513" s="307" t="s">
        <v>1907</v>
      </c>
      <c r="G513" s="307">
        <v>6</v>
      </c>
      <c r="H513" s="307" t="s">
        <v>858</v>
      </c>
      <c r="I513" s="307" t="str">
        <f>("1008210022")</f>
        <v>1008210022</v>
      </c>
    </row>
    <row r="514" spans="1:9" ht="13.5">
      <c r="A514" s="419" t="str">
        <f t="shared" si="8"/>
        <v>碩田サッカースポーツ少年団_10</v>
      </c>
      <c r="B514" s="307" t="s">
        <v>262</v>
      </c>
      <c r="C514" s="307" t="str">
        <f>("10")</f>
        <v>10</v>
      </c>
      <c r="D514" s="307" t="s">
        <v>884</v>
      </c>
      <c r="E514" s="307" t="s">
        <v>1908</v>
      </c>
      <c r="F514" s="307" t="s">
        <v>1909</v>
      </c>
      <c r="G514" s="307">
        <v>6</v>
      </c>
      <c r="H514" s="307" t="s">
        <v>858</v>
      </c>
      <c r="I514" s="307" t="str">
        <f>("1010150016")</f>
        <v>1010150016</v>
      </c>
    </row>
    <row r="515" spans="1:9" ht="13.5">
      <c r="A515" s="419" t="str">
        <f t="shared" si="8"/>
        <v>碩田サッカースポーツ少年団_11</v>
      </c>
      <c r="B515" s="307" t="s">
        <v>262</v>
      </c>
      <c r="C515" s="307" t="str">
        <f>("11")</f>
        <v>11</v>
      </c>
      <c r="D515" s="307" t="s">
        <v>862</v>
      </c>
      <c r="E515" s="307" t="s">
        <v>1910</v>
      </c>
      <c r="F515" s="307" t="s">
        <v>1911</v>
      </c>
      <c r="G515" s="307">
        <v>6</v>
      </c>
      <c r="H515" s="307" t="s">
        <v>858</v>
      </c>
      <c r="I515" s="307" t="str">
        <f>("1005310244")</f>
        <v>1005310244</v>
      </c>
    </row>
    <row r="516" spans="1:9" ht="13.5">
      <c r="A516" s="419" t="str">
        <f t="shared" si="8"/>
        <v>碩田サッカースポーツ少年団_12</v>
      </c>
      <c r="B516" s="307" t="s">
        <v>262</v>
      </c>
      <c r="C516" s="307" t="str">
        <f>("12")</f>
        <v>12</v>
      </c>
      <c r="D516" s="307" t="s">
        <v>859</v>
      </c>
      <c r="E516" s="307" t="s">
        <v>1912</v>
      </c>
      <c r="F516" s="307" t="s">
        <v>1913</v>
      </c>
      <c r="G516" s="307">
        <v>4</v>
      </c>
      <c r="H516" s="307" t="s">
        <v>858</v>
      </c>
      <c r="I516" s="307" t="str">
        <f>("1211170058")</f>
        <v>1211170058</v>
      </c>
    </row>
    <row r="517" spans="1:9" ht="13.5">
      <c r="A517" s="419" t="str">
        <f t="shared" si="8"/>
        <v>碩田サッカースポーツ少年団_13</v>
      </c>
      <c r="B517" s="307" t="s">
        <v>262</v>
      </c>
      <c r="C517" s="307" t="str">
        <f>("13")</f>
        <v>13</v>
      </c>
      <c r="D517" s="307" t="s">
        <v>862</v>
      </c>
      <c r="E517" s="307" t="s">
        <v>1914</v>
      </c>
      <c r="F517" s="307" t="s">
        <v>1915</v>
      </c>
      <c r="G517" s="307">
        <v>4</v>
      </c>
      <c r="H517" s="307" t="s">
        <v>858</v>
      </c>
      <c r="I517" s="307" t="str">
        <f>("1212180029")</f>
        <v>1212180029</v>
      </c>
    </row>
    <row r="518" spans="1:9" ht="13.5">
      <c r="A518" s="419" t="str">
        <f t="shared" si="8"/>
        <v>碩田サッカースポーツ少年団_14</v>
      </c>
      <c r="B518" s="307" t="s">
        <v>262</v>
      </c>
      <c r="C518" s="307" t="str">
        <f>("14")</f>
        <v>14</v>
      </c>
      <c r="D518" s="307" t="s">
        <v>862</v>
      </c>
      <c r="E518" s="307" t="s">
        <v>1916</v>
      </c>
      <c r="F518" s="307" t="s">
        <v>1917</v>
      </c>
      <c r="G518" s="307">
        <v>4</v>
      </c>
      <c r="H518" s="307" t="s">
        <v>858</v>
      </c>
      <c r="I518" s="307" t="str">
        <f>("1204100144")</f>
        <v>1204100144</v>
      </c>
    </row>
    <row r="519" spans="1:9" ht="13.5">
      <c r="A519" s="419" t="str">
        <f t="shared" si="8"/>
        <v>碩田サッカースポーツ少年団_15</v>
      </c>
      <c r="B519" s="307" t="s">
        <v>262</v>
      </c>
      <c r="C519" s="307" t="str">
        <f>("15")</f>
        <v>15</v>
      </c>
      <c r="D519" s="307" t="s">
        <v>884</v>
      </c>
      <c r="E519" s="307" t="s">
        <v>1918</v>
      </c>
      <c r="F519" s="307" t="s">
        <v>1919</v>
      </c>
      <c r="G519" s="307">
        <v>3</v>
      </c>
      <c r="H519" s="307" t="s">
        <v>858</v>
      </c>
      <c r="I519" s="307" t="str">
        <f>("1210090023")</f>
        <v>1210090023</v>
      </c>
    </row>
    <row r="520" spans="1:9" ht="13.5">
      <c r="A520" s="419" t="str">
        <f t="shared" si="8"/>
        <v>碩田サッカースポーツ少年団_16</v>
      </c>
      <c r="B520" s="307" t="s">
        <v>262</v>
      </c>
      <c r="C520" s="307" t="str">
        <f>("16")</f>
        <v>16</v>
      </c>
      <c r="D520" s="307" t="s">
        <v>855</v>
      </c>
      <c r="E520" s="307" t="s">
        <v>1920</v>
      </c>
      <c r="F520" s="307" t="s">
        <v>1921</v>
      </c>
      <c r="G520" s="307">
        <v>4</v>
      </c>
      <c r="H520" s="307" t="s">
        <v>858</v>
      </c>
      <c r="I520" s="307" t="str">
        <f>("1301210041")</f>
        <v>1301210041</v>
      </c>
    </row>
    <row r="521" spans="1:9" ht="13.5">
      <c r="A521" s="419" t="str">
        <f t="shared" si="8"/>
        <v>春日ＳＳＳ_1</v>
      </c>
      <c r="B521" s="307" t="s">
        <v>250</v>
      </c>
      <c r="C521" s="307" t="str">
        <f>("1")</f>
        <v>1</v>
      </c>
      <c r="D521" s="307" t="s">
        <v>855</v>
      </c>
      <c r="E521" s="307" t="s">
        <v>1922</v>
      </c>
      <c r="F521" s="307" t="s">
        <v>1923</v>
      </c>
      <c r="G521" s="307">
        <v>6</v>
      </c>
      <c r="H521" s="307" t="s">
        <v>858</v>
      </c>
      <c r="I521" s="307" t="str">
        <f>("1012160097")</f>
        <v>1012160097</v>
      </c>
    </row>
    <row r="522" spans="1:9" ht="13.5">
      <c r="A522" s="419" t="str">
        <f t="shared" si="8"/>
        <v>春日ＳＳＳ_2</v>
      </c>
      <c r="B522" s="307" t="s">
        <v>250</v>
      </c>
      <c r="C522" s="307" t="str">
        <f>("2")</f>
        <v>2</v>
      </c>
      <c r="D522" s="307" t="s">
        <v>859</v>
      </c>
      <c r="E522" s="307" t="s">
        <v>1924</v>
      </c>
      <c r="F522" s="307" t="s">
        <v>1925</v>
      </c>
      <c r="G522" s="307">
        <v>6</v>
      </c>
      <c r="H522" s="307" t="s">
        <v>858</v>
      </c>
      <c r="I522" s="307" t="str">
        <f>("1012030087")</f>
        <v>1012030087</v>
      </c>
    </row>
    <row r="523" spans="1:9" ht="13.5">
      <c r="A523" s="419" t="str">
        <f t="shared" si="8"/>
        <v>春日ＳＳＳ_3</v>
      </c>
      <c r="B523" s="307" t="s">
        <v>250</v>
      </c>
      <c r="C523" s="307" t="str">
        <f>("3")</f>
        <v>3</v>
      </c>
      <c r="D523" s="307" t="s">
        <v>859</v>
      </c>
      <c r="E523" s="307" t="s">
        <v>1926</v>
      </c>
      <c r="F523" s="307" t="s">
        <v>1927</v>
      </c>
      <c r="G523" s="307">
        <v>6</v>
      </c>
      <c r="H523" s="307" t="s">
        <v>858</v>
      </c>
      <c r="I523" s="307" t="str">
        <f>("1102070147")</f>
        <v>1102070147</v>
      </c>
    </row>
    <row r="524" spans="1:9" ht="13.5">
      <c r="A524" s="419" t="str">
        <f t="shared" si="8"/>
        <v>春日ＳＳＳ_4</v>
      </c>
      <c r="B524" s="307" t="s">
        <v>250</v>
      </c>
      <c r="C524" s="307" t="str">
        <f>("4")</f>
        <v>4</v>
      </c>
      <c r="D524" s="307" t="s">
        <v>862</v>
      </c>
      <c r="E524" s="307" t="s">
        <v>1928</v>
      </c>
      <c r="F524" s="307" t="s">
        <v>1929</v>
      </c>
      <c r="G524" s="307">
        <v>4</v>
      </c>
      <c r="H524" s="307" t="s">
        <v>858</v>
      </c>
      <c r="I524" s="307" t="str">
        <f>("1209210033")</f>
        <v>1209210033</v>
      </c>
    </row>
    <row r="525" spans="1:9" ht="13.5">
      <c r="A525" s="419" t="str">
        <f t="shared" si="8"/>
        <v>春日ＳＳＳ_5</v>
      </c>
      <c r="B525" s="307" t="s">
        <v>250</v>
      </c>
      <c r="C525" s="307" t="str">
        <f>("5")</f>
        <v>5</v>
      </c>
      <c r="D525" s="307" t="s">
        <v>859</v>
      </c>
      <c r="E525" s="307" t="s">
        <v>1930</v>
      </c>
      <c r="F525" s="307" t="s">
        <v>1931</v>
      </c>
      <c r="G525" s="307">
        <v>4</v>
      </c>
      <c r="H525" s="307" t="s">
        <v>858</v>
      </c>
      <c r="I525" s="307" t="str">
        <f>("1302030010")</f>
        <v>1302030010</v>
      </c>
    </row>
    <row r="526" spans="1:9" ht="13.5">
      <c r="A526" s="419" t="str">
        <f t="shared" si="8"/>
        <v>春日ＳＳＳ_6</v>
      </c>
      <c r="B526" s="307" t="s">
        <v>250</v>
      </c>
      <c r="C526" s="307" t="str">
        <f>("6")</f>
        <v>6</v>
      </c>
      <c r="D526" s="307" t="s">
        <v>862</v>
      </c>
      <c r="E526" s="307" t="s">
        <v>1932</v>
      </c>
      <c r="F526" s="307" t="s">
        <v>1933</v>
      </c>
      <c r="G526" s="307">
        <v>4</v>
      </c>
      <c r="H526" s="307" t="s">
        <v>858</v>
      </c>
      <c r="I526" s="307" t="str">
        <f>("1206010125")</f>
        <v>1206010125</v>
      </c>
    </row>
    <row r="527" spans="1:9" ht="13.5">
      <c r="A527" s="419" t="str">
        <f t="shared" si="8"/>
        <v>春日ＳＳＳ_7</v>
      </c>
      <c r="B527" s="307" t="s">
        <v>250</v>
      </c>
      <c r="C527" s="307" t="str">
        <f>("7")</f>
        <v>7</v>
      </c>
      <c r="D527" s="307" t="s">
        <v>884</v>
      </c>
      <c r="E527" s="307" t="s">
        <v>1934</v>
      </c>
      <c r="F527" s="307" t="s">
        <v>1935</v>
      </c>
      <c r="G527" s="307">
        <v>6</v>
      </c>
      <c r="H527" s="307" t="s">
        <v>869</v>
      </c>
      <c r="I527" s="307" t="str">
        <f>("1004040147")</f>
        <v>1004040147</v>
      </c>
    </row>
    <row r="528" spans="1:9" ht="13.5">
      <c r="A528" s="419" t="str">
        <f t="shared" si="8"/>
        <v>春日ＳＳＳ_8</v>
      </c>
      <c r="B528" s="307" t="s">
        <v>250</v>
      </c>
      <c r="C528" s="307" t="str">
        <f>("8")</f>
        <v>8</v>
      </c>
      <c r="D528" s="307" t="s">
        <v>859</v>
      </c>
      <c r="E528" s="307" t="s">
        <v>1936</v>
      </c>
      <c r="F528" s="307" t="s">
        <v>1937</v>
      </c>
      <c r="G528" s="307">
        <v>5</v>
      </c>
      <c r="H528" s="307" t="s">
        <v>858</v>
      </c>
      <c r="I528" s="307" t="str">
        <f>("1110300063")</f>
        <v>1110300063</v>
      </c>
    </row>
    <row r="529" spans="1:9" ht="13.5">
      <c r="A529" s="419" t="str">
        <f t="shared" si="8"/>
        <v>春日ＳＳＳ_9</v>
      </c>
      <c r="B529" s="307" t="s">
        <v>250</v>
      </c>
      <c r="C529" s="307" t="str">
        <f>("9")</f>
        <v>9</v>
      </c>
      <c r="D529" s="307" t="s">
        <v>862</v>
      </c>
      <c r="E529" s="307" t="s">
        <v>1938</v>
      </c>
      <c r="F529" s="307" t="s">
        <v>1939</v>
      </c>
      <c r="G529" s="307">
        <v>6</v>
      </c>
      <c r="H529" s="307" t="s">
        <v>858</v>
      </c>
      <c r="I529" s="307" t="str">
        <f>("1004290053")</f>
        <v>1004290053</v>
      </c>
    </row>
    <row r="530" spans="1:10" ht="13.5">
      <c r="A530" s="419" t="str">
        <f t="shared" si="8"/>
        <v>春日ＳＳＳ_10</v>
      </c>
      <c r="B530" s="307" t="s">
        <v>250</v>
      </c>
      <c r="C530" s="307" t="str">
        <f>("10")</f>
        <v>10</v>
      </c>
      <c r="D530" s="307" t="s">
        <v>862</v>
      </c>
      <c r="E530" s="307" t="s">
        <v>1940</v>
      </c>
      <c r="F530" s="307" t="s">
        <v>1941</v>
      </c>
      <c r="G530" s="307">
        <v>6</v>
      </c>
      <c r="H530" s="307" t="s">
        <v>858</v>
      </c>
      <c r="I530" s="307" t="str">
        <f>("1004100077")</f>
        <v>1004100077</v>
      </c>
      <c r="J530" s="307" t="s">
        <v>15</v>
      </c>
    </row>
    <row r="531" spans="1:9" ht="13.5">
      <c r="A531" s="419" t="str">
        <f t="shared" si="8"/>
        <v>春日ＳＳＳ_11</v>
      </c>
      <c r="B531" s="307" t="s">
        <v>250</v>
      </c>
      <c r="C531" s="307" t="str">
        <f>("11")</f>
        <v>11</v>
      </c>
      <c r="D531" s="307" t="s">
        <v>862</v>
      </c>
      <c r="E531" s="307" t="s">
        <v>1942</v>
      </c>
      <c r="F531" s="307" t="s">
        <v>1943</v>
      </c>
      <c r="G531" s="307">
        <v>4</v>
      </c>
      <c r="H531" s="307" t="s">
        <v>858</v>
      </c>
      <c r="I531" s="307" t="str">
        <f>("1210070022")</f>
        <v>1210070022</v>
      </c>
    </row>
    <row r="532" spans="1:9" ht="13.5">
      <c r="A532" s="419" t="str">
        <f t="shared" si="8"/>
        <v>春日ＳＳＳ_12</v>
      </c>
      <c r="B532" s="307" t="s">
        <v>250</v>
      </c>
      <c r="C532" s="307" t="str">
        <f>("12")</f>
        <v>12</v>
      </c>
      <c r="D532" s="307" t="s">
        <v>884</v>
      </c>
      <c r="E532" s="307" t="s">
        <v>1944</v>
      </c>
      <c r="F532" s="307" t="s">
        <v>1945</v>
      </c>
      <c r="G532" s="307">
        <v>3</v>
      </c>
      <c r="H532" s="307" t="s">
        <v>869</v>
      </c>
      <c r="I532" s="307" t="str">
        <f>("1309130026")</f>
        <v>1309130026</v>
      </c>
    </row>
    <row r="533" spans="1:9" ht="13.5">
      <c r="A533" s="419" t="str">
        <f t="shared" si="8"/>
        <v>春日ＳＳＳ_13</v>
      </c>
      <c r="B533" s="307" t="s">
        <v>250</v>
      </c>
      <c r="C533" s="307" t="str">
        <f>("13")</f>
        <v>13</v>
      </c>
      <c r="D533" s="307" t="s">
        <v>884</v>
      </c>
      <c r="E533" s="307" t="s">
        <v>1946</v>
      </c>
      <c r="F533" s="307" t="s">
        <v>1947</v>
      </c>
      <c r="G533" s="307">
        <v>2</v>
      </c>
      <c r="H533" s="307" t="s">
        <v>858</v>
      </c>
      <c r="I533" s="307" t="str">
        <f>("1409050024")</f>
        <v>1409050024</v>
      </c>
    </row>
    <row r="534" spans="1:9" ht="13.5">
      <c r="A534" s="419" t="str">
        <f t="shared" si="8"/>
        <v>春日ＳＳＳ_14</v>
      </c>
      <c r="B534" s="307" t="s">
        <v>250</v>
      </c>
      <c r="C534" s="307" t="str">
        <f>("14")</f>
        <v>14</v>
      </c>
      <c r="D534" s="307" t="s">
        <v>884</v>
      </c>
      <c r="E534" s="307" t="s">
        <v>1948</v>
      </c>
      <c r="F534" s="307" t="s">
        <v>1949</v>
      </c>
      <c r="G534" s="307">
        <v>2</v>
      </c>
      <c r="H534" s="307" t="s">
        <v>858</v>
      </c>
      <c r="I534" s="307" t="str">
        <f>("1408020007")</f>
        <v>1408020007</v>
      </c>
    </row>
    <row r="535" spans="1:9" ht="13.5">
      <c r="A535" s="419" t="str">
        <f t="shared" si="8"/>
        <v>春日ＳＳＳ_16</v>
      </c>
      <c r="B535" s="307" t="s">
        <v>250</v>
      </c>
      <c r="C535" s="307" t="str">
        <f>("16")</f>
        <v>16</v>
      </c>
      <c r="D535" s="307" t="s">
        <v>855</v>
      </c>
      <c r="E535" s="307" t="s">
        <v>1950</v>
      </c>
      <c r="F535" s="307" t="s">
        <v>1951</v>
      </c>
      <c r="G535" s="307">
        <v>4</v>
      </c>
      <c r="H535" s="307" t="s">
        <v>858</v>
      </c>
      <c r="I535" s="307" t="str">
        <f>("1209040063")</f>
        <v>1209040063</v>
      </c>
    </row>
    <row r="536" spans="1:9" ht="13.5">
      <c r="A536" s="419" t="str">
        <f t="shared" si="8"/>
        <v>南大分サッカー少年団_1</v>
      </c>
      <c r="B536" s="307" t="s">
        <v>277</v>
      </c>
      <c r="C536" s="307" t="str">
        <f>("1")</f>
        <v>1</v>
      </c>
      <c r="D536" s="307" t="s">
        <v>855</v>
      </c>
      <c r="E536" s="307" t="s">
        <v>1952</v>
      </c>
      <c r="F536" s="307" t="s">
        <v>1953</v>
      </c>
      <c r="G536" s="307">
        <v>6</v>
      </c>
      <c r="H536" s="307" t="s">
        <v>858</v>
      </c>
      <c r="I536" s="307" t="str">
        <f>("1102040127")</f>
        <v>1102040127</v>
      </c>
    </row>
    <row r="537" spans="1:9" ht="13.5">
      <c r="A537" s="419" t="str">
        <f t="shared" si="8"/>
        <v>南大分サッカー少年団_2</v>
      </c>
      <c r="B537" s="307" t="s">
        <v>277</v>
      </c>
      <c r="C537" s="307" t="str">
        <f>("2")</f>
        <v>2</v>
      </c>
      <c r="D537" s="307" t="s">
        <v>859</v>
      </c>
      <c r="E537" s="307" t="s">
        <v>1954</v>
      </c>
      <c r="F537" s="307" t="s">
        <v>1955</v>
      </c>
      <c r="G537" s="307">
        <v>6</v>
      </c>
      <c r="H537" s="307" t="s">
        <v>858</v>
      </c>
      <c r="I537" s="307" t="str">
        <f>("1005240081")</f>
        <v>1005240081</v>
      </c>
    </row>
    <row r="538" spans="1:9" ht="13.5">
      <c r="A538" s="419" t="str">
        <f t="shared" si="8"/>
        <v>南大分サッカー少年団_3</v>
      </c>
      <c r="B538" s="307" t="s">
        <v>277</v>
      </c>
      <c r="C538" s="307" t="str">
        <f>("3")</f>
        <v>3</v>
      </c>
      <c r="D538" s="307" t="s">
        <v>859</v>
      </c>
      <c r="E538" s="307" t="s">
        <v>1956</v>
      </c>
      <c r="F538" s="307" t="s">
        <v>1957</v>
      </c>
      <c r="G538" s="307">
        <v>5</v>
      </c>
      <c r="H538" s="307" t="s">
        <v>858</v>
      </c>
      <c r="I538" s="307" t="str">
        <f>("1107040146")</f>
        <v>1107040146</v>
      </c>
    </row>
    <row r="539" spans="1:9" ht="13.5">
      <c r="A539" s="419" t="str">
        <f t="shared" si="8"/>
        <v>南大分サッカー少年団_4</v>
      </c>
      <c r="B539" s="307" t="s">
        <v>277</v>
      </c>
      <c r="C539" s="307" t="str">
        <f>("4")</f>
        <v>4</v>
      </c>
      <c r="D539" s="307" t="s">
        <v>862</v>
      </c>
      <c r="E539" s="307" t="s">
        <v>1958</v>
      </c>
      <c r="F539" s="307" t="s">
        <v>1959</v>
      </c>
      <c r="G539" s="307">
        <v>5</v>
      </c>
      <c r="H539" s="307" t="s">
        <v>858</v>
      </c>
      <c r="I539" s="307" t="str">
        <f>("1106210130")</f>
        <v>1106210130</v>
      </c>
    </row>
    <row r="540" spans="1:9" ht="13.5">
      <c r="A540" s="419" t="str">
        <f t="shared" si="8"/>
        <v>南大分サッカー少年団_5</v>
      </c>
      <c r="B540" s="307" t="s">
        <v>277</v>
      </c>
      <c r="C540" s="307" t="str">
        <f>("5")</f>
        <v>5</v>
      </c>
      <c r="D540" s="307" t="s">
        <v>862</v>
      </c>
      <c r="E540" s="307" t="s">
        <v>1960</v>
      </c>
      <c r="F540" s="307" t="s">
        <v>1961</v>
      </c>
      <c r="G540" s="307">
        <v>6</v>
      </c>
      <c r="H540" s="307" t="s">
        <v>858</v>
      </c>
      <c r="I540" s="307" t="str">
        <f>("1006090013")</f>
        <v>1006090013</v>
      </c>
    </row>
    <row r="541" spans="1:9" ht="13.5">
      <c r="A541" s="419" t="str">
        <f t="shared" si="8"/>
        <v>南大分サッカー少年団_6</v>
      </c>
      <c r="B541" s="307" t="s">
        <v>277</v>
      </c>
      <c r="C541" s="307" t="str">
        <f>("6")</f>
        <v>6</v>
      </c>
      <c r="D541" s="307" t="s">
        <v>884</v>
      </c>
      <c r="E541" s="307" t="s">
        <v>1962</v>
      </c>
      <c r="F541" s="307" t="s">
        <v>1963</v>
      </c>
      <c r="G541" s="307">
        <v>5</v>
      </c>
      <c r="H541" s="307" t="s">
        <v>858</v>
      </c>
      <c r="I541" s="307" t="str">
        <f>("1202050059")</f>
        <v>1202050059</v>
      </c>
    </row>
    <row r="542" spans="1:9" ht="13.5">
      <c r="A542" s="419" t="str">
        <f t="shared" si="8"/>
        <v>南大分サッカー少年団_7</v>
      </c>
      <c r="B542" s="307" t="s">
        <v>277</v>
      </c>
      <c r="C542" s="307" t="str">
        <f>("7")</f>
        <v>7</v>
      </c>
      <c r="D542" s="307" t="s">
        <v>884</v>
      </c>
      <c r="E542" s="307" t="s">
        <v>1964</v>
      </c>
      <c r="F542" s="307" t="s">
        <v>1965</v>
      </c>
      <c r="G542" s="307">
        <v>6</v>
      </c>
      <c r="H542" s="307" t="s">
        <v>858</v>
      </c>
      <c r="I542" s="307" t="str">
        <f>("1005210007")</f>
        <v>1005210007</v>
      </c>
    </row>
    <row r="543" spans="1:9" ht="13.5">
      <c r="A543" s="419" t="str">
        <f t="shared" si="8"/>
        <v>南大分サッカー少年団_8</v>
      </c>
      <c r="B543" s="307" t="s">
        <v>277</v>
      </c>
      <c r="C543" s="307" t="str">
        <f>("8")</f>
        <v>8</v>
      </c>
      <c r="D543" s="307" t="s">
        <v>859</v>
      </c>
      <c r="E543" s="307" t="s">
        <v>1966</v>
      </c>
      <c r="F543" s="307" t="s">
        <v>1967</v>
      </c>
      <c r="G543" s="307">
        <v>6</v>
      </c>
      <c r="H543" s="307" t="s">
        <v>858</v>
      </c>
      <c r="I543" s="307" t="str">
        <f>("1103140109")</f>
        <v>1103140109</v>
      </c>
    </row>
    <row r="544" spans="1:9" ht="13.5">
      <c r="A544" s="419" t="str">
        <f t="shared" si="8"/>
        <v>南大分サッカー少年団_9</v>
      </c>
      <c r="B544" s="307" t="s">
        <v>277</v>
      </c>
      <c r="C544" s="307" t="str">
        <f>("9")</f>
        <v>9</v>
      </c>
      <c r="D544" s="307" t="s">
        <v>884</v>
      </c>
      <c r="E544" s="307" t="s">
        <v>1968</v>
      </c>
      <c r="F544" s="307" t="s">
        <v>1969</v>
      </c>
      <c r="G544" s="307">
        <v>5</v>
      </c>
      <c r="H544" s="307" t="s">
        <v>869</v>
      </c>
      <c r="I544" s="307" t="str">
        <f>("1107180092")</f>
        <v>1107180092</v>
      </c>
    </row>
    <row r="545" spans="1:9" ht="13.5">
      <c r="A545" s="419" t="str">
        <f t="shared" si="8"/>
        <v>南大分サッカー少年団_10</v>
      </c>
      <c r="B545" s="307" t="s">
        <v>277</v>
      </c>
      <c r="C545" s="307" t="str">
        <f>("10")</f>
        <v>10</v>
      </c>
      <c r="D545" s="307" t="s">
        <v>862</v>
      </c>
      <c r="E545" s="307" t="s">
        <v>1970</v>
      </c>
      <c r="F545" s="307" t="s">
        <v>1971</v>
      </c>
      <c r="G545" s="307">
        <v>6</v>
      </c>
      <c r="H545" s="307" t="s">
        <v>858</v>
      </c>
      <c r="I545" s="307" t="str">
        <f>("1007250053")</f>
        <v>1007250053</v>
      </c>
    </row>
    <row r="546" spans="1:9" ht="13.5">
      <c r="A546" s="419" t="str">
        <f t="shared" si="8"/>
        <v>南大分サッカー少年団_11</v>
      </c>
      <c r="B546" s="307" t="s">
        <v>277</v>
      </c>
      <c r="C546" s="307" t="str">
        <f>("11")</f>
        <v>11</v>
      </c>
      <c r="D546" s="307" t="s">
        <v>862</v>
      </c>
      <c r="E546" s="307" t="s">
        <v>1972</v>
      </c>
      <c r="F546" s="307" t="s">
        <v>1973</v>
      </c>
      <c r="G546" s="307">
        <v>6</v>
      </c>
      <c r="H546" s="307" t="s">
        <v>858</v>
      </c>
      <c r="I546" s="307" t="str">
        <f>("1102210006")</f>
        <v>1102210006</v>
      </c>
    </row>
    <row r="547" spans="1:10" ht="13.5">
      <c r="A547" s="419" t="str">
        <f t="shared" si="8"/>
        <v>南大分サッカー少年団_13</v>
      </c>
      <c r="B547" s="307" t="s">
        <v>277</v>
      </c>
      <c r="C547" s="307" t="str">
        <f>("13")</f>
        <v>13</v>
      </c>
      <c r="D547" s="307" t="s">
        <v>862</v>
      </c>
      <c r="E547" s="307" t="s">
        <v>1974</v>
      </c>
      <c r="F547" s="307" t="s">
        <v>1975</v>
      </c>
      <c r="G547" s="307">
        <v>6</v>
      </c>
      <c r="H547" s="307" t="s">
        <v>858</v>
      </c>
      <c r="I547" s="307" t="str">
        <f>("1012310035")</f>
        <v>1012310035</v>
      </c>
      <c r="J547" s="307" t="s">
        <v>15</v>
      </c>
    </row>
    <row r="548" spans="1:9" ht="13.5">
      <c r="A548" s="419" t="str">
        <f t="shared" si="8"/>
        <v>南大分サッカー少年団_14</v>
      </c>
      <c r="B548" s="307" t="s">
        <v>277</v>
      </c>
      <c r="C548" s="307" t="str">
        <f>("14")</f>
        <v>14</v>
      </c>
      <c r="D548" s="307" t="s">
        <v>859</v>
      </c>
      <c r="E548" s="307" t="s">
        <v>1976</v>
      </c>
      <c r="F548" s="307" t="s">
        <v>1977</v>
      </c>
      <c r="G548" s="307">
        <v>6</v>
      </c>
      <c r="H548" s="307" t="s">
        <v>858</v>
      </c>
      <c r="I548" s="307" t="str">
        <f>("1007300024")</f>
        <v>1007300024</v>
      </c>
    </row>
    <row r="549" spans="1:9" ht="13.5">
      <c r="A549" s="419" t="str">
        <f t="shared" si="8"/>
        <v>南大分サッカー少年団_15</v>
      </c>
      <c r="B549" s="307" t="s">
        <v>277</v>
      </c>
      <c r="C549" s="307" t="str">
        <f>("15")</f>
        <v>15</v>
      </c>
      <c r="D549" s="307" t="s">
        <v>855</v>
      </c>
      <c r="E549" s="307" t="s">
        <v>1978</v>
      </c>
      <c r="F549" s="307" t="s">
        <v>1979</v>
      </c>
      <c r="G549" s="307">
        <v>6</v>
      </c>
      <c r="H549" s="307" t="s">
        <v>869</v>
      </c>
      <c r="I549" s="307" t="str">
        <f>("1005240018")</f>
        <v>1005240018</v>
      </c>
    </row>
    <row r="550" spans="1:9" ht="13.5">
      <c r="A550" s="419" t="str">
        <f t="shared" si="8"/>
        <v>アトレチコエラン横瀬_1</v>
      </c>
      <c r="B550" s="307" t="s">
        <v>21</v>
      </c>
      <c r="C550" s="307" t="str">
        <f>("1")</f>
        <v>1</v>
      </c>
      <c r="D550" s="307" t="s">
        <v>855</v>
      </c>
      <c r="E550" s="307" t="s">
        <v>1980</v>
      </c>
      <c r="F550" s="307" t="s">
        <v>1981</v>
      </c>
      <c r="G550" s="307">
        <v>6</v>
      </c>
      <c r="H550" s="307" t="s">
        <v>858</v>
      </c>
      <c r="I550" s="307" t="str">
        <f>("1101130123")</f>
        <v>1101130123</v>
      </c>
    </row>
    <row r="551" spans="1:9" ht="13.5">
      <c r="A551" s="419" t="str">
        <f t="shared" si="8"/>
        <v>アトレチコエラン横瀬_2</v>
      </c>
      <c r="B551" s="307" t="s">
        <v>21</v>
      </c>
      <c r="C551" s="307" t="str">
        <f>("2")</f>
        <v>2</v>
      </c>
      <c r="D551" s="307" t="s">
        <v>862</v>
      </c>
      <c r="E551" s="307" t="s">
        <v>1982</v>
      </c>
      <c r="F551" s="307" t="s">
        <v>1983</v>
      </c>
      <c r="G551" s="307">
        <v>6</v>
      </c>
      <c r="H551" s="307" t="s">
        <v>858</v>
      </c>
      <c r="I551" s="307" t="str">
        <f>("1101180103")</f>
        <v>1101180103</v>
      </c>
    </row>
    <row r="552" spans="1:9" ht="13.5">
      <c r="A552" s="419" t="str">
        <f t="shared" si="8"/>
        <v>アトレチコエラン横瀬_3</v>
      </c>
      <c r="B552" s="307" t="s">
        <v>21</v>
      </c>
      <c r="C552" s="307" t="str">
        <f>("3")</f>
        <v>3</v>
      </c>
      <c r="D552" s="307" t="s">
        <v>859</v>
      </c>
      <c r="E552" s="307" t="s">
        <v>1984</v>
      </c>
      <c r="F552" s="307" t="s">
        <v>1985</v>
      </c>
      <c r="G552" s="307">
        <v>6</v>
      </c>
      <c r="H552" s="307" t="s">
        <v>858</v>
      </c>
      <c r="I552" s="307" t="str">
        <f>("1101190105")</f>
        <v>1101190105</v>
      </c>
    </row>
    <row r="553" spans="1:9" ht="13.5">
      <c r="A553" s="419" t="str">
        <f t="shared" si="8"/>
        <v>アトレチコエラン横瀬_4</v>
      </c>
      <c r="B553" s="307" t="s">
        <v>21</v>
      </c>
      <c r="C553" s="307" t="str">
        <f>("4")</f>
        <v>4</v>
      </c>
      <c r="D553" s="307" t="s">
        <v>884</v>
      </c>
      <c r="E553" s="307" t="s">
        <v>1986</v>
      </c>
      <c r="F553" s="307" t="s">
        <v>1987</v>
      </c>
      <c r="G553" s="307">
        <v>6</v>
      </c>
      <c r="H553" s="307" t="s">
        <v>858</v>
      </c>
      <c r="I553" s="307" t="str">
        <f>("1103250095")</f>
        <v>1103250095</v>
      </c>
    </row>
    <row r="554" spans="1:9" ht="13.5">
      <c r="A554" s="419" t="str">
        <f t="shared" si="8"/>
        <v>アトレチコエラン横瀬_5</v>
      </c>
      <c r="B554" s="307" t="s">
        <v>21</v>
      </c>
      <c r="C554" s="307" t="str">
        <f>("5")</f>
        <v>5</v>
      </c>
      <c r="D554" s="307" t="s">
        <v>884</v>
      </c>
      <c r="E554" s="307" t="s">
        <v>1988</v>
      </c>
      <c r="F554" s="307" t="s">
        <v>1989</v>
      </c>
      <c r="G554" s="307">
        <v>5</v>
      </c>
      <c r="H554" s="307" t="s">
        <v>858</v>
      </c>
      <c r="I554" s="307" t="str">
        <f>("1105040068")</f>
        <v>1105040068</v>
      </c>
    </row>
    <row r="555" spans="1:9" ht="13.5">
      <c r="A555" s="419" t="str">
        <f t="shared" si="8"/>
        <v>アトレチコエラン横瀬_6</v>
      </c>
      <c r="B555" s="307" t="s">
        <v>21</v>
      </c>
      <c r="C555" s="307" t="str">
        <f>("6")</f>
        <v>6</v>
      </c>
      <c r="D555" s="307" t="s">
        <v>859</v>
      </c>
      <c r="E555" s="307" t="s">
        <v>1990</v>
      </c>
      <c r="F555" s="307" t="s">
        <v>1991</v>
      </c>
      <c r="G555" s="307">
        <v>6</v>
      </c>
      <c r="H555" s="307" t="s">
        <v>858</v>
      </c>
      <c r="I555" s="307" t="str">
        <f>("1009110086")</f>
        <v>1009110086</v>
      </c>
    </row>
    <row r="556" spans="1:9" ht="13.5">
      <c r="A556" s="419" t="str">
        <f t="shared" si="8"/>
        <v>アトレチコエラン横瀬_7</v>
      </c>
      <c r="B556" s="307" t="s">
        <v>21</v>
      </c>
      <c r="C556" s="307" t="str">
        <f>("7")</f>
        <v>7</v>
      </c>
      <c r="D556" s="307" t="s">
        <v>862</v>
      </c>
      <c r="E556" s="307" t="s">
        <v>1992</v>
      </c>
      <c r="F556" s="307" t="s">
        <v>1993</v>
      </c>
      <c r="G556" s="307">
        <v>6</v>
      </c>
      <c r="H556" s="307" t="s">
        <v>858</v>
      </c>
      <c r="I556" s="307" t="str">
        <f>("1008230121")</f>
        <v>1008230121</v>
      </c>
    </row>
    <row r="557" spans="1:9" ht="13.5">
      <c r="A557" s="419" t="str">
        <f t="shared" si="8"/>
        <v>アトレチコエラン横瀬_8</v>
      </c>
      <c r="B557" s="307" t="s">
        <v>21</v>
      </c>
      <c r="C557" s="307" t="str">
        <f>("8")</f>
        <v>8</v>
      </c>
      <c r="D557" s="307" t="s">
        <v>859</v>
      </c>
      <c r="E557" s="307" t="s">
        <v>1994</v>
      </c>
      <c r="F557" s="307" t="s">
        <v>1995</v>
      </c>
      <c r="G557" s="307">
        <v>6</v>
      </c>
      <c r="H557" s="307" t="s">
        <v>858</v>
      </c>
      <c r="I557" s="307" t="str">
        <f>("1101190106")</f>
        <v>1101190106</v>
      </c>
    </row>
    <row r="558" spans="1:9" ht="13.5">
      <c r="A558" s="419" t="str">
        <f t="shared" si="8"/>
        <v>アトレチコエラン横瀬_9</v>
      </c>
      <c r="B558" s="307" t="s">
        <v>21</v>
      </c>
      <c r="C558" s="307" t="str">
        <f>("9")</f>
        <v>9</v>
      </c>
      <c r="D558" s="307" t="s">
        <v>859</v>
      </c>
      <c r="E558" s="307" t="s">
        <v>1996</v>
      </c>
      <c r="F558" s="307" t="s">
        <v>1997</v>
      </c>
      <c r="G558" s="307">
        <v>6</v>
      </c>
      <c r="H558" s="307" t="s">
        <v>858</v>
      </c>
      <c r="I558" s="307" t="str">
        <f>("1009250115")</f>
        <v>1009250115</v>
      </c>
    </row>
    <row r="559" spans="1:9" ht="13.5">
      <c r="A559" s="419" t="str">
        <f t="shared" si="8"/>
        <v>アトレチコエラン横瀬_10</v>
      </c>
      <c r="B559" s="307" t="s">
        <v>21</v>
      </c>
      <c r="C559" s="307" t="str">
        <f>("10")</f>
        <v>10</v>
      </c>
      <c r="D559" s="307" t="s">
        <v>862</v>
      </c>
      <c r="E559" s="307" t="s">
        <v>1998</v>
      </c>
      <c r="F559" s="307" t="s">
        <v>1999</v>
      </c>
      <c r="G559" s="307">
        <v>6</v>
      </c>
      <c r="H559" s="307" t="s">
        <v>858</v>
      </c>
      <c r="I559" s="307" t="str">
        <f>("1006220161")</f>
        <v>1006220161</v>
      </c>
    </row>
    <row r="560" spans="1:9" ht="13.5">
      <c r="A560" s="419" t="str">
        <f t="shared" si="8"/>
        <v>アトレチコエラン横瀬_11</v>
      </c>
      <c r="B560" s="307" t="s">
        <v>21</v>
      </c>
      <c r="C560" s="307" t="str">
        <f>("11")</f>
        <v>11</v>
      </c>
      <c r="D560" s="307" t="s">
        <v>862</v>
      </c>
      <c r="E560" s="307" t="s">
        <v>2000</v>
      </c>
      <c r="F560" s="307" t="s">
        <v>2001</v>
      </c>
      <c r="G560" s="307">
        <v>6</v>
      </c>
      <c r="H560" s="307" t="s">
        <v>858</v>
      </c>
      <c r="I560" s="307" t="str">
        <f>("1012010175")</f>
        <v>1012010175</v>
      </c>
    </row>
    <row r="561" spans="1:10" ht="13.5">
      <c r="A561" s="419" t="str">
        <f t="shared" si="8"/>
        <v>アトレチコエラン横瀬_12</v>
      </c>
      <c r="B561" s="307" t="s">
        <v>21</v>
      </c>
      <c r="C561" s="307" t="str">
        <f>("12")</f>
        <v>12</v>
      </c>
      <c r="D561" s="307" t="s">
        <v>859</v>
      </c>
      <c r="E561" s="307" t="s">
        <v>2002</v>
      </c>
      <c r="F561" s="307" t="s">
        <v>2003</v>
      </c>
      <c r="G561" s="307">
        <v>6</v>
      </c>
      <c r="H561" s="307" t="s">
        <v>858</v>
      </c>
      <c r="I561" s="307" t="str">
        <f>("1004200159")</f>
        <v>1004200159</v>
      </c>
      <c r="J561" s="307" t="s">
        <v>15</v>
      </c>
    </row>
    <row r="562" spans="1:9" ht="13.5">
      <c r="A562" s="419" t="str">
        <f t="shared" si="8"/>
        <v>アトレチコエラン横瀬_13</v>
      </c>
      <c r="B562" s="307" t="s">
        <v>21</v>
      </c>
      <c r="C562" s="307" t="str">
        <f>("13")</f>
        <v>13</v>
      </c>
      <c r="D562" s="307" t="s">
        <v>859</v>
      </c>
      <c r="E562" s="307" t="s">
        <v>2004</v>
      </c>
      <c r="F562" s="307" t="s">
        <v>2005</v>
      </c>
      <c r="G562" s="307">
        <v>5</v>
      </c>
      <c r="H562" s="307" t="s">
        <v>858</v>
      </c>
      <c r="I562" s="307" t="str">
        <f>("1111040131")</f>
        <v>1111040131</v>
      </c>
    </row>
    <row r="563" spans="1:9" ht="13.5">
      <c r="A563" s="419" t="str">
        <f t="shared" si="8"/>
        <v>アトレチコエラン横瀬_14</v>
      </c>
      <c r="B563" s="307" t="s">
        <v>21</v>
      </c>
      <c r="C563" s="307" t="str">
        <f>("14")</f>
        <v>14</v>
      </c>
      <c r="D563" s="307" t="s">
        <v>862</v>
      </c>
      <c r="E563" s="307" t="s">
        <v>2006</v>
      </c>
      <c r="F563" s="307" t="s">
        <v>2007</v>
      </c>
      <c r="G563" s="307">
        <v>5</v>
      </c>
      <c r="H563" s="307" t="s">
        <v>858</v>
      </c>
      <c r="I563" s="307" t="str">
        <f>("1202070090")</f>
        <v>1202070090</v>
      </c>
    </row>
    <row r="564" spans="1:9" ht="13.5">
      <c r="A564" s="419" t="str">
        <f t="shared" si="8"/>
        <v>アトレチコエラン横瀬_15</v>
      </c>
      <c r="B564" s="307" t="s">
        <v>21</v>
      </c>
      <c r="C564" s="307" t="str">
        <f>("15")</f>
        <v>15</v>
      </c>
      <c r="D564" s="307" t="s">
        <v>884</v>
      </c>
      <c r="E564" s="307" t="s">
        <v>2008</v>
      </c>
      <c r="F564" s="307" t="s">
        <v>2009</v>
      </c>
      <c r="G564" s="307">
        <v>5</v>
      </c>
      <c r="H564" s="307" t="s">
        <v>858</v>
      </c>
      <c r="I564" s="307" t="str">
        <f>("1203060113")</f>
        <v>1203060113</v>
      </c>
    </row>
    <row r="565" spans="1:9" ht="13.5">
      <c r="A565" s="419" t="str">
        <f t="shared" si="8"/>
        <v>アトレチコエラン横瀬_17</v>
      </c>
      <c r="B565" s="307" t="s">
        <v>21</v>
      </c>
      <c r="C565" s="307" t="str">
        <f>("17")</f>
        <v>17</v>
      </c>
      <c r="D565" s="307" t="s">
        <v>884</v>
      </c>
      <c r="E565" s="307" t="s">
        <v>2010</v>
      </c>
      <c r="F565" s="307" t="s">
        <v>2011</v>
      </c>
      <c r="G565" s="307">
        <v>5</v>
      </c>
      <c r="H565" s="307" t="s">
        <v>858</v>
      </c>
      <c r="I565" s="307" t="str">
        <f>("1203170143")</f>
        <v>1203170143</v>
      </c>
    </row>
    <row r="566" spans="1:9" ht="13.5">
      <c r="A566" s="419" t="str">
        <f t="shared" si="8"/>
        <v>明野北フットボールクラブ_1</v>
      </c>
      <c r="B566" s="307" t="s">
        <v>180</v>
      </c>
      <c r="C566" s="307" t="str">
        <f>("1")</f>
        <v>1</v>
      </c>
      <c r="D566" s="307" t="s">
        <v>855</v>
      </c>
      <c r="E566" s="307" t="s">
        <v>2012</v>
      </c>
      <c r="F566" s="307" t="s">
        <v>2013</v>
      </c>
      <c r="G566" s="307">
        <v>6</v>
      </c>
      <c r="H566" s="307" t="s">
        <v>858</v>
      </c>
      <c r="I566" s="307" t="str">
        <f>("1102180165")</f>
        <v>1102180165</v>
      </c>
    </row>
    <row r="567" spans="1:9" ht="13.5">
      <c r="A567" s="419" t="str">
        <f t="shared" si="8"/>
        <v>明野北フットボールクラブ_2</v>
      </c>
      <c r="B567" s="307" t="s">
        <v>180</v>
      </c>
      <c r="C567" s="307" t="str">
        <f>("2")</f>
        <v>2</v>
      </c>
      <c r="D567" s="307" t="s">
        <v>859</v>
      </c>
      <c r="E567" s="307" t="s">
        <v>2014</v>
      </c>
      <c r="F567" s="307" t="s">
        <v>2015</v>
      </c>
      <c r="G567" s="307">
        <v>6</v>
      </c>
      <c r="H567" s="307" t="s">
        <v>858</v>
      </c>
      <c r="I567" s="307" t="str">
        <f>("1012270160")</f>
        <v>1012270160</v>
      </c>
    </row>
    <row r="568" spans="1:9" ht="13.5">
      <c r="A568" s="419" t="str">
        <f t="shared" si="8"/>
        <v>明野北フットボールクラブ_3</v>
      </c>
      <c r="B568" s="307" t="s">
        <v>180</v>
      </c>
      <c r="C568" s="307" t="str">
        <f>("3")</f>
        <v>3</v>
      </c>
      <c r="D568" s="307" t="s">
        <v>859</v>
      </c>
      <c r="E568" s="307" t="s">
        <v>2016</v>
      </c>
      <c r="F568" s="307" t="s">
        <v>2017</v>
      </c>
      <c r="G568" s="307">
        <v>5</v>
      </c>
      <c r="H568" s="307" t="s">
        <v>858</v>
      </c>
      <c r="I568" s="307" t="str">
        <f>("1103250109")</f>
        <v>1103250109</v>
      </c>
    </row>
    <row r="569" spans="1:9" ht="13.5">
      <c r="A569" s="419" t="str">
        <f t="shared" si="8"/>
        <v>明野北フットボールクラブ_4</v>
      </c>
      <c r="B569" s="307" t="s">
        <v>180</v>
      </c>
      <c r="C569" s="307" t="str">
        <f>("4")</f>
        <v>4</v>
      </c>
      <c r="D569" s="307" t="s">
        <v>862</v>
      </c>
      <c r="E569" s="307" t="s">
        <v>2018</v>
      </c>
      <c r="F569" s="307" t="s">
        <v>2019</v>
      </c>
      <c r="G569" s="307">
        <v>5</v>
      </c>
      <c r="H569" s="307" t="s">
        <v>858</v>
      </c>
      <c r="I569" s="307" t="str">
        <f>("1108090080")</f>
        <v>1108090080</v>
      </c>
    </row>
    <row r="570" spans="1:9" ht="13.5">
      <c r="A570" s="419" t="str">
        <f t="shared" si="8"/>
        <v>明野北フットボールクラブ_5</v>
      </c>
      <c r="B570" s="307" t="s">
        <v>180</v>
      </c>
      <c r="C570" s="307" t="str">
        <f>("5")</f>
        <v>5</v>
      </c>
      <c r="D570" s="307" t="s">
        <v>862</v>
      </c>
      <c r="E570" s="307" t="s">
        <v>2020</v>
      </c>
      <c r="F570" s="307" t="s">
        <v>2021</v>
      </c>
      <c r="G570" s="307">
        <v>5</v>
      </c>
      <c r="H570" s="307" t="s">
        <v>858</v>
      </c>
      <c r="I570" s="307" t="str">
        <f>("1104010125")</f>
        <v>1104010125</v>
      </c>
    </row>
    <row r="571" spans="1:9" ht="13.5">
      <c r="A571" s="419" t="str">
        <f t="shared" si="8"/>
        <v>明野北フットボールクラブ_6</v>
      </c>
      <c r="B571" s="307" t="s">
        <v>180</v>
      </c>
      <c r="C571" s="307" t="str">
        <f>("6")</f>
        <v>6</v>
      </c>
      <c r="D571" s="307" t="s">
        <v>862</v>
      </c>
      <c r="E571" s="307" t="s">
        <v>2022</v>
      </c>
      <c r="F571" s="307" t="s">
        <v>2023</v>
      </c>
      <c r="G571" s="307">
        <v>5</v>
      </c>
      <c r="H571" s="307" t="s">
        <v>858</v>
      </c>
      <c r="I571" s="307" t="str">
        <f>("1203070110")</f>
        <v>1203070110</v>
      </c>
    </row>
    <row r="572" spans="1:9" ht="13.5">
      <c r="A572" s="419" t="str">
        <f t="shared" si="8"/>
        <v>明野北フットボールクラブ_7</v>
      </c>
      <c r="B572" s="307" t="s">
        <v>180</v>
      </c>
      <c r="C572" s="307" t="str">
        <f>("7")</f>
        <v>7</v>
      </c>
      <c r="D572" s="307" t="s">
        <v>884</v>
      </c>
      <c r="E572" s="307" t="s">
        <v>2024</v>
      </c>
      <c r="F572" s="307" t="s">
        <v>2025</v>
      </c>
      <c r="G572" s="307">
        <v>6</v>
      </c>
      <c r="H572" s="307" t="s">
        <v>858</v>
      </c>
      <c r="I572" s="307" t="str">
        <f>("1012270161")</f>
        <v>1012270161</v>
      </c>
    </row>
    <row r="573" spans="1:9" ht="13.5">
      <c r="A573" s="419" t="str">
        <f t="shared" si="8"/>
        <v>明野北フットボールクラブ_8</v>
      </c>
      <c r="B573" s="307" t="s">
        <v>180</v>
      </c>
      <c r="C573" s="307" t="str">
        <f>("8")</f>
        <v>8</v>
      </c>
      <c r="D573" s="307" t="s">
        <v>862</v>
      </c>
      <c r="E573" s="307" t="s">
        <v>2026</v>
      </c>
      <c r="F573" s="307" t="s">
        <v>2027</v>
      </c>
      <c r="G573" s="307">
        <v>5</v>
      </c>
      <c r="H573" s="307" t="s">
        <v>858</v>
      </c>
      <c r="I573" s="307" t="str">
        <f>("1107050102")</f>
        <v>1107050102</v>
      </c>
    </row>
    <row r="574" spans="1:9" ht="13.5">
      <c r="A574" s="419" t="str">
        <f t="shared" si="8"/>
        <v>明野北フットボールクラブ_9</v>
      </c>
      <c r="B574" s="307" t="s">
        <v>180</v>
      </c>
      <c r="C574" s="307" t="str">
        <f>("9")</f>
        <v>9</v>
      </c>
      <c r="D574" s="307" t="s">
        <v>862</v>
      </c>
      <c r="E574" s="307" t="s">
        <v>2028</v>
      </c>
      <c r="F574" s="307" t="s">
        <v>2029</v>
      </c>
      <c r="G574" s="307">
        <v>5</v>
      </c>
      <c r="H574" s="307" t="s">
        <v>858</v>
      </c>
      <c r="I574" s="307" t="str">
        <f>("1109220218")</f>
        <v>1109220218</v>
      </c>
    </row>
    <row r="575" spans="1:10" ht="13.5">
      <c r="A575" s="419" t="str">
        <f t="shared" si="8"/>
        <v>明野北フットボールクラブ_10</v>
      </c>
      <c r="B575" s="307" t="s">
        <v>180</v>
      </c>
      <c r="C575" s="307" t="str">
        <f>("10")</f>
        <v>10</v>
      </c>
      <c r="D575" s="307" t="s">
        <v>862</v>
      </c>
      <c r="E575" s="307" t="s">
        <v>2030</v>
      </c>
      <c r="F575" s="307" t="s">
        <v>2031</v>
      </c>
      <c r="G575" s="307">
        <v>6</v>
      </c>
      <c r="H575" s="307" t="s">
        <v>858</v>
      </c>
      <c r="I575" s="307" t="str">
        <f>("1005020131")</f>
        <v>1005020131</v>
      </c>
      <c r="J575" s="307" t="s">
        <v>15</v>
      </c>
    </row>
    <row r="576" spans="1:9" ht="13.5">
      <c r="A576" s="419" t="str">
        <f t="shared" si="8"/>
        <v>明野北フットボールクラブ_11</v>
      </c>
      <c r="B576" s="307" t="s">
        <v>180</v>
      </c>
      <c r="C576" s="307" t="str">
        <f>("11")</f>
        <v>11</v>
      </c>
      <c r="D576" s="307" t="s">
        <v>862</v>
      </c>
      <c r="E576" s="307" t="s">
        <v>2032</v>
      </c>
      <c r="F576" s="307" t="s">
        <v>2033</v>
      </c>
      <c r="G576" s="307">
        <v>4</v>
      </c>
      <c r="H576" s="307" t="s">
        <v>858</v>
      </c>
      <c r="I576" s="307" t="str">
        <f>("1204200156")</f>
        <v>1204200156</v>
      </c>
    </row>
    <row r="577" spans="1:9" ht="13.5">
      <c r="A577" s="419" t="str">
        <f aca="true" t="shared" si="9" ref="A577:A640">CONCATENATE(B577,"_",C577)</f>
        <v>明野北フットボールクラブ_12</v>
      </c>
      <c r="B577" s="307" t="s">
        <v>180</v>
      </c>
      <c r="C577" s="307" t="str">
        <f>("12")</f>
        <v>12</v>
      </c>
      <c r="D577" s="307" t="s">
        <v>862</v>
      </c>
      <c r="E577" s="307" t="s">
        <v>2034</v>
      </c>
      <c r="F577" s="307" t="s">
        <v>2035</v>
      </c>
      <c r="G577" s="307">
        <v>4</v>
      </c>
      <c r="H577" s="307" t="s">
        <v>858</v>
      </c>
      <c r="I577" s="307" t="str">
        <f>("1204250111")</f>
        <v>1204250111</v>
      </c>
    </row>
    <row r="578" spans="1:9" ht="13.5">
      <c r="A578" s="419" t="str">
        <f t="shared" si="9"/>
        <v>明野北フットボールクラブ_13</v>
      </c>
      <c r="B578" s="307" t="s">
        <v>180</v>
      </c>
      <c r="C578" s="307" t="str">
        <f>("13")</f>
        <v>13</v>
      </c>
      <c r="D578" s="307" t="s">
        <v>859</v>
      </c>
      <c r="E578" s="307" t="s">
        <v>2036</v>
      </c>
      <c r="F578" s="307" t="s">
        <v>2037</v>
      </c>
      <c r="G578" s="307">
        <v>4</v>
      </c>
      <c r="H578" s="307" t="s">
        <v>858</v>
      </c>
      <c r="I578" s="307" t="str">
        <f>("1208210101")</f>
        <v>1208210101</v>
      </c>
    </row>
    <row r="579" spans="1:9" ht="13.5">
      <c r="A579" s="419" t="str">
        <f t="shared" si="9"/>
        <v>明野北フットボールクラブ_14</v>
      </c>
      <c r="B579" s="307" t="s">
        <v>180</v>
      </c>
      <c r="C579" s="307" t="str">
        <f>("14")</f>
        <v>14</v>
      </c>
      <c r="D579" s="307" t="s">
        <v>862</v>
      </c>
      <c r="E579" s="307" t="s">
        <v>2038</v>
      </c>
      <c r="F579" s="307" t="s">
        <v>2039</v>
      </c>
      <c r="G579" s="307">
        <v>4</v>
      </c>
      <c r="H579" s="307" t="s">
        <v>858</v>
      </c>
      <c r="I579" s="307" t="str">
        <f>("1206300093")</f>
        <v>1206300093</v>
      </c>
    </row>
    <row r="580" spans="1:9" ht="13.5">
      <c r="A580" s="419" t="str">
        <f t="shared" si="9"/>
        <v>明治北ＳＳＣ_1</v>
      </c>
      <c r="B580" s="307" t="s">
        <v>280</v>
      </c>
      <c r="C580" s="307" t="str">
        <f>("1")</f>
        <v>1</v>
      </c>
      <c r="D580" s="307" t="s">
        <v>855</v>
      </c>
      <c r="E580" s="307" t="s">
        <v>2040</v>
      </c>
      <c r="F580" s="307" t="s">
        <v>2041</v>
      </c>
      <c r="G580" s="307">
        <v>6</v>
      </c>
      <c r="H580" s="307" t="s">
        <v>858</v>
      </c>
      <c r="I580" s="307" t="str">
        <f>("1009140058")</f>
        <v>1009140058</v>
      </c>
    </row>
    <row r="581" spans="1:9" ht="13.5">
      <c r="A581" s="419" t="str">
        <f t="shared" si="9"/>
        <v>明治北ＳＳＣ_2</v>
      </c>
      <c r="B581" s="307" t="s">
        <v>280</v>
      </c>
      <c r="C581" s="307" t="str">
        <f>("2")</f>
        <v>2</v>
      </c>
      <c r="D581" s="307" t="s">
        <v>859</v>
      </c>
      <c r="E581" s="307" t="s">
        <v>2042</v>
      </c>
      <c r="F581" s="307" t="s">
        <v>2043</v>
      </c>
      <c r="G581" s="307">
        <v>6</v>
      </c>
      <c r="H581" s="307" t="s">
        <v>858</v>
      </c>
      <c r="I581" s="307" t="str">
        <f>("1007050044")</f>
        <v>1007050044</v>
      </c>
    </row>
    <row r="582" spans="1:9" ht="13.5">
      <c r="A582" s="419" t="str">
        <f t="shared" si="9"/>
        <v>明治北ＳＳＣ_3</v>
      </c>
      <c r="B582" s="307" t="s">
        <v>280</v>
      </c>
      <c r="C582" s="307" t="str">
        <f>("3")</f>
        <v>3</v>
      </c>
      <c r="D582" s="307" t="s">
        <v>859</v>
      </c>
      <c r="E582" s="307" t="s">
        <v>2044</v>
      </c>
      <c r="F582" s="307" t="s">
        <v>2045</v>
      </c>
      <c r="G582" s="307">
        <v>6</v>
      </c>
      <c r="H582" s="307" t="s">
        <v>858</v>
      </c>
      <c r="I582" s="307" t="str">
        <f>("1007220048")</f>
        <v>1007220048</v>
      </c>
    </row>
    <row r="583" spans="1:9" ht="13.5">
      <c r="A583" s="419" t="str">
        <f t="shared" si="9"/>
        <v>明治北ＳＳＣ_4</v>
      </c>
      <c r="B583" s="307" t="s">
        <v>280</v>
      </c>
      <c r="C583" s="307" t="str">
        <f>("4")</f>
        <v>4</v>
      </c>
      <c r="D583" s="307" t="s">
        <v>862</v>
      </c>
      <c r="E583" s="307" t="s">
        <v>2046</v>
      </c>
      <c r="F583" s="307" t="s">
        <v>2047</v>
      </c>
      <c r="G583" s="307">
        <v>6</v>
      </c>
      <c r="H583" s="307" t="s">
        <v>858</v>
      </c>
      <c r="I583" s="307" t="str">
        <f>("1012280164")</f>
        <v>1012280164</v>
      </c>
    </row>
    <row r="584" spans="1:9" ht="13.5">
      <c r="A584" s="419" t="str">
        <f t="shared" si="9"/>
        <v>明治北ＳＳＣ_5</v>
      </c>
      <c r="B584" s="307" t="s">
        <v>280</v>
      </c>
      <c r="C584" s="307" t="str">
        <f>("5")</f>
        <v>5</v>
      </c>
      <c r="D584" s="307" t="s">
        <v>862</v>
      </c>
      <c r="E584" s="307" t="s">
        <v>2048</v>
      </c>
      <c r="F584" s="307" t="s">
        <v>2049</v>
      </c>
      <c r="G584" s="307">
        <v>6</v>
      </c>
      <c r="H584" s="307" t="s">
        <v>858</v>
      </c>
      <c r="I584" s="307" t="str">
        <f>("1009100049")</f>
        <v>1009100049</v>
      </c>
    </row>
    <row r="585" spans="1:9" ht="13.5">
      <c r="A585" s="419" t="str">
        <f t="shared" si="9"/>
        <v>明治北ＳＳＣ_6</v>
      </c>
      <c r="B585" s="307" t="s">
        <v>280</v>
      </c>
      <c r="C585" s="307" t="str">
        <f>("6")</f>
        <v>6</v>
      </c>
      <c r="D585" s="307" t="s">
        <v>859</v>
      </c>
      <c r="E585" s="307" t="s">
        <v>2050</v>
      </c>
      <c r="F585" s="307" t="s">
        <v>2051</v>
      </c>
      <c r="G585" s="307">
        <v>6</v>
      </c>
      <c r="H585" s="307" t="s">
        <v>858</v>
      </c>
      <c r="I585" s="307" t="str">
        <f>("1008030201")</f>
        <v>1008030201</v>
      </c>
    </row>
    <row r="586" spans="1:10" ht="13.5">
      <c r="A586" s="419" t="str">
        <f t="shared" si="9"/>
        <v>明治北ＳＳＣ_7</v>
      </c>
      <c r="B586" s="307" t="s">
        <v>280</v>
      </c>
      <c r="C586" s="307" t="str">
        <f>("7")</f>
        <v>7</v>
      </c>
      <c r="D586" s="307" t="s">
        <v>862</v>
      </c>
      <c r="E586" s="307" t="s">
        <v>2052</v>
      </c>
      <c r="F586" s="307" t="s">
        <v>2053</v>
      </c>
      <c r="G586" s="307">
        <v>6</v>
      </c>
      <c r="H586" s="307" t="s">
        <v>858</v>
      </c>
      <c r="I586" s="307" t="str">
        <f>("1012250047")</f>
        <v>1012250047</v>
      </c>
      <c r="J586" s="307" t="s">
        <v>15</v>
      </c>
    </row>
    <row r="587" spans="1:9" ht="13.5">
      <c r="A587" s="419" t="str">
        <f t="shared" si="9"/>
        <v>明治北ＳＳＣ_8</v>
      </c>
      <c r="B587" s="307" t="s">
        <v>280</v>
      </c>
      <c r="C587" s="307" t="str">
        <f>("8")</f>
        <v>8</v>
      </c>
      <c r="D587" s="307" t="s">
        <v>859</v>
      </c>
      <c r="E587" s="307" t="s">
        <v>2054</v>
      </c>
      <c r="F587" s="307" t="s">
        <v>2055</v>
      </c>
      <c r="G587" s="307">
        <v>6</v>
      </c>
      <c r="H587" s="307" t="s">
        <v>858</v>
      </c>
      <c r="I587" s="307" t="str">
        <f>("1010050068")</f>
        <v>1010050068</v>
      </c>
    </row>
    <row r="588" spans="1:9" ht="13.5">
      <c r="A588" s="419" t="str">
        <f t="shared" si="9"/>
        <v>明治北ＳＳＣ_9</v>
      </c>
      <c r="B588" s="307" t="s">
        <v>280</v>
      </c>
      <c r="C588" s="307" t="str">
        <f>("9")</f>
        <v>9</v>
      </c>
      <c r="D588" s="307" t="s">
        <v>884</v>
      </c>
      <c r="E588" s="307" t="s">
        <v>2056</v>
      </c>
      <c r="F588" s="307" t="s">
        <v>2057</v>
      </c>
      <c r="G588" s="307">
        <v>6</v>
      </c>
      <c r="H588" s="307" t="s">
        <v>858</v>
      </c>
      <c r="I588" s="307" t="str">
        <f>("1010240028")</f>
        <v>1010240028</v>
      </c>
    </row>
    <row r="589" spans="1:9" ht="13.5">
      <c r="A589" s="419" t="str">
        <f t="shared" si="9"/>
        <v>明治北ＳＳＣ_10</v>
      </c>
      <c r="B589" s="307" t="s">
        <v>280</v>
      </c>
      <c r="C589" s="307" t="str">
        <f>("10")</f>
        <v>10</v>
      </c>
      <c r="D589" s="307" t="s">
        <v>859</v>
      </c>
      <c r="E589" s="307" t="s">
        <v>2058</v>
      </c>
      <c r="F589" s="307" t="s">
        <v>2059</v>
      </c>
      <c r="G589" s="307">
        <v>6</v>
      </c>
      <c r="H589" s="307" t="s">
        <v>858</v>
      </c>
      <c r="I589" s="307" t="str">
        <f>("1005200047")</f>
        <v>1005200047</v>
      </c>
    </row>
    <row r="590" spans="1:9" ht="13.5">
      <c r="A590" s="419" t="str">
        <f t="shared" si="9"/>
        <v>明治北ＳＳＣ_11</v>
      </c>
      <c r="B590" s="307" t="s">
        <v>280</v>
      </c>
      <c r="C590" s="307" t="str">
        <f>("11")</f>
        <v>11</v>
      </c>
      <c r="D590" s="307" t="s">
        <v>862</v>
      </c>
      <c r="E590" s="307" t="s">
        <v>2060</v>
      </c>
      <c r="F590" s="307" t="s">
        <v>2061</v>
      </c>
      <c r="G590" s="307">
        <v>6</v>
      </c>
      <c r="H590" s="307" t="s">
        <v>858</v>
      </c>
      <c r="I590" s="307" t="str">
        <f>("1006030046")</f>
        <v>1006030046</v>
      </c>
    </row>
    <row r="591" spans="1:9" ht="13.5">
      <c r="A591" s="419" t="str">
        <f t="shared" si="9"/>
        <v>明治北ＳＳＣ_12</v>
      </c>
      <c r="B591" s="307" t="s">
        <v>280</v>
      </c>
      <c r="C591" s="307" t="str">
        <f>("12")</f>
        <v>12</v>
      </c>
      <c r="D591" s="307" t="s">
        <v>855</v>
      </c>
      <c r="E591" s="307" t="s">
        <v>2062</v>
      </c>
      <c r="F591" s="307" t="s">
        <v>2063</v>
      </c>
      <c r="G591" s="307">
        <v>6</v>
      </c>
      <c r="H591" s="307" t="s">
        <v>858</v>
      </c>
      <c r="I591" s="307" t="str">
        <f>("1011050192")</f>
        <v>1011050192</v>
      </c>
    </row>
    <row r="592" spans="1:9" ht="13.5">
      <c r="A592" s="419" t="str">
        <f t="shared" si="9"/>
        <v>明治北ＳＳＣ_13</v>
      </c>
      <c r="B592" s="307" t="s">
        <v>280</v>
      </c>
      <c r="C592" s="307" t="str">
        <f>("13")</f>
        <v>13</v>
      </c>
      <c r="D592" s="307" t="s">
        <v>862</v>
      </c>
      <c r="E592" s="307" t="s">
        <v>2064</v>
      </c>
      <c r="F592" s="307" t="s">
        <v>2065</v>
      </c>
      <c r="G592" s="307">
        <v>6</v>
      </c>
      <c r="H592" s="307" t="s">
        <v>869</v>
      </c>
      <c r="I592" s="307" t="str">
        <f>("1007210098")</f>
        <v>1007210098</v>
      </c>
    </row>
    <row r="593" spans="1:9" ht="13.5">
      <c r="A593" s="419" t="str">
        <f t="shared" si="9"/>
        <v>明治北ＳＳＣ_14</v>
      </c>
      <c r="B593" s="307" t="s">
        <v>280</v>
      </c>
      <c r="C593" s="307" t="str">
        <f>("14")</f>
        <v>14</v>
      </c>
      <c r="D593" s="307" t="s">
        <v>884</v>
      </c>
      <c r="E593" s="307" t="s">
        <v>2066</v>
      </c>
      <c r="F593" s="307" t="s">
        <v>2067</v>
      </c>
      <c r="G593" s="307">
        <v>6</v>
      </c>
      <c r="H593" s="307" t="s">
        <v>858</v>
      </c>
      <c r="I593" s="307" t="str">
        <f>("1004210319")</f>
        <v>1004210319</v>
      </c>
    </row>
    <row r="594" spans="1:9" ht="13.5">
      <c r="A594" s="419" t="str">
        <f t="shared" si="9"/>
        <v>明治北ＳＳＣ_15</v>
      </c>
      <c r="B594" s="307" t="s">
        <v>280</v>
      </c>
      <c r="C594" s="307" t="str">
        <f>("15")</f>
        <v>15</v>
      </c>
      <c r="D594" s="307" t="s">
        <v>862</v>
      </c>
      <c r="E594" s="307" t="s">
        <v>2068</v>
      </c>
      <c r="F594" s="307" t="s">
        <v>2069</v>
      </c>
      <c r="G594" s="307">
        <v>5</v>
      </c>
      <c r="H594" s="307" t="s">
        <v>858</v>
      </c>
      <c r="I594" s="307" t="str">
        <f>("1106260098")</f>
        <v>1106260098</v>
      </c>
    </row>
    <row r="595" spans="1:9" ht="13.5">
      <c r="A595" s="419" t="str">
        <f t="shared" si="9"/>
        <v>明治北ＳＳＣ_16</v>
      </c>
      <c r="B595" s="307" t="s">
        <v>280</v>
      </c>
      <c r="C595" s="307" t="str">
        <f>("16")</f>
        <v>16</v>
      </c>
      <c r="D595" s="307" t="s">
        <v>859</v>
      </c>
      <c r="E595" s="307" t="s">
        <v>2070</v>
      </c>
      <c r="F595" s="307" t="s">
        <v>2071</v>
      </c>
      <c r="G595" s="307">
        <v>5</v>
      </c>
      <c r="H595" s="307" t="s">
        <v>858</v>
      </c>
      <c r="I595" s="307" t="str">
        <f>("1109120149")</f>
        <v>1109120149</v>
      </c>
    </row>
    <row r="596" spans="1:9" ht="13.5">
      <c r="A596" s="419" t="str">
        <f t="shared" si="9"/>
        <v>明野東サッカースポーツ少年団_1</v>
      </c>
      <c r="B596" s="307" t="s">
        <v>195</v>
      </c>
      <c r="C596" s="307" t="str">
        <f>("1")</f>
        <v>1</v>
      </c>
      <c r="D596" s="307" t="s">
        <v>855</v>
      </c>
      <c r="E596" s="307" t="s">
        <v>2072</v>
      </c>
      <c r="F596" s="307" t="s">
        <v>2073</v>
      </c>
      <c r="G596" s="307">
        <v>5</v>
      </c>
      <c r="H596" s="307" t="s">
        <v>858</v>
      </c>
      <c r="I596" s="307" t="str">
        <f>("1112220110")</f>
        <v>1112220110</v>
      </c>
    </row>
    <row r="597" spans="1:9" ht="13.5">
      <c r="A597" s="419" t="str">
        <f t="shared" si="9"/>
        <v>明野東サッカースポーツ少年団_2</v>
      </c>
      <c r="B597" s="307" t="s">
        <v>195</v>
      </c>
      <c r="C597" s="307" t="str">
        <f>("2")</f>
        <v>2</v>
      </c>
      <c r="D597" s="307" t="s">
        <v>859</v>
      </c>
      <c r="E597" s="307" t="s">
        <v>2074</v>
      </c>
      <c r="F597" s="307" t="s">
        <v>2075</v>
      </c>
      <c r="G597" s="307">
        <v>6</v>
      </c>
      <c r="H597" s="307" t="s">
        <v>858</v>
      </c>
      <c r="I597" s="307" t="str">
        <f>("1008270145")</f>
        <v>1008270145</v>
      </c>
    </row>
    <row r="598" spans="1:9" ht="13.5">
      <c r="A598" s="419" t="str">
        <f t="shared" si="9"/>
        <v>明野東サッカースポーツ少年団_3</v>
      </c>
      <c r="B598" s="307" t="s">
        <v>195</v>
      </c>
      <c r="C598" s="307" t="str">
        <f>("3")</f>
        <v>3</v>
      </c>
      <c r="D598" s="307" t="s">
        <v>884</v>
      </c>
      <c r="E598" s="307" t="s">
        <v>2076</v>
      </c>
      <c r="F598" s="307" t="s">
        <v>2077</v>
      </c>
      <c r="G598" s="307">
        <v>5</v>
      </c>
      <c r="H598" s="307" t="s">
        <v>869</v>
      </c>
      <c r="I598" s="307" t="str">
        <f>("1104080166")</f>
        <v>1104080166</v>
      </c>
    </row>
    <row r="599" spans="1:9" ht="13.5">
      <c r="A599" s="419" t="str">
        <f t="shared" si="9"/>
        <v>明野東サッカースポーツ少年団_4</v>
      </c>
      <c r="B599" s="307" t="s">
        <v>195</v>
      </c>
      <c r="C599" s="307" t="str">
        <f>("4")</f>
        <v>4</v>
      </c>
      <c r="D599" s="307" t="s">
        <v>884</v>
      </c>
      <c r="E599" s="307" t="s">
        <v>2078</v>
      </c>
      <c r="F599" s="307" t="s">
        <v>2079</v>
      </c>
      <c r="G599" s="307">
        <v>4</v>
      </c>
      <c r="H599" s="307" t="s">
        <v>858</v>
      </c>
      <c r="I599" s="307" t="str">
        <f>("1206100057")</f>
        <v>1206100057</v>
      </c>
    </row>
    <row r="600" spans="1:9" ht="13.5">
      <c r="A600" s="419" t="str">
        <f t="shared" si="9"/>
        <v>明野東サッカースポーツ少年団_5</v>
      </c>
      <c r="B600" s="307" t="s">
        <v>195</v>
      </c>
      <c r="C600" s="307" t="str">
        <f>("5")</f>
        <v>5</v>
      </c>
      <c r="D600" s="307" t="s">
        <v>859</v>
      </c>
      <c r="E600" s="307" t="s">
        <v>2080</v>
      </c>
      <c r="F600" s="307" t="s">
        <v>2081</v>
      </c>
      <c r="G600" s="307">
        <v>6</v>
      </c>
      <c r="H600" s="307" t="s">
        <v>858</v>
      </c>
      <c r="I600" s="307" t="str">
        <f>("1103250117")</f>
        <v>1103250117</v>
      </c>
    </row>
    <row r="601" spans="1:9" ht="13.5">
      <c r="A601" s="419" t="str">
        <f t="shared" si="9"/>
        <v>明野東サッカースポーツ少年団_6</v>
      </c>
      <c r="B601" s="307" t="s">
        <v>195</v>
      </c>
      <c r="C601" s="307" t="str">
        <f>("6")</f>
        <v>6</v>
      </c>
      <c r="D601" s="307" t="s">
        <v>859</v>
      </c>
      <c r="E601" s="307" t="s">
        <v>2082</v>
      </c>
      <c r="F601" s="307" t="s">
        <v>2083</v>
      </c>
      <c r="G601" s="307">
        <v>6</v>
      </c>
      <c r="H601" s="307" t="s">
        <v>858</v>
      </c>
      <c r="I601" s="307" t="str">
        <f>("1012270170")</f>
        <v>1012270170</v>
      </c>
    </row>
    <row r="602" spans="1:10" ht="13.5">
      <c r="A602" s="419" t="str">
        <f t="shared" si="9"/>
        <v>明野東サッカースポーツ少年団_7</v>
      </c>
      <c r="B602" s="307" t="s">
        <v>195</v>
      </c>
      <c r="C602" s="307" t="str">
        <f>("7")</f>
        <v>7</v>
      </c>
      <c r="D602" s="307" t="s">
        <v>862</v>
      </c>
      <c r="E602" s="307" t="s">
        <v>2084</v>
      </c>
      <c r="F602" s="307" t="s">
        <v>2085</v>
      </c>
      <c r="G602" s="307">
        <v>6</v>
      </c>
      <c r="H602" s="307" t="s">
        <v>858</v>
      </c>
      <c r="I602" s="307" t="str">
        <f>("1006010154")</f>
        <v>1006010154</v>
      </c>
      <c r="J602" s="307" t="s">
        <v>15</v>
      </c>
    </row>
    <row r="603" spans="1:9" ht="13.5">
      <c r="A603" s="419" t="str">
        <f t="shared" si="9"/>
        <v>明野東サッカースポーツ少年団_8</v>
      </c>
      <c r="B603" s="307" t="s">
        <v>195</v>
      </c>
      <c r="C603" s="307" t="str">
        <f>("8")</f>
        <v>8</v>
      </c>
      <c r="D603" s="307" t="s">
        <v>884</v>
      </c>
      <c r="E603" s="307" t="s">
        <v>2086</v>
      </c>
      <c r="F603" s="307" t="s">
        <v>2087</v>
      </c>
      <c r="G603" s="307">
        <v>5</v>
      </c>
      <c r="H603" s="307" t="s">
        <v>869</v>
      </c>
      <c r="I603" s="307" t="str">
        <f>("1112100125")</f>
        <v>1112100125</v>
      </c>
    </row>
    <row r="604" spans="1:9" ht="13.5">
      <c r="A604" s="419" t="str">
        <f t="shared" si="9"/>
        <v>明野東サッカースポーツ少年団_9</v>
      </c>
      <c r="B604" s="307" t="s">
        <v>195</v>
      </c>
      <c r="C604" s="307" t="str">
        <f>("9")</f>
        <v>9</v>
      </c>
      <c r="D604" s="307" t="s">
        <v>884</v>
      </c>
      <c r="E604" s="307" t="s">
        <v>2088</v>
      </c>
      <c r="F604" s="307" t="s">
        <v>2089</v>
      </c>
      <c r="G604" s="307">
        <v>6</v>
      </c>
      <c r="H604" s="307" t="s">
        <v>858</v>
      </c>
      <c r="I604" s="307" t="str">
        <f>("1102220140")</f>
        <v>1102220140</v>
      </c>
    </row>
    <row r="605" spans="1:9" ht="13.5">
      <c r="A605" s="419" t="str">
        <f t="shared" si="9"/>
        <v>明野東サッカースポーツ少年団_10</v>
      </c>
      <c r="B605" s="307" t="s">
        <v>195</v>
      </c>
      <c r="C605" s="307" t="str">
        <f>("10")</f>
        <v>10</v>
      </c>
      <c r="D605" s="307" t="s">
        <v>862</v>
      </c>
      <c r="E605" s="307" t="s">
        <v>2090</v>
      </c>
      <c r="F605" s="307" t="s">
        <v>2091</v>
      </c>
      <c r="G605" s="307">
        <v>5</v>
      </c>
      <c r="H605" s="307" t="s">
        <v>858</v>
      </c>
      <c r="I605" s="307" t="str">
        <f>("1107310092")</f>
        <v>1107310092</v>
      </c>
    </row>
    <row r="606" spans="1:9" ht="13.5">
      <c r="A606" s="419" t="str">
        <f t="shared" si="9"/>
        <v>明野東サッカースポーツ少年団_11</v>
      </c>
      <c r="B606" s="307" t="s">
        <v>195</v>
      </c>
      <c r="C606" s="307" t="str">
        <f>("11")</f>
        <v>11</v>
      </c>
      <c r="D606" s="307" t="s">
        <v>862</v>
      </c>
      <c r="E606" s="307" t="s">
        <v>2092</v>
      </c>
      <c r="F606" s="307" t="s">
        <v>2093</v>
      </c>
      <c r="G606" s="307">
        <v>5</v>
      </c>
      <c r="H606" s="307" t="s">
        <v>858</v>
      </c>
      <c r="I606" s="307" t="str">
        <f>("1202140166")</f>
        <v>1202140166</v>
      </c>
    </row>
    <row r="607" spans="1:9" ht="13.5">
      <c r="A607" s="419" t="str">
        <f t="shared" si="9"/>
        <v>明野東サッカースポーツ少年団_12</v>
      </c>
      <c r="B607" s="307" t="s">
        <v>195</v>
      </c>
      <c r="C607" s="307" t="str">
        <f>("12")</f>
        <v>12</v>
      </c>
      <c r="D607" s="307" t="s">
        <v>884</v>
      </c>
      <c r="E607" s="307" t="s">
        <v>2094</v>
      </c>
      <c r="F607" s="307" t="s">
        <v>2095</v>
      </c>
      <c r="G607" s="307">
        <v>5</v>
      </c>
      <c r="H607" s="307" t="s">
        <v>869</v>
      </c>
      <c r="I607" s="307" t="str">
        <f>("1105160162")</f>
        <v>1105160162</v>
      </c>
    </row>
    <row r="608" spans="1:9" ht="13.5">
      <c r="A608" s="419" t="str">
        <f t="shared" si="9"/>
        <v>明野東サッカースポーツ少年団_13</v>
      </c>
      <c r="B608" s="307" t="s">
        <v>195</v>
      </c>
      <c r="C608" s="307" t="str">
        <f>("13")</f>
        <v>13</v>
      </c>
      <c r="D608" s="307" t="s">
        <v>862</v>
      </c>
      <c r="E608" s="307" t="s">
        <v>2096</v>
      </c>
      <c r="F608" s="307" t="s">
        <v>2097</v>
      </c>
      <c r="G608" s="307">
        <v>4</v>
      </c>
      <c r="H608" s="307" t="s">
        <v>858</v>
      </c>
      <c r="I608" s="307" t="str">
        <f>("1205310076")</f>
        <v>1205310076</v>
      </c>
    </row>
    <row r="609" spans="1:9" ht="13.5">
      <c r="A609" s="419" t="str">
        <f t="shared" si="9"/>
        <v>明野東サッカースポーツ少年団_14</v>
      </c>
      <c r="B609" s="307" t="s">
        <v>195</v>
      </c>
      <c r="C609" s="307" t="str">
        <f>("14")</f>
        <v>14</v>
      </c>
      <c r="D609" s="307" t="s">
        <v>884</v>
      </c>
      <c r="E609" s="307" t="s">
        <v>2098</v>
      </c>
      <c r="F609" s="307" t="s">
        <v>2099</v>
      </c>
      <c r="G609" s="307">
        <v>4</v>
      </c>
      <c r="H609" s="307" t="s">
        <v>858</v>
      </c>
      <c r="I609" s="307" t="str">
        <f>("1211280072")</f>
        <v>1211280072</v>
      </c>
    </row>
    <row r="610" spans="1:9" ht="13.5">
      <c r="A610" s="419" t="str">
        <f t="shared" si="9"/>
        <v>明野東サッカースポーツ少年団_15</v>
      </c>
      <c r="B610" s="307" t="s">
        <v>195</v>
      </c>
      <c r="C610" s="307" t="str">
        <f>("15")</f>
        <v>15</v>
      </c>
      <c r="D610" s="307" t="s">
        <v>884</v>
      </c>
      <c r="E610" s="307" t="s">
        <v>2100</v>
      </c>
      <c r="F610" s="307" t="s">
        <v>2101</v>
      </c>
      <c r="G610" s="307">
        <v>4</v>
      </c>
      <c r="H610" s="307" t="s">
        <v>858</v>
      </c>
      <c r="I610" s="307" t="str">
        <f>("1205170137")</f>
        <v>1205170137</v>
      </c>
    </row>
    <row r="611" spans="1:9" ht="13.5">
      <c r="A611" s="419" t="str">
        <f t="shared" si="9"/>
        <v>大道サッカースポーツ少年団_1</v>
      </c>
      <c r="B611" s="307" t="s">
        <v>244</v>
      </c>
      <c r="C611" s="307" t="str">
        <f>("1")</f>
        <v>1</v>
      </c>
      <c r="D611" s="307" t="s">
        <v>862</v>
      </c>
      <c r="E611" s="307" t="s">
        <v>2102</v>
      </c>
      <c r="F611" s="307" t="s">
        <v>2103</v>
      </c>
      <c r="G611" s="307">
        <v>6</v>
      </c>
      <c r="H611" s="307" t="s">
        <v>858</v>
      </c>
      <c r="I611" s="307" t="str">
        <f>("1101120003")</f>
        <v>1101120003</v>
      </c>
    </row>
    <row r="612" spans="1:10" ht="13.5">
      <c r="A612" s="419" t="str">
        <f t="shared" si="9"/>
        <v>大道サッカースポーツ少年団_2</v>
      </c>
      <c r="B612" s="307" t="s">
        <v>244</v>
      </c>
      <c r="C612" s="307" t="str">
        <f>("2")</f>
        <v>2</v>
      </c>
      <c r="D612" s="307" t="s">
        <v>859</v>
      </c>
      <c r="E612" s="307" t="s">
        <v>2104</v>
      </c>
      <c r="F612" s="307" t="s">
        <v>2105</v>
      </c>
      <c r="G612" s="307">
        <v>6</v>
      </c>
      <c r="H612" s="307" t="s">
        <v>858</v>
      </c>
      <c r="I612" s="307" t="str">
        <f>("1005240039")</f>
        <v>1005240039</v>
      </c>
      <c r="J612" s="307" t="s">
        <v>15</v>
      </c>
    </row>
    <row r="613" spans="1:9" ht="13.5">
      <c r="A613" s="419" t="str">
        <f t="shared" si="9"/>
        <v>大道サッカースポーツ少年団_3</v>
      </c>
      <c r="B613" s="307" t="s">
        <v>244</v>
      </c>
      <c r="C613" s="307" t="str">
        <f>("3")</f>
        <v>3</v>
      </c>
      <c r="D613" s="307" t="s">
        <v>862</v>
      </c>
      <c r="E613" s="307" t="s">
        <v>2106</v>
      </c>
      <c r="F613" s="307" t="s">
        <v>2107</v>
      </c>
      <c r="G613" s="307">
        <v>6</v>
      </c>
      <c r="H613" s="307" t="s">
        <v>858</v>
      </c>
      <c r="I613" s="307" t="str">
        <f>("1008280004")</f>
        <v>1008280004</v>
      </c>
    </row>
    <row r="614" spans="1:9" ht="13.5">
      <c r="A614" s="419" t="str">
        <f t="shared" si="9"/>
        <v>大道サッカースポーツ少年団_4</v>
      </c>
      <c r="B614" s="307" t="s">
        <v>244</v>
      </c>
      <c r="C614" s="307" t="str">
        <f>("4")</f>
        <v>4</v>
      </c>
      <c r="D614" s="307" t="s">
        <v>884</v>
      </c>
      <c r="E614" s="307" t="s">
        <v>2108</v>
      </c>
      <c r="F614" s="307" t="s">
        <v>2109</v>
      </c>
      <c r="G614" s="307">
        <v>5</v>
      </c>
      <c r="H614" s="307" t="s">
        <v>858</v>
      </c>
      <c r="I614" s="307" t="str">
        <f>("1201260013")</f>
        <v>1201260013</v>
      </c>
    </row>
    <row r="615" spans="1:9" ht="13.5">
      <c r="A615" s="419" t="str">
        <f t="shared" si="9"/>
        <v>大道サッカースポーツ少年団_5</v>
      </c>
      <c r="B615" s="307" t="s">
        <v>244</v>
      </c>
      <c r="C615" s="307" t="str">
        <f>("5")</f>
        <v>5</v>
      </c>
      <c r="D615" s="307" t="s">
        <v>862</v>
      </c>
      <c r="E615" s="307" t="s">
        <v>2110</v>
      </c>
      <c r="F615" s="307" t="s">
        <v>2111</v>
      </c>
      <c r="G615" s="307">
        <v>6</v>
      </c>
      <c r="H615" s="307" t="s">
        <v>869</v>
      </c>
      <c r="I615" s="307" t="str">
        <f>("1008240056")</f>
        <v>1008240056</v>
      </c>
    </row>
    <row r="616" spans="1:9" ht="13.5">
      <c r="A616" s="419" t="str">
        <f t="shared" si="9"/>
        <v>大道サッカースポーツ少年団_6</v>
      </c>
      <c r="B616" s="307" t="s">
        <v>244</v>
      </c>
      <c r="C616" s="307" t="str">
        <f>("6")</f>
        <v>6</v>
      </c>
      <c r="D616" s="307" t="s">
        <v>862</v>
      </c>
      <c r="E616" s="307" t="s">
        <v>2112</v>
      </c>
      <c r="F616" s="307" t="s">
        <v>2113</v>
      </c>
      <c r="G616" s="307">
        <v>6</v>
      </c>
      <c r="H616" s="307" t="s">
        <v>858</v>
      </c>
      <c r="I616" s="307" t="str">
        <f>("1008230032")</f>
        <v>1008230032</v>
      </c>
    </row>
    <row r="617" spans="1:9" ht="13.5">
      <c r="A617" s="419" t="str">
        <f t="shared" si="9"/>
        <v>大道サッカースポーツ少年団_7</v>
      </c>
      <c r="B617" s="307" t="s">
        <v>244</v>
      </c>
      <c r="C617" s="307" t="str">
        <f>("7")</f>
        <v>7</v>
      </c>
      <c r="D617" s="307" t="s">
        <v>884</v>
      </c>
      <c r="E617" s="307" t="s">
        <v>2114</v>
      </c>
      <c r="F617" s="307" t="s">
        <v>2115</v>
      </c>
      <c r="G617" s="307">
        <v>6</v>
      </c>
      <c r="H617" s="307" t="s">
        <v>869</v>
      </c>
      <c r="I617" s="307" t="str">
        <f>("1010270008")</f>
        <v>1010270008</v>
      </c>
    </row>
    <row r="618" spans="1:9" ht="13.5">
      <c r="A618" s="419" t="str">
        <f t="shared" si="9"/>
        <v>大道サッカースポーツ少年団_8</v>
      </c>
      <c r="B618" s="307" t="s">
        <v>244</v>
      </c>
      <c r="C618" s="307" t="str">
        <f>("8")</f>
        <v>8</v>
      </c>
      <c r="D618" s="307" t="s">
        <v>884</v>
      </c>
      <c r="E618" s="307" t="s">
        <v>2116</v>
      </c>
      <c r="F618" s="307" t="s">
        <v>2117</v>
      </c>
      <c r="G618" s="307">
        <v>6</v>
      </c>
      <c r="H618" s="307" t="s">
        <v>858</v>
      </c>
      <c r="I618" s="307" t="str">
        <f>("1007120010")</f>
        <v>1007120010</v>
      </c>
    </row>
    <row r="619" spans="1:9" ht="13.5">
      <c r="A619" s="419" t="str">
        <f t="shared" si="9"/>
        <v>大道サッカースポーツ少年団_9</v>
      </c>
      <c r="B619" s="307" t="s">
        <v>244</v>
      </c>
      <c r="C619" s="307" t="str">
        <f>("9")</f>
        <v>9</v>
      </c>
      <c r="D619" s="307" t="s">
        <v>884</v>
      </c>
      <c r="E619" s="307" t="s">
        <v>2118</v>
      </c>
      <c r="F619" s="307" t="s">
        <v>2119</v>
      </c>
      <c r="G619" s="307">
        <v>5</v>
      </c>
      <c r="H619" s="307" t="s">
        <v>858</v>
      </c>
      <c r="I619" s="307" t="str">
        <f>("1107140025")</f>
        <v>1107140025</v>
      </c>
    </row>
    <row r="620" spans="1:9" ht="13.5">
      <c r="A620" s="419" t="str">
        <f t="shared" si="9"/>
        <v>大道サッカースポーツ少年団_10</v>
      </c>
      <c r="B620" s="307" t="s">
        <v>244</v>
      </c>
      <c r="C620" s="307" t="str">
        <f>("10")</f>
        <v>10</v>
      </c>
      <c r="D620" s="307" t="s">
        <v>884</v>
      </c>
      <c r="E620" s="307" t="s">
        <v>2120</v>
      </c>
      <c r="F620" s="307" t="s">
        <v>2121</v>
      </c>
      <c r="G620" s="307">
        <v>5</v>
      </c>
      <c r="H620" s="307" t="s">
        <v>858</v>
      </c>
      <c r="I620" s="307" t="str">
        <f>("1111300032")</f>
        <v>1111300032</v>
      </c>
    </row>
    <row r="621" spans="1:9" ht="13.5">
      <c r="A621" s="419" t="str">
        <f t="shared" si="9"/>
        <v>大道サッカースポーツ少年団_11</v>
      </c>
      <c r="B621" s="307" t="s">
        <v>244</v>
      </c>
      <c r="C621" s="307" t="str">
        <f>("11")</f>
        <v>11</v>
      </c>
      <c r="D621" s="307" t="s">
        <v>862</v>
      </c>
      <c r="E621" s="307" t="s">
        <v>2122</v>
      </c>
      <c r="F621" s="307" t="s">
        <v>2123</v>
      </c>
      <c r="G621" s="307">
        <v>6</v>
      </c>
      <c r="H621" s="307" t="s">
        <v>858</v>
      </c>
      <c r="I621" s="307" t="str">
        <f>("1005070325")</f>
        <v>1005070325</v>
      </c>
    </row>
    <row r="622" spans="1:9" ht="13.5">
      <c r="A622" s="419" t="str">
        <f t="shared" si="9"/>
        <v>大道サッカースポーツ少年団_12</v>
      </c>
      <c r="B622" s="307" t="s">
        <v>244</v>
      </c>
      <c r="C622" s="307" t="str">
        <f>("12")</f>
        <v>12</v>
      </c>
      <c r="D622" s="307" t="s">
        <v>855</v>
      </c>
      <c r="E622" s="307" t="s">
        <v>2124</v>
      </c>
      <c r="F622" s="307" t="s">
        <v>2125</v>
      </c>
      <c r="G622" s="307">
        <v>6</v>
      </c>
      <c r="H622" s="307" t="s">
        <v>858</v>
      </c>
      <c r="I622" s="307" t="str">
        <f>("1006220006")</f>
        <v>1006220006</v>
      </c>
    </row>
    <row r="623" spans="1:9" ht="13.5">
      <c r="A623" s="419" t="str">
        <f t="shared" si="9"/>
        <v>大道サッカースポーツ少年団_13</v>
      </c>
      <c r="B623" s="307" t="s">
        <v>244</v>
      </c>
      <c r="C623" s="307" t="str">
        <f>("13")</f>
        <v>13</v>
      </c>
      <c r="D623" s="307" t="s">
        <v>862</v>
      </c>
      <c r="E623" s="307" t="s">
        <v>2126</v>
      </c>
      <c r="F623" s="307" t="s">
        <v>2127</v>
      </c>
      <c r="G623" s="307">
        <v>5</v>
      </c>
      <c r="H623" s="307" t="s">
        <v>858</v>
      </c>
      <c r="I623" s="307" t="str">
        <f>("1109140193")</f>
        <v>1109140193</v>
      </c>
    </row>
    <row r="624" spans="1:9" ht="13.5">
      <c r="A624" s="419" t="str">
        <f t="shared" si="9"/>
        <v>大道サッカースポーツ少年団_14</v>
      </c>
      <c r="B624" s="307" t="s">
        <v>244</v>
      </c>
      <c r="C624" s="307" t="str">
        <f>("14")</f>
        <v>14</v>
      </c>
      <c r="D624" s="307" t="s">
        <v>862</v>
      </c>
      <c r="E624" s="307" t="s">
        <v>2128</v>
      </c>
      <c r="F624" s="307" t="s">
        <v>2129</v>
      </c>
      <c r="G624" s="307">
        <v>4</v>
      </c>
      <c r="H624" s="307" t="s">
        <v>858</v>
      </c>
      <c r="I624" s="307" t="str">
        <f>("1303270003")</f>
        <v>1303270003</v>
      </c>
    </row>
    <row r="625" spans="1:9" ht="13.5">
      <c r="A625" s="419" t="str">
        <f t="shared" si="9"/>
        <v>大道サッカースポーツ少年団_15</v>
      </c>
      <c r="B625" s="307" t="s">
        <v>244</v>
      </c>
      <c r="C625" s="307" t="str">
        <f>("15")</f>
        <v>15</v>
      </c>
      <c r="D625" s="307" t="s">
        <v>862</v>
      </c>
      <c r="E625" s="307" t="s">
        <v>2130</v>
      </c>
      <c r="F625" s="307" t="s">
        <v>2131</v>
      </c>
      <c r="G625" s="307">
        <v>4</v>
      </c>
      <c r="H625" s="307" t="s">
        <v>858</v>
      </c>
      <c r="I625" s="307" t="str">
        <f>("1303290047")</f>
        <v>1303290047</v>
      </c>
    </row>
    <row r="626" spans="1:9" ht="13.5">
      <c r="A626" s="419" t="str">
        <f t="shared" si="9"/>
        <v>東稙田サッカースポーツ少年団_2</v>
      </c>
      <c r="B626" s="307" t="s">
        <v>272</v>
      </c>
      <c r="C626" s="307" t="str">
        <f>("2")</f>
        <v>2</v>
      </c>
      <c r="D626" s="307" t="s">
        <v>884</v>
      </c>
      <c r="E626" s="307" t="s">
        <v>2132</v>
      </c>
      <c r="F626" s="307" t="s">
        <v>2133</v>
      </c>
      <c r="G626" s="307">
        <v>4</v>
      </c>
      <c r="H626" s="307" t="s">
        <v>858</v>
      </c>
      <c r="I626" s="307" t="str">
        <f>("1207270119")</f>
        <v>1207270119</v>
      </c>
    </row>
    <row r="627" spans="1:9" ht="13.5">
      <c r="A627" s="419" t="str">
        <f t="shared" si="9"/>
        <v>東稙田サッカースポーツ少年団_3</v>
      </c>
      <c r="B627" s="307" t="s">
        <v>272</v>
      </c>
      <c r="C627" s="307" t="str">
        <f>("3")</f>
        <v>3</v>
      </c>
      <c r="D627" s="307" t="s">
        <v>859</v>
      </c>
      <c r="E627" s="307" t="s">
        <v>2134</v>
      </c>
      <c r="F627" s="307" t="s">
        <v>2135</v>
      </c>
      <c r="G627" s="307">
        <v>4</v>
      </c>
      <c r="H627" s="307" t="s">
        <v>858</v>
      </c>
      <c r="I627" s="307" t="str">
        <f>("1212120089")</f>
        <v>1212120089</v>
      </c>
    </row>
    <row r="628" spans="1:9" ht="13.5">
      <c r="A628" s="419" t="str">
        <f t="shared" si="9"/>
        <v>東稙田サッカースポーツ少年団_5</v>
      </c>
      <c r="B628" s="307" t="s">
        <v>272</v>
      </c>
      <c r="C628" s="307" t="str">
        <f>("5")</f>
        <v>5</v>
      </c>
      <c r="D628" s="307" t="s">
        <v>862</v>
      </c>
      <c r="E628" s="307" t="s">
        <v>2136</v>
      </c>
      <c r="F628" s="307" t="s">
        <v>2137</v>
      </c>
      <c r="G628" s="307">
        <v>4</v>
      </c>
      <c r="H628" s="307" t="s">
        <v>858</v>
      </c>
      <c r="I628" s="307" t="str">
        <f>("1206080031")</f>
        <v>1206080031</v>
      </c>
    </row>
    <row r="629" spans="1:9" ht="13.5">
      <c r="A629" s="419" t="str">
        <f t="shared" si="9"/>
        <v>東稙田サッカースポーツ少年団_6</v>
      </c>
      <c r="B629" s="307" t="s">
        <v>272</v>
      </c>
      <c r="C629" s="307" t="str">
        <f>("6")</f>
        <v>6</v>
      </c>
      <c r="D629" s="307" t="s">
        <v>884</v>
      </c>
      <c r="E629" s="307" t="s">
        <v>2138</v>
      </c>
      <c r="F629" s="307" t="s">
        <v>2139</v>
      </c>
      <c r="G629" s="307">
        <v>4</v>
      </c>
      <c r="H629" s="307" t="s">
        <v>858</v>
      </c>
      <c r="I629" s="307" t="str">
        <f>("1208270030")</f>
        <v>1208270030</v>
      </c>
    </row>
    <row r="630" spans="1:9" ht="13.5">
      <c r="A630" s="419" t="str">
        <f t="shared" si="9"/>
        <v>東稙田サッカースポーツ少年団_7</v>
      </c>
      <c r="B630" s="307" t="s">
        <v>272</v>
      </c>
      <c r="C630" s="307" t="str">
        <f>("7")</f>
        <v>7</v>
      </c>
      <c r="D630" s="307" t="s">
        <v>862</v>
      </c>
      <c r="E630" s="307" t="s">
        <v>2140</v>
      </c>
      <c r="F630" s="307" t="s">
        <v>2141</v>
      </c>
      <c r="G630" s="307">
        <v>4</v>
      </c>
      <c r="H630" s="307" t="s">
        <v>858</v>
      </c>
      <c r="I630" s="307" t="str">
        <f>("1208110027")</f>
        <v>1208110027</v>
      </c>
    </row>
    <row r="631" spans="1:9" ht="13.5">
      <c r="A631" s="419" t="str">
        <f t="shared" si="9"/>
        <v>東稙田サッカースポーツ少年団_8</v>
      </c>
      <c r="B631" s="307" t="s">
        <v>272</v>
      </c>
      <c r="C631" s="307" t="str">
        <f>("8")</f>
        <v>8</v>
      </c>
      <c r="D631" s="307" t="s">
        <v>884</v>
      </c>
      <c r="E631" s="307" t="s">
        <v>2142</v>
      </c>
      <c r="F631" s="307" t="s">
        <v>2143</v>
      </c>
      <c r="G631" s="307">
        <v>4</v>
      </c>
      <c r="H631" s="307" t="s">
        <v>858</v>
      </c>
      <c r="I631" s="307" t="str">
        <f>("1302040007")</f>
        <v>1302040007</v>
      </c>
    </row>
    <row r="632" spans="1:9" ht="13.5">
      <c r="A632" s="419" t="str">
        <f t="shared" si="9"/>
        <v>東稙田サッカースポーツ少年団_9</v>
      </c>
      <c r="B632" s="307" t="s">
        <v>272</v>
      </c>
      <c r="C632" s="307" t="str">
        <f>("9")</f>
        <v>9</v>
      </c>
      <c r="D632" s="307" t="s">
        <v>859</v>
      </c>
      <c r="E632" s="307" t="s">
        <v>2144</v>
      </c>
      <c r="F632" s="307" t="s">
        <v>2145</v>
      </c>
      <c r="G632" s="307">
        <v>6</v>
      </c>
      <c r="H632" s="307" t="s">
        <v>858</v>
      </c>
      <c r="I632" s="307" t="str">
        <f>("1008160172")</f>
        <v>1008160172</v>
      </c>
    </row>
    <row r="633" spans="1:10" ht="13.5">
      <c r="A633" s="419" t="str">
        <f t="shared" si="9"/>
        <v>東稙田サッカースポーツ少年団_10</v>
      </c>
      <c r="B633" s="307" t="s">
        <v>272</v>
      </c>
      <c r="C633" s="307" t="str">
        <f>("10")</f>
        <v>10</v>
      </c>
      <c r="D633" s="307" t="s">
        <v>862</v>
      </c>
      <c r="E633" s="307" t="s">
        <v>2146</v>
      </c>
      <c r="F633" s="307" t="s">
        <v>2147</v>
      </c>
      <c r="G633" s="307">
        <v>6</v>
      </c>
      <c r="H633" s="307" t="s">
        <v>858</v>
      </c>
      <c r="I633" s="307" t="str">
        <f>("1102110004")</f>
        <v>1102110004</v>
      </c>
      <c r="J633" s="307" t="s">
        <v>15</v>
      </c>
    </row>
    <row r="634" spans="1:9" ht="13.5">
      <c r="A634" s="419" t="str">
        <f t="shared" si="9"/>
        <v>東稙田サッカースポーツ少年団_11</v>
      </c>
      <c r="B634" s="307" t="s">
        <v>272</v>
      </c>
      <c r="C634" s="307" t="str">
        <f>("11")</f>
        <v>11</v>
      </c>
      <c r="D634" s="307" t="s">
        <v>862</v>
      </c>
      <c r="E634" s="307" t="s">
        <v>2148</v>
      </c>
      <c r="F634" s="307" t="s">
        <v>2149</v>
      </c>
      <c r="G634" s="307">
        <v>4</v>
      </c>
      <c r="H634" s="307" t="s">
        <v>858</v>
      </c>
      <c r="I634" s="307" t="str">
        <f>("1204150069")</f>
        <v>1204150069</v>
      </c>
    </row>
    <row r="635" spans="1:9" ht="13.5">
      <c r="A635" s="419" t="str">
        <f t="shared" si="9"/>
        <v>東稙田サッカースポーツ少年団_12</v>
      </c>
      <c r="B635" s="307" t="s">
        <v>272</v>
      </c>
      <c r="C635" s="307" t="str">
        <f>("12")</f>
        <v>12</v>
      </c>
      <c r="D635" s="307" t="s">
        <v>855</v>
      </c>
      <c r="E635" s="307" t="s">
        <v>2150</v>
      </c>
      <c r="F635" s="307" t="s">
        <v>2151</v>
      </c>
      <c r="G635" s="307">
        <v>6</v>
      </c>
      <c r="H635" s="307" t="s">
        <v>858</v>
      </c>
      <c r="I635" s="307" t="str">
        <f>("1007130015")</f>
        <v>1007130015</v>
      </c>
    </row>
    <row r="636" spans="1:9" ht="13.5">
      <c r="A636" s="419" t="str">
        <f t="shared" si="9"/>
        <v>東稙田サッカースポーツ少年団_13</v>
      </c>
      <c r="B636" s="307" t="s">
        <v>272</v>
      </c>
      <c r="C636" s="307" t="str">
        <f>("13")</f>
        <v>13</v>
      </c>
      <c r="D636" s="307" t="s">
        <v>862</v>
      </c>
      <c r="E636" s="307" t="s">
        <v>2152</v>
      </c>
      <c r="F636" s="307" t="s">
        <v>2153</v>
      </c>
      <c r="G636" s="307">
        <v>4</v>
      </c>
      <c r="H636" s="307" t="s">
        <v>858</v>
      </c>
      <c r="I636" s="307" t="str">
        <f>("1210270022")</f>
        <v>1210270022</v>
      </c>
    </row>
    <row r="637" spans="1:9" ht="13.5">
      <c r="A637" s="419" t="str">
        <f t="shared" si="9"/>
        <v>東稙田サッカースポーツ少年団_14</v>
      </c>
      <c r="B637" s="307" t="s">
        <v>272</v>
      </c>
      <c r="C637" s="307" t="str">
        <f>("14")</f>
        <v>14</v>
      </c>
      <c r="D637" s="307" t="s">
        <v>859</v>
      </c>
      <c r="E637" s="307" t="s">
        <v>2154</v>
      </c>
      <c r="F637" s="307" t="s">
        <v>2155</v>
      </c>
      <c r="G637" s="307">
        <v>4</v>
      </c>
      <c r="H637" s="307" t="s">
        <v>858</v>
      </c>
      <c r="I637" s="307" t="str">
        <f>("1204110096")</f>
        <v>1204110096</v>
      </c>
    </row>
    <row r="638" spans="1:9" ht="13.5">
      <c r="A638" s="419" t="str">
        <f t="shared" si="9"/>
        <v>東稙田サッカースポーツ少年団_15</v>
      </c>
      <c r="B638" s="307" t="s">
        <v>272</v>
      </c>
      <c r="C638" s="307" t="str">
        <f>("15")</f>
        <v>15</v>
      </c>
      <c r="D638" s="307" t="s">
        <v>862</v>
      </c>
      <c r="E638" s="307" t="s">
        <v>2156</v>
      </c>
      <c r="F638" s="307" t="s">
        <v>2157</v>
      </c>
      <c r="G638" s="307">
        <v>4</v>
      </c>
      <c r="H638" s="307" t="s">
        <v>858</v>
      </c>
      <c r="I638" s="307" t="str">
        <f>("1208010106")</f>
        <v>1208010106</v>
      </c>
    </row>
    <row r="639" spans="1:9" ht="13.5">
      <c r="A639" s="419" t="str">
        <f t="shared" si="9"/>
        <v>東稙田サッカースポーツ少年団_16</v>
      </c>
      <c r="B639" s="307" t="s">
        <v>272</v>
      </c>
      <c r="C639" s="307" t="str">
        <f>("16")</f>
        <v>16</v>
      </c>
      <c r="D639" s="307" t="s">
        <v>862</v>
      </c>
      <c r="E639" s="307" t="s">
        <v>2158</v>
      </c>
      <c r="F639" s="307" t="s">
        <v>2159</v>
      </c>
      <c r="G639" s="307">
        <v>4</v>
      </c>
      <c r="H639" s="307" t="s">
        <v>858</v>
      </c>
      <c r="I639" s="307" t="str">
        <f>("1302160057")</f>
        <v>1302160057</v>
      </c>
    </row>
    <row r="640" spans="1:9" ht="13.5">
      <c r="A640" s="419" t="str">
        <f t="shared" si="9"/>
        <v>東稙田サッカースポーツ少年団_17</v>
      </c>
      <c r="B640" s="307" t="s">
        <v>272</v>
      </c>
      <c r="C640" s="307" t="str">
        <f>("17")</f>
        <v>17</v>
      </c>
      <c r="D640" s="307" t="s">
        <v>862</v>
      </c>
      <c r="E640" s="307" t="s">
        <v>2160</v>
      </c>
      <c r="F640" s="307" t="s">
        <v>2161</v>
      </c>
      <c r="G640" s="307">
        <v>4</v>
      </c>
      <c r="H640" s="307" t="s">
        <v>858</v>
      </c>
      <c r="I640" s="307" t="str">
        <f>("1211020008")</f>
        <v>1211020008</v>
      </c>
    </row>
    <row r="641" spans="1:9" ht="13.5">
      <c r="A641" s="419" t="str">
        <f aca="true" t="shared" si="10" ref="A641:A704">CONCATENATE(B641,"_",C641)</f>
        <v>東稙田サッカースポーツ少年団_18</v>
      </c>
      <c r="B641" s="307" t="s">
        <v>272</v>
      </c>
      <c r="C641" s="307" t="str">
        <f>("18")</f>
        <v>18</v>
      </c>
      <c r="D641" s="307" t="s">
        <v>862</v>
      </c>
      <c r="E641" s="307" t="s">
        <v>2162</v>
      </c>
      <c r="F641" s="307" t="s">
        <v>2163</v>
      </c>
      <c r="G641" s="307">
        <v>4</v>
      </c>
      <c r="H641" s="307" t="s">
        <v>858</v>
      </c>
      <c r="I641" s="307" t="str">
        <f>("1301230114")</f>
        <v>1301230114</v>
      </c>
    </row>
    <row r="642" spans="1:9" ht="13.5">
      <c r="A642" s="419" t="str">
        <f t="shared" si="10"/>
        <v>寒田．敷戸サッカースポーツ少年団_1</v>
      </c>
      <c r="B642" s="307" t="s">
        <v>2164</v>
      </c>
      <c r="C642" s="307" t="str">
        <f>("1")</f>
        <v>1</v>
      </c>
      <c r="D642" s="307" t="s">
        <v>855</v>
      </c>
      <c r="E642" s="307" t="s">
        <v>2165</v>
      </c>
      <c r="F642" s="307" t="s">
        <v>2166</v>
      </c>
      <c r="G642" s="307">
        <v>5</v>
      </c>
      <c r="H642" s="307" t="s">
        <v>858</v>
      </c>
      <c r="I642" s="307" t="str">
        <f>("1106250080")</f>
        <v>1106250080</v>
      </c>
    </row>
    <row r="643" spans="1:9" ht="13.5">
      <c r="A643" s="419" t="str">
        <f t="shared" si="10"/>
        <v>寒田．敷戸サッカースポーツ少年団_3</v>
      </c>
      <c r="B643" s="307" t="s">
        <v>2164</v>
      </c>
      <c r="C643" s="307" t="str">
        <f>("3")</f>
        <v>3</v>
      </c>
      <c r="D643" s="307" t="s">
        <v>884</v>
      </c>
      <c r="E643" s="307" t="s">
        <v>2167</v>
      </c>
      <c r="F643" s="307" t="s">
        <v>2168</v>
      </c>
      <c r="G643" s="307">
        <v>6</v>
      </c>
      <c r="H643" s="307" t="s">
        <v>858</v>
      </c>
      <c r="I643" s="307" t="str">
        <f>("1009240236")</f>
        <v>1009240236</v>
      </c>
    </row>
    <row r="644" spans="1:9" ht="13.5">
      <c r="A644" s="419" t="str">
        <f t="shared" si="10"/>
        <v>寒田．敷戸サッカースポーツ少年団_4</v>
      </c>
      <c r="B644" s="307" t="s">
        <v>2164</v>
      </c>
      <c r="C644" s="307" t="str">
        <f>("4")</f>
        <v>4</v>
      </c>
      <c r="D644" s="307" t="s">
        <v>859</v>
      </c>
      <c r="E644" s="307" t="s">
        <v>2169</v>
      </c>
      <c r="F644" s="307" t="s">
        <v>2170</v>
      </c>
      <c r="G644" s="307">
        <v>5</v>
      </c>
      <c r="H644" s="307" t="s">
        <v>858</v>
      </c>
      <c r="I644" s="307" t="str">
        <f>("1202140109")</f>
        <v>1202140109</v>
      </c>
    </row>
    <row r="645" spans="1:9" ht="13.5">
      <c r="A645" s="419" t="str">
        <f t="shared" si="10"/>
        <v>寒田．敷戸サッカースポーツ少年団_5</v>
      </c>
      <c r="B645" s="307" t="s">
        <v>2164</v>
      </c>
      <c r="C645" s="307" t="str">
        <f>("5")</f>
        <v>5</v>
      </c>
      <c r="D645" s="307" t="s">
        <v>859</v>
      </c>
      <c r="E645" s="307" t="s">
        <v>2171</v>
      </c>
      <c r="F645" s="307" t="s">
        <v>2172</v>
      </c>
      <c r="G645" s="307">
        <v>5</v>
      </c>
      <c r="H645" s="307" t="s">
        <v>858</v>
      </c>
      <c r="I645" s="307" t="str">
        <f>("1104230129")</f>
        <v>1104230129</v>
      </c>
    </row>
    <row r="646" spans="1:9" ht="13.5">
      <c r="A646" s="419" t="str">
        <f t="shared" si="10"/>
        <v>寒田．敷戸サッカースポーツ少年団_6</v>
      </c>
      <c r="B646" s="307" t="s">
        <v>2164</v>
      </c>
      <c r="C646" s="307" t="str">
        <f>("6")</f>
        <v>6</v>
      </c>
      <c r="D646" s="307" t="s">
        <v>862</v>
      </c>
      <c r="E646" s="307" t="s">
        <v>2173</v>
      </c>
      <c r="F646" s="307" t="s">
        <v>2174</v>
      </c>
      <c r="G646" s="307">
        <v>5</v>
      </c>
      <c r="H646" s="307" t="s">
        <v>858</v>
      </c>
      <c r="I646" s="307" t="str">
        <f>("1111080188")</f>
        <v>1111080188</v>
      </c>
    </row>
    <row r="647" spans="1:9" ht="13.5">
      <c r="A647" s="419" t="str">
        <f t="shared" si="10"/>
        <v>寒田．敷戸サッカースポーツ少年団_7</v>
      </c>
      <c r="B647" s="307" t="s">
        <v>2164</v>
      </c>
      <c r="C647" s="307" t="str">
        <f>("7")</f>
        <v>7</v>
      </c>
      <c r="D647" s="307" t="s">
        <v>859</v>
      </c>
      <c r="E647" s="307" t="s">
        <v>2175</v>
      </c>
      <c r="F647" s="307" t="s">
        <v>2176</v>
      </c>
      <c r="G647" s="307">
        <v>5</v>
      </c>
      <c r="H647" s="307" t="s">
        <v>869</v>
      </c>
      <c r="I647" s="307" t="str">
        <f>("1108280110")</f>
        <v>1108280110</v>
      </c>
    </row>
    <row r="648" spans="1:9" ht="13.5">
      <c r="A648" s="419" t="str">
        <f t="shared" si="10"/>
        <v>寒田．敷戸サッカースポーツ少年団_8</v>
      </c>
      <c r="B648" s="307" t="s">
        <v>2164</v>
      </c>
      <c r="C648" s="307" t="str">
        <f>("8")</f>
        <v>8</v>
      </c>
      <c r="D648" s="307" t="s">
        <v>862</v>
      </c>
      <c r="E648" s="307" t="s">
        <v>2177</v>
      </c>
      <c r="F648" s="307" t="s">
        <v>2178</v>
      </c>
      <c r="G648" s="307">
        <v>5</v>
      </c>
      <c r="H648" s="307" t="s">
        <v>869</v>
      </c>
      <c r="I648" s="307" t="str">
        <f>("1202270098")</f>
        <v>1202270098</v>
      </c>
    </row>
    <row r="649" spans="1:9" ht="13.5">
      <c r="A649" s="419" t="str">
        <f t="shared" si="10"/>
        <v>寒田．敷戸サッカースポーツ少年団_9</v>
      </c>
      <c r="B649" s="307" t="s">
        <v>2164</v>
      </c>
      <c r="C649" s="307" t="str">
        <f>("9")</f>
        <v>9</v>
      </c>
      <c r="D649" s="307" t="s">
        <v>862</v>
      </c>
      <c r="E649" s="307" t="s">
        <v>2179</v>
      </c>
      <c r="F649" s="307" t="s">
        <v>2180</v>
      </c>
      <c r="G649" s="307">
        <v>5</v>
      </c>
      <c r="H649" s="307" t="s">
        <v>869</v>
      </c>
      <c r="I649" s="307" t="str">
        <f>("1107010138")</f>
        <v>1107010138</v>
      </c>
    </row>
    <row r="650" spans="1:10" ht="13.5">
      <c r="A650" s="419" t="str">
        <f t="shared" si="10"/>
        <v>寒田．敷戸サッカースポーツ少年団_10</v>
      </c>
      <c r="B650" s="307" t="s">
        <v>2164</v>
      </c>
      <c r="C650" s="307" t="str">
        <f>("10")</f>
        <v>10</v>
      </c>
      <c r="D650" s="307" t="s">
        <v>862</v>
      </c>
      <c r="E650" s="307" t="s">
        <v>2181</v>
      </c>
      <c r="F650" s="307" t="s">
        <v>2182</v>
      </c>
      <c r="G650" s="307">
        <v>6</v>
      </c>
      <c r="H650" s="307" t="s">
        <v>869</v>
      </c>
      <c r="I650" s="307" t="str">
        <f>("1101120213")</f>
        <v>1101120213</v>
      </c>
      <c r="J650" s="307" t="s">
        <v>15</v>
      </c>
    </row>
    <row r="651" spans="1:9" ht="13.5">
      <c r="A651" s="419" t="str">
        <f t="shared" si="10"/>
        <v>寒田．敷戸サッカースポーツ少年団_11</v>
      </c>
      <c r="B651" s="307" t="s">
        <v>2164</v>
      </c>
      <c r="C651" s="307" t="str">
        <f>("11")</f>
        <v>11</v>
      </c>
      <c r="D651" s="307" t="s">
        <v>859</v>
      </c>
      <c r="E651" s="307" t="s">
        <v>2183</v>
      </c>
      <c r="F651" s="307" t="s">
        <v>2184</v>
      </c>
      <c r="G651" s="307">
        <v>5</v>
      </c>
      <c r="H651" s="307" t="s">
        <v>858</v>
      </c>
      <c r="I651" s="307" t="str">
        <f>("1104160004")</f>
        <v>1104160004</v>
      </c>
    </row>
    <row r="652" spans="1:9" ht="13.5">
      <c r="A652" s="419" t="str">
        <f t="shared" si="10"/>
        <v>寒田．敷戸サッカースポーツ少年団_13</v>
      </c>
      <c r="B652" s="307" t="s">
        <v>2164</v>
      </c>
      <c r="C652" s="307" t="str">
        <f>("13")</f>
        <v>13</v>
      </c>
      <c r="D652" s="307" t="s">
        <v>862</v>
      </c>
      <c r="E652" s="307" t="s">
        <v>2185</v>
      </c>
      <c r="F652" s="307" t="s">
        <v>2186</v>
      </c>
      <c r="G652" s="307">
        <v>5</v>
      </c>
      <c r="H652" s="307" t="s">
        <v>858</v>
      </c>
      <c r="I652" s="307" t="str">
        <f>("1104020172")</f>
        <v>1104020172</v>
      </c>
    </row>
    <row r="653" spans="1:9" ht="13.5">
      <c r="A653" s="419" t="str">
        <f t="shared" si="10"/>
        <v>寒田．敷戸サッカースポーツ少年団_16</v>
      </c>
      <c r="B653" s="307" t="s">
        <v>2164</v>
      </c>
      <c r="C653" s="307" t="str">
        <f>("16")</f>
        <v>16</v>
      </c>
      <c r="D653" s="307" t="s">
        <v>859</v>
      </c>
      <c r="E653" s="307" t="s">
        <v>2187</v>
      </c>
      <c r="F653" s="307" t="s">
        <v>2188</v>
      </c>
      <c r="G653" s="307">
        <v>4</v>
      </c>
      <c r="H653" s="307" t="s">
        <v>858</v>
      </c>
      <c r="I653" s="307" t="str">
        <f>("1208310008")</f>
        <v>1208310008</v>
      </c>
    </row>
    <row r="654" spans="1:9" ht="13.5">
      <c r="A654" s="419" t="str">
        <f t="shared" si="10"/>
        <v>寒田．敷戸サッカースポーツ少年団_17</v>
      </c>
      <c r="B654" s="307" t="s">
        <v>2164</v>
      </c>
      <c r="C654" s="307" t="str">
        <f>("17")</f>
        <v>17</v>
      </c>
      <c r="D654" s="307" t="s">
        <v>862</v>
      </c>
      <c r="E654" s="307" t="s">
        <v>2189</v>
      </c>
      <c r="F654" s="307" t="s">
        <v>2190</v>
      </c>
      <c r="G654" s="307">
        <v>6</v>
      </c>
      <c r="H654" s="307" t="s">
        <v>869</v>
      </c>
      <c r="I654" s="307" t="str">
        <f>("1103210157")</f>
        <v>1103210157</v>
      </c>
    </row>
    <row r="655" spans="1:9" ht="13.5">
      <c r="A655" s="419" t="str">
        <f t="shared" si="10"/>
        <v>寒田．敷戸サッカースポーツ少年団_18</v>
      </c>
      <c r="B655" s="307" t="s">
        <v>2164</v>
      </c>
      <c r="C655" s="307" t="str">
        <f>("18")</f>
        <v>18</v>
      </c>
      <c r="D655" s="307" t="s">
        <v>862</v>
      </c>
      <c r="E655" s="307" t="s">
        <v>2191</v>
      </c>
      <c r="F655" s="307" t="s">
        <v>2192</v>
      </c>
      <c r="G655" s="307">
        <v>6</v>
      </c>
      <c r="H655" s="307" t="s">
        <v>858</v>
      </c>
      <c r="I655" s="307" t="str">
        <f>("1103070018")</f>
        <v>1103070018</v>
      </c>
    </row>
    <row r="656" spans="1:9" ht="13.5">
      <c r="A656" s="419" t="str">
        <f t="shared" si="10"/>
        <v>寒田．敷戸サッカースポーツ少年団_19</v>
      </c>
      <c r="B656" s="307" t="s">
        <v>2164</v>
      </c>
      <c r="C656" s="307" t="str">
        <f>("19")</f>
        <v>19</v>
      </c>
      <c r="D656" s="307" t="s">
        <v>862</v>
      </c>
      <c r="E656" s="307" t="s">
        <v>2193</v>
      </c>
      <c r="F656" s="307" t="s">
        <v>2194</v>
      </c>
      <c r="G656" s="307">
        <v>4</v>
      </c>
      <c r="H656" s="307" t="s">
        <v>858</v>
      </c>
      <c r="I656" s="307" t="str">
        <f>("1211050167")</f>
        <v>1211050167</v>
      </c>
    </row>
    <row r="657" spans="1:9" ht="13.5">
      <c r="A657" s="419" t="str">
        <f t="shared" si="10"/>
        <v>寒田．敷戸サッカースポーツ少年団_21</v>
      </c>
      <c r="B657" s="307" t="s">
        <v>2164</v>
      </c>
      <c r="C657" s="307" t="str">
        <f>("21")</f>
        <v>21</v>
      </c>
      <c r="D657" s="307" t="s">
        <v>855</v>
      </c>
      <c r="E657" s="307" t="s">
        <v>2195</v>
      </c>
      <c r="F657" s="307" t="s">
        <v>2196</v>
      </c>
      <c r="G657" s="307">
        <v>4</v>
      </c>
      <c r="H657" s="307" t="s">
        <v>858</v>
      </c>
      <c r="I657" s="307" t="str">
        <f>("1205110040")</f>
        <v>1205110040</v>
      </c>
    </row>
    <row r="658" spans="1:9" ht="13.5">
      <c r="A658" s="419" t="str">
        <f t="shared" si="10"/>
        <v>滝尾下郡サッカースポーツ少年団_1</v>
      </c>
      <c r="B658" s="307" t="s">
        <v>264</v>
      </c>
      <c r="C658" s="307" t="str">
        <f>("1")</f>
        <v>1</v>
      </c>
      <c r="D658" s="307" t="s">
        <v>855</v>
      </c>
      <c r="E658" s="307" t="s">
        <v>2197</v>
      </c>
      <c r="F658" s="307" t="s">
        <v>2198</v>
      </c>
      <c r="G658" s="307">
        <v>6</v>
      </c>
      <c r="H658" s="307" t="s">
        <v>858</v>
      </c>
      <c r="I658" s="307" t="str">
        <f>("1009010090")</f>
        <v>1009010090</v>
      </c>
    </row>
    <row r="659" spans="1:9" ht="13.5">
      <c r="A659" s="419" t="str">
        <f t="shared" si="10"/>
        <v>滝尾下郡サッカースポーツ少年団_2</v>
      </c>
      <c r="B659" s="307" t="s">
        <v>264</v>
      </c>
      <c r="C659" s="307" t="str">
        <f>("2")</f>
        <v>2</v>
      </c>
      <c r="D659" s="307" t="s">
        <v>859</v>
      </c>
      <c r="E659" s="307" t="s">
        <v>2199</v>
      </c>
      <c r="F659" s="307" t="s">
        <v>2200</v>
      </c>
      <c r="G659" s="307">
        <v>6</v>
      </c>
      <c r="H659" s="307" t="s">
        <v>858</v>
      </c>
      <c r="I659" s="307" t="str">
        <f>("1011300221")</f>
        <v>1011300221</v>
      </c>
    </row>
    <row r="660" spans="1:9" ht="13.5">
      <c r="A660" s="419" t="str">
        <f t="shared" si="10"/>
        <v>滝尾下郡サッカースポーツ少年団_3</v>
      </c>
      <c r="B660" s="307" t="s">
        <v>264</v>
      </c>
      <c r="C660" s="307" t="str">
        <f>("3")</f>
        <v>3</v>
      </c>
      <c r="D660" s="307" t="s">
        <v>862</v>
      </c>
      <c r="E660" s="307" t="s">
        <v>2201</v>
      </c>
      <c r="F660" s="307" t="s">
        <v>2202</v>
      </c>
      <c r="G660" s="307">
        <v>5</v>
      </c>
      <c r="H660" s="307" t="s">
        <v>858</v>
      </c>
      <c r="I660" s="307" t="str">
        <f>("1202010112")</f>
        <v>1202010112</v>
      </c>
    </row>
    <row r="661" spans="1:9" ht="13.5">
      <c r="A661" s="419" t="str">
        <f t="shared" si="10"/>
        <v>滝尾下郡サッカースポーツ少年団_4</v>
      </c>
      <c r="B661" s="307" t="s">
        <v>264</v>
      </c>
      <c r="C661" s="307" t="str">
        <f>("4")</f>
        <v>4</v>
      </c>
      <c r="D661" s="307" t="s">
        <v>859</v>
      </c>
      <c r="E661" s="307" t="s">
        <v>2203</v>
      </c>
      <c r="F661" s="307" t="s">
        <v>2204</v>
      </c>
      <c r="G661" s="307">
        <v>5</v>
      </c>
      <c r="H661" s="307" t="s">
        <v>858</v>
      </c>
      <c r="I661" s="307" t="str">
        <f>("1106150123")</f>
        <v>1106150123</v>
      </c>
    </row>
    <row r="662" spans="1:9" ht="13.5">
      <c r="A662" s="419" t="str">
        <f t="shared" si="10"/>
        <v>滝尾下郡サッカースポーツ少年団_5</v>
      </c>
      <c r="B662" s="307" t="s">
        <v>264</v>
      </c>
      <c r="C662" s="307" t="str">
        <f>("5")</f>
        <v>5</v>
      </c>
      <c r="D662" s="307" t="s">
        <v>862</v>
      </c>
      <c r="E662" s="307" t="s">
        <v>2205</v>
      </c>
      <c r="F662" s="307" t="s">
        <v>2206</v>
      </c>
      <c r="G662" s="307">
        <v>5</v>
      </c>
      <c r="H662" s="307" t="s">
        <v>858</v>
      </c>
      <c r="I662" s="307" t="str">
        <f>("1203130009")</f>
        <v>1203130009</v>
      </c>
    </row>
    <row r="663" spans="1:9" ht="13.5">
      <c r="A663" s="419" t="str">
        <f t="shared" si="10"/>
        <v>滝尾下郡サッカースポーツ少年団_6</v>
      </c>
      <c r="B663" s="307" t="s">
        <v>264</v>
      </c>
      <c r="C663" s="307" t="str">
        <f>("6")</f>
        <v>6</v>
      </c>
      <c r="D663" s="307" t="s">
        <v>862</v>
      </c>
      <c r="E663" s="307" t="s">
        <v>2207</v>
      </c>
      <c r="F663" s="307" t="s">
        <v>2208</v>
      </c>
      <c r="G663" s="307">
        <v>4</v>
      </c>
      <c r="H663" s="307" t="s">
        <v>858</v>
      </c>
      <c r="I663" s="307" t="str">
        <f>("1210290018")</f>
        <v>1210290018</v>
      </c>
    </row>
    <row r="664" spans="1:9" ht="13.5">
      <c r="A664" s="419" t="str">
        <f t="shared" si="10"/>
        <v>滝尾下郡サッカースポーツ少年団_7</v>
      </c>
      <c r="B664" s="307" t="s">
        <v>264</v>
      </c>
      <c r="C664" s="307" t="str">
        <f>("7")</f>
        <v>7</v>
      </c>
      <c r="D664" s="307" t="s">
        <v>862</v>
      </c>
      <c r="E664" s="307" t="s">
        <v>2209</v>
      </c>
      <c r="F664" s="307" t="s">
        <v>2210</v>
      </c>
      <c r="G664" s="307">
        <v>5</v>
      </c>
      <c r="H664" s="307" t="s">
        <v>858</v>
      </c>
      <c r="I664" s="307" t="str">
        <f>("1108080142")</f>
        <v>1108080142</v>
      </c>
    </row>
    <row r="665" spans="1:9" ht="13.5">
      <c r="A665" s="419" t="str">
        <f t="shared" si="10"/>
        <v>滝尾下郡サッカースポーツ少年団_9</v>
      </c>
      <c r="B665" s="307" t="s">
        <v>264</v>
      </c>
      <c r="C665" s="307" t="str">
        <f>("9")</f>
        <v>9</v>
      </c>
      <c r="D665" s="307" t="s">
        <v>884</v>
      </c>
      <c r="E665" s="307" t="s">
        <v>2211</v>
      </c>
      <c r="F665" s="307" t="s">
        <v>2212</v>
      </c>
      <c r="G665" s="307">
        <v>6</v>
      </c>
      <c r="H665" s="307" t="s">
        <v>858</v>
      </c>
      <c r="I665" s="307" t="str">
        <f>("1005310220")</f>
        <v>1005310220</v>
      </c>
    </row>
    <row r="666" spans="1:10" ht="13.5">
      <c r="A666" s="419" t="str">
        <f t="shared" si="10"/>
        <v>滝尾下郡サッカースポーツ少年団_10</v>
      </c>
      <c r="B666" s="307" t="s">
        <v>264</v>
      </c>
      <c r="C666" s="307" t="str">
        <f>("10")</f>
        <v>10</v>
      </c>
      <c r="D666" s="307" t="s">
        <v>859</v>
      </c>
      <c r="E666" s="307" t="s">
        <v>2213</v>
      </c>
      <c r="F666" s="307" t="s">
        <v>2214</v>
      </c>
      <c r="G666" s="307">
        <v>6</v>
      </c>
      <c r="H666" s="307" t="s">
        <v>858</v>
      </c>
      <c r="I666" s="307" t="str">
        <f>("1009050026")</f>
        <v>1009050026</v>
      </c>
      <c r="J666" s="307" t="s">
        <v>15</v>
      </c>
    </row>
    <row r="667" spans="1:9" ht="13.5">
      <c r="A667" s="419" t="str">
        <f t="shared" si="10"/>
        <v>滝尾下郡サッカースポーツ少年団_11</v>
      </c>
      <c r="B667" s="307" t="s">
        <v>264</v>
      </c>
      <c r="C667" s="307" t="str">
        <f>("11")</f>
        <v>11</v>
      </c>
      <c r="D667" s="307" t="s">
        <v>859</v>
      </c>
      <c r="E667" s="307" t="s">
        <v>2215</v>
      </c>
      <c r="F667" s="307" t="s">
        <v>2216</v>
      </c>
      <c r="G667" s="307">
        <v>5</v>
      </c>
      <c r="H667" s="307" t="s">
        <v>858</v>
      </c>
      <c r="I667" s="307" t="str">
        <f>("1203050049")</f>
        <v>1203050049</v>
      </c>
    </row>
    <row r="668" spans="1:9" ht="13.5">
      <c r="A668" s="419" t="str">
        <f t="shared" si="10"/>
        <v>滝尾下郡サッカースポーツ少年団_12</v>
      </c>
      <c r="B668" s="307" t="s">
        <v>264</v>
      </c>
      <c r="C668" s="307" t="str">
        <f>("12")</f>
        <v>12</v>
      </c>
      <c r="D668" s="307" t="s">
        <v>884</v>
      </c>
      <c r="E668" s="307" t="s">
        <v>2217</v>
      </c>
      <c r="F668" s="307" t="s">
        <v>2218</v>
      </c>
      <c r="G668" s="307">
        <v>5</v>
      </c>
      <c r="H668" s="307" t="s">
        <v>858</v>
      </c>
      <c r="I668" s="307" t="str">
        <f>("1110250161")</f>
        <v>1110250161</v>
      </c>
    </row>
    <row r="669" spans="1:9" ht="13.5">
      <c r="A669" s="419" t="str">
        <f t="shared" si="10"/>
        <v>滝尾下郡サッカースポーツ少年団_13</v>
      </c>
      <c r="B669" s="307" t="s">
        <v>264</v>
      </c>
      <c r="C669" s="307" t="str">
        <f>("13")</f>
        <v>13</v>
      </c>
      <c r="D669" s="307" t="s">
        <v>884</v>
      </c>
      <c r="E669" s="307" t="s">
        <v>2219</v>
      </c>
      <c r="F669" s="307" t="s">
        <v>2220</v>
      </c>
      <c r="G669" s="307">
        <v>4</v>
      </c>
      <c r="H669" s="307" t="s">
        <v>869</v>
      </c>
      <c r="I669" s="307" t="str">
        <f>("1206290046")</f>
        <v>1206290046</v>
      </c>
    </row>
    <row r="670" spans="1:9" ht="13.5">
      <c r="A670" s="419" t="str">
        <f t="shared" si="10"/>
        <v>滝尾下郡サッカースポーツ少年団_14</v>
      </c>
      <c r="B670" s="307" t="s">
        <v>264</v>
      </c>
      <c r="C670" s="307" t="str">
        <f>("14")</f>
        <v>14</v>
      </c>
      <c r="D670" s="307" t="s">
        <v>862</v>
      </c>
      <c r="E670" s="307" t="s">
        <v>2221</v>
      </c>
      <c r="F670" s="307" t="s">
        <v>2222</v>
      </c>
      <c r="G670" s="307">
        <v>4</v>
      </c>
      <c r="H670" s="307" t="s">
        <v>858</v>
      </c>
      <c r="I670" s="307" t="str">
        <f>("1301140010")</f>
        <v>1301140010</v>
      </c>
    </row>
    <row r="671" spans="1:9" ht="13.5">
      <c r="A671" s="419" t="str">
        <f t="shared" si="10"/>
        <v>滝尾下郡サッカースポーツ少年団_15</v>
      </c>
      <c r="B671" s="307" t="s">
        <v>264</v>
      </c>
      <c r="C671" s="307" t="str">
        <f>("15")</f>
        <v>15</v>
      </c>
      <c r="D671" s="307" t="s">
        <v>859</v>
      </c>
      <c r="E671" s="307" t="s">
        <v>2223</v>
      </c>
      <c r="F671" s="307" t="s">
        <v>2224</v>
      </c>
      <c r="G671" s="307">
        <v>4</v>
      </c>
      <c r="H671" s="307" t="s">
        <v>858</v>
      </c>
      <c r="I671" s="307" t="str">
        <f>("1301080029")</f>
        <v>1301080029</v>
      </c>
    </row>
    <row r="672" spans="1:9" ht="13.5">
      <c r="A672" s="419" t="str">
        <f t="shared" si="10"/>
        <v>滝尾下郡サッカースポーツ少年団_16</v>
      </c>
      <c r="B672" s="307" t="s">
        <v>264</v>
      </c>
      <c r="C672" s="307" t="str">
        <f>("16")</f>
        <v>16</v>
      </c>
      <c r="D672" s="307" t="s">
        <v>859</v>
      </c>
      <c r="E672" s="307" t="s">
        <v>2225</v>
      </c>
      <c r="F672" s="307" t="s">
        <v>2226</v>
      </c>
      <c r="G672" s="307">
        <v>4</v>
      </c>
      <c r="H672" s="307" t="s">
        <v>869</v>
      </c>
      <c r="I672" s="307" t="str">
        <f>("1206010023")</f>
        <v>1206010023</v>
      </c>
    </row>
    <row r="673" spans="1:9" ht="13.5">
      <c r="A673" s="419" t="str">
        <f t="shared" si="10"/>
        <v>滝尾下郡サッカースポーツ少年団_17</v>
      </c>
      <c r="B673" s="307" t="s">
        <v>264</v>
      </c>
      <c r="C673" s="307" t="str">
        <f>("17")</f>
        <v>17</v>
      </c>
      <c r="D673" s="307" t="s">
        <v>862</v>
      </c>
      <c r="E673" s="307" t="s">
        <v>2227</v>
      </c>
      <c r="F673" s="307" t="s">
        <v>2228</v>
      </c>
      <c r="G673" s="307">
        <v>4</v>
      </c>
      <c r="H673" s="307" t="s">
        <v>869</v>
      </c>
      <c r="I673" s="307" t="str">
        <f>("1207120024")</f>
        <v>1207120024</v>
      </c>
    </row>
    <row r="674" spans="1:9" ht="13.5">
      <c r="A674" s="419" t="str">
        <f t="shared" si="10"/>
        <v>豊府サッカースポーツ少年団_1</v>
      </c>
      <c r="B674" s="307" t="s">
        <v>274</v>
      </c>
      <c r="C674" s="307" t="str">
        <f>("1")</f>
        <v>1</v>
      </c>
      <c r="D674" s="307" t="s">
        <v>855</v>
      </c>
      <c r="E674" s="307" t="s">
        <v>2229</v>
      </c>
      <c r="F674" s="307" t="s">
        <v>2230</v>
      </c>
      <c r="G674" s="307">
        <v>6</v>
      </c>
      <c r="H674" s="307" t="s">
        <v>858</v>
      </c>
      <c r="I674" s="307" t="str">
        <f>("1005260127")</f>
        <v>1005260127</v>
      </c>
    </row>
    <row r="675" spans="1:9" ht="13.5">
      <c r="A675" s="419" t="str">
        <f t="shared" si="10"/>
        <v>豊府サッカースポーツ少年団_2</v>
      </c>
      <c r="B675" s="307" t="s">
        <v>274</v>
      </c>
      <c r="C675" s="307" t="str">
        <f>("2")</f>
        <v>2</v>
      </c>
      <c r="D675" s="307" t="s">
        <v>859</v>
      </c>
      <c r="E675" s="307" t="s">
        <v>2231</v>
      </c>
      <c r="F675" s="307" t="s">
        <v>2232</v>
      </c>
      <c r="G675" s="307">
        <v>6</v>
      </c>
      <c r="H675" s="307" t="s">
        <v>858</v>
      </c>
      <c r="I675" s="307" t="str">
        <f>("1009160127")</f>
        <v>1009160127</v>
      </c>
    </row>
    <row r="676" spans="1:9" ht="13.5">
      <c r="A676" s="419" t="str">
        <f t="shared" si="10"/>
        <v>豊府サッカースポーツ少年団_3</v>
      </c>
      <c r="B676" s="307" t="s">
        <v>274</v>
      </c>
      <c r="C676" s="307" t="str">
        <f>("3")</f>
        <v>3</v>
      </c>
      <c r="D676" s="307" t="s">
        <v>862</v>
      </c>
      <c r="E676" s="307" t="s">
        <v>2233</v>
      </c>
      <c r="F676" s="307" t="s">
        <v>2234</v>
      </c>
      <c r="G676" s="307">
        <v>5</v>
      </c>
      <c r="H676" s="307" t="s">
        <v>858</v>
      </c>
      <c r="I676" s="307" t="str">
        <f>("1203030072")</f>
        <v>1203030072</v>
      </c>
    </row>
    <row r="677" spans="1:9" ht="13.5">
      <c r="A677" s="419" t="str">
        <f t="shared" si="10"/>
        <v>豊府サッカースポーツ少年団_4</v>
      </c>
      <c r="B677" s="307" t="s">
        <v>274</v>
      </c>
      <c r="C677" s="307" t="str">
        <f>("4")</f>
        <v>4</v>
      </c>
      <c r="D677" s="307" t="s">
        <v>884</v>
      </c>
      <c r="E677" s="307" t="s">
        <v>2235</v>
      </c>
      <c r="F677" s="307" t="s">
        <v>2236</v>
      </c>
      <c r="G677" s="307">
        <v>6</v>
      </c>
      <c r="H677" s="307" t="s">
        <v>858</v>
      </c>
      <c r="I677" s="307" t="str">
        <f>("1006260169")</f>
        <v>1006260169</v>
      </c>
    </row>
    <row r="678" spans="1:9" ht="13.5">
      <c r="A678" s="419" t="str">
        <f t="shared" si="10"/>
        <v>豊府サッカースポーツ少年団_5</v>
      </c>
      <c r="B678" s="307" t="s">
        <v>274</v>
      </c>
      <c r="C678" s="307" t="str">
        <f>("5")</f>
        <v>5</v>
      </c>
      <c r="D678" s="307" t="s">
        <v>884</v>
      </c>
      <c r="E678" s="307" t="s">
        <v>2237</v>
      </c>
      <c r="F678" s="307" t="s">
        <v>2238</v>
      </c>
      <c r="G678" s="307">
        <v>6</v>
      </c>
      <c r="H678" s="307" t="s">
        <v>858</v>
      </c>
      <c r="I678" s="307" t="str">
        <f>("1006180305")</f>
        <v>1006180305</v>
      </c>
    </row>
    <row r="679" spans="1:9" ht="13.5">
      <c r="A679" s="419" t="str">
        <f t="shared" si="10"/>
        <v>豊府サッカースポーツ少年団_6</v>
      </c>
      <c r="B679" s="307" t="s">
        <v>274</v>
      </c>
      <c r="C679" s="307" t="str">
        <f>("6")</f>
        <v>6</v>
      </c>
      <c r="D679" s="307" t="s">
        <v>862</v>
      </c>
      <c r="E679" s="307" t="s">
        <v>2239</v>
      </c>
      <c r="F679" s="307" t="s">
        <v>2240</v>
      </c>
      <c r="G679" s="307">
        <v>5</v>
      </c>
      <c r="H679" s="307" t="s">
        <v>858</v>
      </c>
      <c r="I679" s="307" t="str">
        <f>("1107220154")</f>
        <v>1107220154</v>
      </c>
    </row>
    <row r="680" spans="1:9" ht="13.5">
      <c r="A680" s="419" t="str">
        <f t="shared" si="10"/>
        <v>豊府サッカースポーツ少年団_7</v>
      </c>
      <c r="B680" s="307" t="s">
        <v>274</v>
      </c>
      <c r="C680" s="307" t="str">
        <f>("7")</f>
        <v>7</v>
      </c>
      <c r="D680" s="307" t="s">
        <v>862</v>
      </c>
      <c r="E680" s="307" t="s">
        <v>2241</v>
      </c>
      <c r="F680" s="307" t="s">
        <v>2242</v>
      </c>
      <c r="G680" s="307">
        <v>6</v>
      </c>
      <c r="H680" s="307" t="s">
        <v>858</v>
      </c>
      <c r="I680" s="307" t="str">
        <f>("1004250091")</f>
        <v>1004250091</v>
      </c>
    </row>
    <row r="681" spans="1:9" ht="13.5">
      <c r="A681" s="419" t="str">
        <f t="shared" si="10"/>
        <v>豊府サッカースポーツ少年団_8</v>
      </c>
      <c r="B681" s="307" t="s">
        <v>274</v>
      </c>
      <c r="C681" s="307" t="str">
        <f>("8")</f>
        <v>8</v>
      </c>
      <c r="D681" s="307" t="s">
        <v>862</v>
      </c>
      <c r="E681" s="307" t="s">
        <v>2243</v>
      </c>
      <c r="F681" s="307" t="s">
        <v>2244</v>
      </c>
      <c r="G681" s="307">
        <v>6</v>
      </c>
      <c r="H681" s="307" t="s">
        <v>858</v>
      </c>
      <c r="I681" s="307" t="str">
        <f>("1012070178")</f>
        <v>1012070178</v>
      </c>
    </row>
    <row r="682" spans="1:9" ht="13.5">
      <c r="A682" s="419" t="str">
        <f t="shared" si="10"/>
        <v>豊府サッカースポーツ少年団_9</v>
      </c>
      <c r="B682" s="307" t="s">
        <v>274</v>
      </c>
      <c r="C682" s="307" t="str">
        <f>("9")</f>
        <v>9</v>
      </c>
      <c r="D682" s="307" t="s">
        <v>859</v>
      </c>
      <c r="E682" s="307" t="s">
        <v>2245</v>
      </c>
      <c r="F682" s="307" t="s">
        <v>2246</v>
      </c>
      <c r="G682" s="307">
        <v>6</v>
      </c>
      <c r="H682" s="307" t="s">
        <v>858</v>
      </c>
      <c r="I682" s="307" t="str">
        <f>("1008070160")</f>
        <v>1008070160</v>
      </c>
    </row>
    <row r="683" spans="1:10" ht="13.5">
      <c r="A683" s="419" t="str">
        <f t="shared" si="10"/>
        <v>豊府サッカースポーツ少年団_10</v>
      </c>
      <c r="B683" s="307" t="s">
        <v>274</v>
      </c>
      <c r="C683" s="307" t="str">
        <f>("10")</f>
        <v>10</v>
      </c>
      <c r="D683" s="307" t="s">
        <v>859</v>
      </c>
      <c r="E683" s="307" t="s">
        <v>2247</v>
      </c>
      <c r="F683" s="307" t="s">
        <v>2248</v>
      </c>
      <c r="G683" s="307">
        <v>6</v>
      </c>
      <c r="H683" s="307" t="s">
        <v>858</v>
      </c>
      <c r="I683" s="307" t="str">
        <f>("1006040139")</f>
        <v>1006040139</v>
      </c>
      <c r="J683" s="307" t="s">
        <v>15</v>
      </c>
    </row>
    <row r="684" spans="1:9" ht="13.5">
      <c r="A684" s="419" t="str">
        <f t="shared" si="10"/>
        <v>豊府サッカースポーツ少年団_11</v>
      </c>
      <c r="B684" s="307" t="s">
        <v>274</v>
      </c>
      <c r="C684" s="307" t="str">
        <f>("11")</f>
        <v>11</v>
      </c>
      <c r="D684" s="307" t="s">
        <v>862</v>
      </c>
      <c r="E684" s="307" t="s">
        <v>2249</v>
      </c>
      <c r="F684" s="307" t="s">
        <v>2250</v>
      </c>
      <c r="G684" s="307">
        <v>6</v>
      </c>
      <c r="H684" s="307" t="s">
        <v>858</v>
      </c>
      <c r="I684" s="307" t="str">
        <f>("1011280075")</f>
        <v>1011280075</v>
      </c>
    </row>
    <row r="685" spans="1:9" ht="13.5">
      <c r="A685" s="419" t="str">
        <f t="shared" si="10"/>
        <v>豊府サッカースポーツ少年団_12</v>
      </c>
      <c r="B685" s="307" t="s">
        <v>274</v>
      </c>
      <c r="C685" s="307" t="str">
        <f>("12")</f>
        <v>12</v>
      </c>
      <c r="D685" s="307" t="s">
        <v>855</v>
      </c>
      <c r="E685" s="307" t="s">
        <v>2251</v>
      </c>
      <c r="F685" s="307" t="s">
        <v>2252</v>
      </c>
      <c r="G685" s="307">
        <v>5</v>
      </c>
      <c r="H685" s="307" t="s">
        <v>858</v>
      </c>
      <c r="I685" s="307" t="str">
        <f>("1110150081")</f>
        <v>1110150081</v>
      </c>
    </row>
    <row r="686" spans="1:9" ht="13.5">
      <c r="A686" s="419" t="str">
        <f t="shared" si="10"/>
        <v>豊府サッカースポーツ少年団_13</v>
      </c>
      <c r="B686" s="307" t="s">
        <v>274</v>
      </c>
      <c r="C686" s="307" t="str">
        <f>("13")</f>
        <v>13</v>
      </c>
      <c r="D686" s="307" t="s">
        <v>884</v>
      </c>
      <c r="E686" s="307" t="s">
        <v>2253</v>
      </c>
      <c r="F686" s="307" t="s">
        <v>2254</v>
      </c>
      <c r="G686" s="307">
        <v>5</v>
      </c>
      <c r="H686" s="307" t="s">
        <v>858</v>
      </c>
      <c r="I686" s="307" t="str">
        <f>("1110200102")</f>
        <v>1110200102</v>
      </c>
    </row>
    <row r="687" spans="1:9" ht="13.5">
      <c r="A687" s="419" t="str">
        <f t="shared" si="10"/>
        <v>豊府サッカースポーツ少年団_17</v>
      </c>
      <c r="B687" s="307" t="s">
        <v>274</v>
      </c>
      <c r="C687" s="307" t="str">
        <f>("17")</f>
        <v>17</v>
      </c>
      <c r="D687" s="307" t="s">
        <v>862</v>
      </c>
      <c r="E687" s="307" t="s">
        <v>2255</v>
      </c>
      <c r="F687" s="307" t="s">
        <v>2256</v>
      </c>
      <c r="G687" s="307">
        <v>5</v>
      </c>
      <c r="H687" s="307" t="s">
        <v>869</v>
      </c>
      <c r="I687" s="307" t="str">
        <f>("1104090159")</f>
        <v>1104090159</v>
      </c>
    </row>
    <row r="688" spans="1:9" ht="13.5">
      <c r="A688" s="419" t="str">
        <f t="shared" si="10"/>
        <v>豊府サッカースポーツ少年団_18</v>
      </c>
      <c r="B688" s="307" t="s">
        <v>274</v>
      </c>
      <c r="C688" s="307" t="str">
        <f>("18")</f>
        <v>18</v>
      </c>
      <c r="D688" s="307" t="s">
        <v>862</v>
      </c>
      <c r="E688" s="307" t="s">
        <v>2257</v>
      </c>
      <c r="F688" s="307" t="s">
        <v>2258</v>
      </c>
      <c r="G688" s="307">
        <v>5</v>
      </c>
      <c r="H688" s="307" t="s">
        <v>869</v>
      </c>
      <c r="I688" s="307" t="str">
        <f>("1107210206")</f>
        <v>1107210206</v>
      </c>
    </row>
    <row r="689" spans="1:9" ht="13.5">
      <c r="A689" s="419" t="str">
        <f t="shared" si="10"/>
        <v>宗方サッカークラブ_1</v>
      </c>
      <c r="B689" s="307" t="s">
        <v>279</v>
      </c>
      <c r="C689" s="307" t="str">
        <f>("1")</f>
        <v>1</v>
      </c>
      <c r="D689" s="307" t="s">
        <v>855</v>
      </c>
      <c r="E689" s="307" t="s">
        <v>2259</v>
      </c>
      <c r="F689" s="307" t="s">
        <v>2260</v>
      </c>
      <c r="G689" s="307">
        <v>6</v>
      </c>
      <c r="H689" s="307" t="s">
        <v>858</v>
      </c>
      <c r="I689" s="307" t="str">
        <f>("1102180102")</f>
        <v>1102180102</v>
      </c>
    </row>
    <row r="690" spans="1:9" ht="13.5">
      <c r="A690" s="419" t="str">
        <f t="shared" si="10"/>
        <v>宗方サッカークラブ_2</v>
      </c>
      <c r="B690" s="307" t="s">
        <v>279</v>
      </c>
      <c r="C690" s="307" t="str">
        <f>("2")</f>
        <v>2</v>
      </c>
      <c r="D690" s="307" t="s">
        <v>862</v>
      </c>
      <c r="E690" s="307" t="s">
        <v>2261</v>
      </c>
      <c r="F690" s="307" t="s">
        <v>2262</v>
      </c>
      <c r="G690" s="307">
        <v>6</v>
      </c>
      <c r="H690" s="307" t="s">
        <v>858</v>
      </c>
      <c r="I690" s="307" t="str">
        <f>("1011120115")</f>
        <v>1011120115</v>
      </c>
    </row>
    <row r="691" spans="1:9" ht="13.5">
      <c r="A691" s="419" t="str">
        <f t="shared" si="10"/>
        <v>宗方サッカークラブ_3</v>
      </c>
      <c r="B691" s="307" t="s">
        <v>279</v>
      </c>
      <c r="C691" s="307" t="str">
        <f>("3")</f>
        <v>3</v>
      </c>
      <c r="D691" s="307" t="s">
        <v>862</v>
      </c>
      <c r="E691" s="307" t="s">
        <v>2263</v>
      </c>
      <c r="F691" s="307" t="s">
        <v>2264</v>
      </c>
      <c r="G691" s="307">
        <v>6</v>
      </c>
      <c r="H691" s="307" t="s">
        <v>869</v>
      </c>
      <c r="I691" s="307" t="str">
        <f>("1005050102")</f>
        <v>1005050102</v>
      </c>
    </row>
    <row r="692" spans="1:9" ht="13.5">
      <c r="A692" s="419" t="str">
        <f t="shared" si="10"/>
        <v>宗方サッカークラブ_4</v>
      </c>
      <c r="B692" s="307" t="s">
        <v>279</v>
      </c>
      <c r="C692" s="307" t="str">
        <f>("4")</f>
        <v>4</v>
      </c>
      <c r="D692" s="307" t="s">
        <v>859</v>
      </c>
      <c r="E692" s="307" t="s">
        <v>2265</v>
      </c>
      <c r="F692" s="307" t="s">
        <v>2266</v>
      </c>
      <c r="G692" s="307">
        <v>6</v>
      </c>
      <c r="H692" s="307" t="s">
        <v>869</v>
      </c>
      <c r="I692" s="307" t="str">
        <f>("1012040090")</f>
        <v>1012040090</v>
      </c>
    </row>
    <row r="693" spans="1:10" ht="13.5">
      <c r="A693" s="419" t="str">
        <f t="shared" si="10"/>
        <v>宗方サッカークラブ_5</v>
      </c>
      <c r="B693" s="307" t="s">
        <v>279</v>
      </c>
      <c r="C693" s="307" t="str">
        <f>("5")</f>
        <v>5</v>
      </c>
      <c r="D693" s="307" t="s">
        <v>859</v>
      </c>
      <c r="E693" s="307" t="s">
        <v>2267</v>
      </c>
      <c r="F693" s="307" t="s">
        <v>2268</v>
      </c>
      <c r="G693" s="307">
        <v>6</v>
      </c>
      <c r="H693" s="307" t="s">
        <v>858</v>
      </c>
      <c r="I693" s="307" t="str">
        <f>("1005230082")</f>
        <v>1005230082</v>
      </c>
      <c r="J693" s="307" t="s">
        <v>15</v>
      </c>
    </row>
    <row r="694" spans="1:9" ht="13.5">
      <c r="A694" s="419" t="str">
        <f t="shared" si="10"/>
        <v>宗方サッカークラブ_6</v>
      </c>
      <c r="B694" s="307" t="s">
        <v>279</v>
      </c>
      <c r="C694" s="307" t="str">
        <f>("6")</f>
        <v>6</v>
      </c>
      <c r="D694" s="307" t="s">
        <v>862</v>
      </c>
      <c r="E694" s="307" t="s">
        <v>2269</v>
      </c>
      <c r="F694" s="307" t="s">
        <v>2270</v>
      </c>
      <c r="G694" s="307">
        <v>6</v>
      </c>
      <c r="H694" s="307" t="s">
        <v>858</v>
      </c>
      <c r="I694" s="307" t="str">
        <f>("1005120158")</f>
        <v>1005120158</v>
      </c>
    </row>
    <row r="695" spans="1:9" ht="13.5">
      <c r="A695" s="419" t="str">
        <f t="shared" si="10"/>
        <v>宗方サッカークラブ_7</v>
      </c>
      <c r="B695" s="307" t="s">
        <v>279</v>
      </c>
      <c r="C695" s="307" t="str">
        <f>("7")</f>
        <v>7</v>
      </c>
      <c r="D695" s="307" t="s">
        <v>862</v>
      </c>
      <c r="E695" s="307" t="s">
        <v>2271</v>
      </c>
      <c r="F695" s="307" t="s">
        <v>2272</v>
      </c>
      <c r="G695" s="307">
        <v>5</v>
      </c>
      <c r="H695" s="307" t="s">
        <v>858</v>
      </c>
      <c r="I695" s="307" t="str">
        <f>("1111190102")</f>
        <v>1111190102</v>
      </c>
    </row>
    <row r="696" spans="1:9" ht="13.5">
      <c r="A696" s="419" t="str">
        <f t="shared" si="10"/>
        <v>宗方サッカークラブ_8</v>
      </c>
      <c r="B696" s="307" t="s">
        <v>279</v>
      </c>
      <c r="C696" s="307" t="str">
        <f>("8")</f>
        <v>8</v>
      </c>
      <c r="D696" s="307" t="s">
        <v>862</v>
      </c>
      <c r="E696" s="307" t="s">
        <v>2273</v>
      </c>
      <c r="F696" s="307" t="s">
        <v>2274</v>
      </c>
      <c r="G696" s="307">
        <v>6</v>
      </c>
      <c r="H696" s="307" t="s">
        <v>858</v>
      </c>
      <c r="I696" s="307" t="str">
        <f>("1009260110")</f>
        <v>1009260110</v>
      </c>
    </row>
    <row r="697" spans="1:9" ht="13.5">
      <c r="A697" s="419" t="str">
        <f t="shared" si="10"/>
        <v>宗方サッカークラブ_9</v>
      </c>
      <c r="B697" s="307" t="s">
        <v>279</v>
      </c>
      <c r="C697" s="307" t="str">
        <f>("9")</f>
        <v>9</v>
      </c>
      <c r="D697" s="307" t="s">
        <v>884</v>
      </c>
      <c r="E697" s="307" t="s">
        <v>2275</v>
      </c>
      <c r="F697" s="307" t="s">
        <v>2276</v>
      </c>
      <c r="G697" s="307">
        <v>6</v>
      </c>
      <c r="H697" s="307" t="s">
        <v>858</v>
      </c>
      <c r="I697" s="307" t="str">
        <f>("1012270130")</f>
        <v>1012270130</v>
      </c>
    </row>
    <row r="698" spans="1:9" ht="13.5">
      <c r="A698" s="419" t="str">
        <f t="shared" si="10"/>
        <v>宗方サッカークラブ_10</v>
      </c>
      <c r="B698" s="307" t="s">
        <v>279</v>
      </c>
      <c r="C698" s="307" t="str">
        <f>("10")</f>
        <v>10</v>
      </c>
      <c r="D698" s="307" t="s">
        <v>862</v>
      </c>
      <c r="E698" s="307" t="s">
        <v>2277</v>
      </c>
      <c r="F698" s="307" t="s">
        <v>2278</v>
      </c>
      <c r="G698" s="307">
        <v>6</v>
      </c>
      <c r="H698" s="307" t="s">
        <v>858</v>
      </c>
      <c r="I698" s="307" t="str">
        <f>("1009160128")</f>
        <v>1009160128</v>
      </c>
    </row>
    <row r="699" spans="1:9" ht="13.5">
      <c r="A699" s="419" t="str">
        <f t="shared" si="10"/>
        <v>宗方サッカークラブ_11</v>
      </c>
      <c r="B699" s="307" t="s">
        <v>279</v>
      </c>
      <c r="C699" s="307" t="str">
        <f>("11")</f>
        <v>11</v>
      </c>
      <c r="D699" s="307" t="s">
        <v>859</v>
      </c>
      <c r="E699" s="307" t="s">
        <v>2279</v>
      </c>
      <c r="F699" s="307" t="s">
        <v>2280</v>
      </c>
      <c r="G699" s="307">
        <v>5</v>
      </c>
      <c r="H699" s="307" t="s">
        <v>858</v>
      </c>
      <c r="I699" s="307" t="str">
        <f>("1110180139")</f>
        <v>1110180139</v>
      </c>
    </row>
    <row r="700" spans="1:9" ht="13.5">
      <c r="A700" s="419" t="str">
        <f t="shared" si="10"/>
        <v>宗方サッカークラブ_12</v>
      </c>
      <c r="B700" s="307" t="s">
        <v>279</v>
      </c>
      <c r="C700" s="307" t="str">
        <f>("12")</f>
        <v>12</v>
      </c>
      <c r="D700" s="307" t="s">
        <v>859</v>
      </c>
      <c r="E700" s="307" t="s">
        <v>2281</v>
      </c>
      <c r="F700" s="307" t="s">
        <v>2282</v>
      </c>
      <c r="G700" s="307">
        <v>5</v>
      </c>
      <c r="H700" s="307" t="s">
        <v>858</v>
      </c>
      <c r="I700" s="307" t="str">
        <f>("1107100129")</f>
        <v>1107100129</v>
      </c>
    </row>
    <row r="701" spans="1:9" ht="13.5">
      <c r="A701" s="419" t="str">
        <f t="shared" si="10"/>
        <v>宗方サッカークラブ_13</v>
      </c>
      <c r="B701" s="307" t="s">
        <v>279</v>
      </c>
      <c r="C701" s="307" t="str">
        <f>("13")</f>
        <v>13</v>
      </c>
      <c r="D701" s="307" t="s">
        <v>862</v>
      </c>
      <c r="E701" s="307" t="s">
        <v>2283</v>
      </c>
      <c r="F701" s="307" t="s">
        <v>2284</v>
      </c>
      <c r="G701" s="307">
        <v>4</v>
      </c>
      <c r="H701" s="307" t="s">
        <v>858</v>
      </c>
      <c r="I701" s="307" t="str">
        <f>("1209220047")</f>
        <v>1209220047</v>
      </c>
    </row>
    <row r="702" spans="1:9" ht="13.5">
      <c r="A702" s="419" t="str">
        <f t="shared" si="10"/>
        <v>宗方サッカークラブ_14</v>
      </c>
      <c r="B702" s="307" t="s">
        <v>279</v>
      </c>
      <c r="C702" s="307" t="str">
        <f>("14")</f>
        <v>14</v>
      </c>
      <c r="D702" s="307" t="s">
        <v>862</v>
      </c>
      <c r="E702" s="307" t="s">
        <v>2285</v>
      </c>
      <c r="F702" s="307" t="s">
        <v>2286</v>
      </c>
      <c r="G702" s="307">
        <v>4</v>
      </c>
      <c r="H702" s="307" t="s">
        <v>858</v>
      </c>
      <c r="I702" s="307" t="str">
        <f>("1212030083")</f>
        <v>1212030083</v>
      </c>
    </row>
    <row r="703" spans="1:9" ht="13.5">
      <c r="A703" s="419" t="str">
        <f t="shared" si="10"/>
        <v>宗方サッカークラブ_15</v>
      </c>
      <c r="B703" s="307" t="s">
        <v>279</v>
      </c>
      <c r="C703" s="307" t="str">
        <f>("15")</f>
        <v>15</v>
      </c>
      <c r="D703" s="307" t="s">
        <v>884</v>
      </c>
      <c r="E703" s="307" t="s">
        <v>2287</v>
      </c>
      <c r="F703" s="307" t="s">
        <v>2288</v>
      </c>
      <c r="G703" s="307">
        <v>4</v>
      </c>
      <c r="H703" s="307" t="s">
        <v>858</v>
      </c>
      <c r="I703" s="307" t="str">
        <f>("1206100070")</f>
        <v>1206100070</v>
      </c>
    </row>
    <row r="704" spans="1:9" ht="13.5">
      <c r="A704" s="419" t="str">
        <f t="shared" si="10"/>
        <v>宗方サッカークラブ_21</v>
      </c>
      <c r="B704" s="307" t="s">
        <v>279</v>
      </c>
      <c r="C704" s="307" t="str">
        <f>("21")</f>
        <v>21</v>
      </c>
      <c r="D704" s="307" t="s">
        <v>855</v>
      </c>
      <c r="E704" s="307" t="s">
        <v>2289</v>
      </c>
      <c r="F704" s="307" t="s">
        <v>2290</v>
      </c>
      <c r="G704" s="307">
        <v>5</v>
      </c>
      <c r="H704" s="307" t="s">
        <v>858</v>
      </c>
      <c r="I704" s="307" t="str">
        <f>("1108080206")</f>
        <v>1108080206</v>
      </c>
    </row>
    <row r="705" spans="1:9" ht="13.5">
      <c r="A705" s="419" t="str">
        <f aca="true" t="shared" si="11" ref="A705:A768">CONCATENATE(B705,"_",C705)</f>
        <v>明治サッカースポーツ少年団_1</v>
      </c>
      <c r="B705" s="307" t="s">
        <v>31</v>
      </c>
      <c r="C705" s="307" t="str">
        <f>("1")</f>
        <v>1</v>
      </c>
      <c r="D705" s="307" t="s">
        <v>855</v>
      </c>
      <c r="E705" s="307" t="s">
        <v>2291</v>
      </c>
      <c r="F705" s="307" t="s">
        <v>2292</v>
      </c>
      <c r="G705" s="307">
        <v>6</v>
      </c>
      <c r="H705" s="307" t="s">
        <v>858</v>
      </c>
      <c r="I705" s="307" t="str">
        <f>("1008200152")</f>
        <v>1008200152</v>
      </c>
    </row>
    <row r="706" spans="1:9" ht="13.5">
      <c r="A706" s="419" t="str">
        <f t="shared" si="11"/>
        <v>明治サッカースポーツ少年団_2</v>
      </c>
      <c r="B706" s="307" t="s">
        <v>31</v>
      </c>
      <c r="C706" s="307" t="str">
        <f>("2")</f>
        <v>2</v>
      </c>
      <c r="D706" s="307" t="s">
        <v>884</v>
      </c>
      <c r="E706" s="307" t="s">
        <v>2293</v>
      </c>
      <c r="F706" s="307" t="s">
        <v>2294</v>
      </c>
      <c r="G706" s="307">
        <v>6</v>
      </c>
      <c r="H706" s="307" t="s">
        <v>858</v>
      </c>
      <c r="I706" s="307" t="str">
        <f>("1101120252")</f>
        <v>1101120252</v>
      </c>
    </row>
    <row r="707" spans="1:9" ht="13.5">
      <c r="A707" s="419" t="str">
        <f t="shared" si="11"/>
        <v>明治サッカースポーツ少年団_3</v>
      </c>
      <c r="B707" s="307" t="s">
        <v>31</v>
      </c>
      <c r="C707" s="307" t="str">
        <f>("3")</f>
        <v>3</v>
      </c>
      <c r="D707" s="307" t="s">
        <v>862</v>
      </c>
      <c r="E707" s="307" t="s">
        <v>2295</v>
      </c>
      <c r="F707" s="307" t="s">
        <v>2296</v>
      </c>
      <c r="G707" s="307">
        <v>6</v>
      </c>
      <c r="H707" s="307" t="s">
        <v>858</v>
      </c>
      <c r="I707" s="307" t="str">
        <f>("1006140044")</f>
        <v>1006140044</v>
      </c>
    </row>
    <row r="708" spans="1:9" ht="13.5">
      <c r="A708" s="419" t="str">
        <f t="shared" si="11"/>
        <v>明治サッカースポーツ少年団_4</v>
      </c>
      <c r="B708" s="307" t="s">
        <v>31</v>
      </c>
      <c r="C708" s="307" t="str">
        <f>("4")</f>
        <v>4</v>
      </c>
      <c r="D708" s="307" t="s">
        <v>862</v>
      </c>
      <c r="E708" s="307" t="s">
        <v>2297</v>
      </c>
      <c r="F708" s="307" t="s">
        <v>2298</v>
      </c>
      <c r="G708" s="307">
        <v>5</v>
      </c>
      <c r="H708" s="307" t="s">
        <v>858</v>
      </c>
      <c r="I708" s="307" t="str">
        <f>("1107240072")</f>
        <v>1107240072</v>
      </c>
    </row>
    <row r="709" spans="1:9" ht="13.5">
      <c r="A709" s="419" t="str">
        <f t="shared" si="11"/>
        <v>明治サッカースポーツ少年団_5</v>
      </c>
      <c r="B709" s="307" t="s">
        <v>31</v>
      </c>
      <c r="C709" s="307" t="str">
        <f>("5")</f>
        <v>5</v>
      </c>
      <c r="D709" s="307" t="s">
        <v>862</v>
      </c>
      <c r="E709" s="307" t="s">
        <v>2299</v>
      </c>
      <c r="F709" s="307" t="s">
        <v>2300</v>
      </c>
      <c r="G709" s="307">
        <v>5</v>
      </c>
      <c r="H709" s="307" t="s">
        <v>858</v>
      </c>
      <c r="I709" s="307" t="str">
        <f>("1104050050")</f>
        <v>1104050050</v>
      </c>
    </row>
    <row r="710" spans="1:10" ht="13.5">
      <c r="A710" s="419" t="str">
        <f t="shared" si="11"/>
        <v>明治サッカースポーツ少年団_6</v>
      </c>
      <c r="B710" s="307" t="s">
        <v>31</v>
      </c>
      <c r="C710" s="307" t="str">
        <f>("6")</f>
        <v>6</v>
      </c>
      <c r="D710" s="307" t="s">
        <v>859</v>
      </c>
      <c r="E710" s="307" t="s">
        <v>2301</v>
      </c>
      <c r="F710" s="307" t="s">
        <v>2302</v>
      </c>
      <c r="G710" s="307">
        <v>6</v>
      </c>
      <c r="H710" s="307" t="s">
        <v>858</v>
      </c>
      <c r="I710" s="307" t="str">
        <f>("1010260141")</f>
        <v>1010260141</v>
      </c>
      <c r="J710" s="307" t="s">
        <v>15</v>
      </c>
    </row>
    <row r="711" spans="1:9" ht="13.5">
      <c r="A711" s="419" t="str">
        <f t="shared" si="11"/>
        <v>明治サッカースポーツ少年団_7</v>
      </c>
      <c r="B711" s="307" t="s">
        <v>31</v>
      </c>
      <c r="C711" s="307" t="str">
        <f>("7")</f>
        <v>7</v>
      </c>
      <c r="D711" s="307" t="s">
        <v>862</v>
      </c>
      <c r="E711" s="307" t="s">
        <v>2303</v>
      </c>
      <c r="F711" s="307" t="s">
        <v>2304</v>
      </c>
      <c r="G711" s="307">
        <v>5</v>
      </c>
      <c r="H711" s="307" t="s">
        <v>858</v>
      </c>
      <c r="I711" s="307" t="str">
        <f>("1105180038")</f>
        <v>1105180038</v>
      </c>
    </row>
    <row r="712" spans="1:9" ht="13.5">
      <c r="A712" s="419" t="str">
        <f t="shared" si="11"/>
        <v>明治サッカースポーツ少年団_8</v>
      </c>
      <c r="B712" s="307" t="s">
        <v>31</v>
      </c>
      <c r="C712" s="307" t="str">
        <f>("8")</f>
        <v>8</v>
      </c>
      <c r="D712" s="307" t="s">
        <v>859</v>
      </c>
      <c r="E712" s="307" t="s">
        <v>2305</v>
      </c>
      <c r="F712" s="307" t="s">
        <v>2306</v>
      </c>
      <c r="G712" s="307">
        <v>6</v>
      </c>
      <c r="H712" s="307" t="s">
        <v>858</v>
      </c>
      <c r="I712" s="307" t="str">
        <f>("1007150074")</f>
        <v>1007150074</v>
      </c>
    </row>
    <row r="713" spans="1:9" ht="13.5">
      <c r="A713" s="419" t="str">
        <f t="shared" si="11"/>
        <v>明治サッカースポーツ少年団_9</v>
      </c>
      <c r="B713" s="307" t="s">
        <v>31</v>
      </c>
      <c r="C713" s="307" t="str">
        <f>("9")</f>
        <v>9</v>
      </c>
      <c r="D713" s="307" t="s">
        <v>884</v>
      </c>
      <c r="E713" s="307" t="s">
        <v>2307</v>
      </c>
      <c r="F713" s="307" t="s">
        <v>2308</v>
      </c>
      <c r="G713" s="307">
        <v>6</v>
      </c>
      <c r="H713" s="307" t="s">
        <v>858</v>
      </c>
      <c r="I713" s="307" t="str">
        <f>("1007130049")</f>
        <v>1007130049</v>
      </c>
    </row>
    <row r="714" spans="1:9" ht="13.5">
      <c r="A714" s="419" t="str">
        <f t="shared" si="11"/>
        <v>明治サッカースポーツ少年団_10</v>
      </c>
      <c r="B714" s="307" t="s">
        <v>31</v>
      </c>
      <c r="C714" s="307" t="str">
        <f>("10")</f>
        <v>10</v>
      </c>
      <c r="D714" s="307" t="s">
        <v>862</v>
      </c>
      <c r="E714" s="307" t="s">
        <v>2309</v>
      </c>
      <c r="F714" s="307" t="s">
        <v>2310</v>
      </c>
      <c r="G714" s="307">
        <v>6</v>
      </c>
      <c r="H714" s="307" t="s">
        <v>858</v>
      </c>
      <c r="I714" s="307" t="str">
        <f>("1101100022")</f>
        <v>1101100022</v>
      </c>
    </row>
    <row r="715" spans="1:9" ht="13.5">
      <c r="A715" s="419" t="str">
        <f t="shared" si="11"/>
        <v>明治サッカースポーツ少年団_11</v>
      </c>
      <c r="B715" s="307" t="s">
        <v>31</v>
      </c>
      <c r="C715" s="307" t="str">
        <f>("11")</f>
        <v>11</v>
      </c>
      <c r="D715" s="307" t="s">
        <v>884</v>
      </c>
      <c r="E715" s="307" t="s">
        <v>2311</v>
      </c>
      <c r="F715" s="307" t="s">
        <v>2312</v>
      </c>
      <c r="G715" s="307">
        <v>5</v>
      </c>
      <c r="H715" s="307" t="s">
        <v>858</v>
      </c>
      <c r="I715" s="307" t="str">
        <f>("1112310040")</f>
        <v>1112310040</v>
      </c>
    </row>
    <row r="716" spans="1:9" ht="13.5">
      <c r="A716" s="419" t="str">
        <f t="shared" si="11"/>
        <v>明治サッカースポーツ少年団_12</v>
      </c>
      <c r="B716" s="307" t="s">
        <v>31</v>
      </c>
      <c r="C716" s="307" t="str">
        <f>("12")</f>
        <v>12</v>
      </c>
      <c r="D716" s="307" t="s">
        <v>859</v>
      </c>
      <c r="E716" s="307" t="s">
        <v>2313</v>
      </c>
      <c r="F716" s="307" t="s">
        <v>2314</v>
      </c>
      <c r="G716" s="307">
        <v>5</v>
      </c>
      <c r="H716" s="307" t="s">
        <v>858</v>
      </c>
      <c r="I716" s="307" t="str">
        <f>("1107130041")</f>
        <v>1107130041</v>
      </c>
    </row>
    <row r="717" spans="1:9" ht="13.5">
      <c r="A717" s="419" t="str">
        <f t="shared" si="11"/>
        <v>明治サッカースポーツ少年団_13</v>
      </c>
      <c r="B717" s="307" t="s">
        <v>31</v>
      </c>
      <c r="C717" s="307" t="str">
        <f>("13")</f>
        <v>13</v>
      </c>
      <c r="D717" s="307" t="s">
        <v>859</v>
      </c>
      <c r="E717" s="307" t="s">
        <v>2315</v>
      </c>
      <c r="F717" s="307" t="s">
        <v>2316</v>
      </c>
      <c r="G717" s="307">
        <v>5</v>
      </c>
      <c r="H717" s="307" t="s">
        <v>858</v>
      </c>
      <c r="I717" s="307" t="str">
        <f>("1104130072")</f>
        <v>1104130072</v>
      </c>
    </row>
    <row r="718" spans="1:9" ht="13.5">
      <c r="A718" s="419" t="str">
        <f t="shared" si="11"/>
        <v>明治サッカースポーツ少年団_14</v>
      </c>
      <c r="B718" s="307" t="s">
        <v>31</v>
      </c>
      <c r="C718" s="307" t="str">
        <f>("14")</f>
        <v>14</v>
      </c>
      <c r="D718" s="307" t="s">
        <v>862</v>
      </c>
      <c r="E718" s="307" t="s">
        <v>2317</v>
      </c>
      <c r="F718" s="307" t="s">
        <v>2318</v>
      </c>
      <c r="G718" s="307">
        <v>5</v>
      </c>
      <c r="H718" s="307" t="s">
        <v>858</v>
      </c>
      <c r="I718" s="307" t="str">
        <f>("1111300048")</f>
        <v>1111300048</v>
      </c>
    </row>
    <row r="719" spans="1:9" ht="13.5">
      <c r="A719" s="419" t="str">
        <f t="shared" si="11"/>
        <v>明治サッカースポーツ少年団_17</v>
      </c>
      <c r="B719" s="307" t="s">
        <v>31</v>
      </c>
      <c r="C719" s="307" t="str">
        <f>("17")</f>
        <v>17</v>
      </c>
      <c r="D719" s="307" t="s">
        <v>862</v>
      </c>
      <c r="E719" s="307" t="s">
        <v>2319</v>
      </c>
      <c r="F719" s="307" t="s">
        <v>2320</v>
      </c>
      <c r="G719" s="307">
        <v>4</v>
      </c>
      <c r="H719" s="307" t="s">
        <v>858</v>
      </c>
      <c r="I719" s="307" t="str">
        <f>("1205220066")</f>
        <v>1205220066</v>
      </c>
    </row>
    <row r="720" spans="1:9" ht="13.5">
      <c r="A720" s="419" t="str">
        <f t="shared" si="11"/>
        <v>明治サッカースポーツ少年団_18</v>
      </c>
      <c r="B720" s="307" t="s">
        <v>31</v>
      </c>
      <c r="C720" s="307" t="str">
        <f>("18")</f>
        <v>18</v>
      </c>
      <c r="D720" s="307" t="s">
        <v>855</v>
      </c>
      <c r="E720" s="307" t="s">
        <v>2321</v>
      </c>
      <c r="F720" s="307" t="s">
        <v>2322</v>
      </c>
      <c r="G720" s="307">
        <v>4</v>
      </c>
      <c r="H720" s="307" t="s">
        <v>858</v>
      </c>
      <c r="I720" s="307" t="str">
        <f>("1204120070")</f>
        <v>1204120070</v>
      </c>
    </row>
    <row r="721" spans="1:9" ht="13.5">
      <c r="A721" s="419" t="str">
        <f t="shared" si="11"/>
        <v>三佐サッカースポーツ少年団_1</v>
      </c>
      <c r="B721" s="307" t="s">
        <v>275</v>
      </c>
      <c r="C721" s="307" t="str">
        <f>("1")</f>
        <v>1</v>
      </c>
      <c r="D721" s="307" t="s">
        <v>855</v>
      </c>
      <c r="E721" s="307" t="s">
        <v>2323</v>
      </c>
      <c r="F721" s="307" t="s">
        <v>2324</v>
      </c>
      <c r="G721" s="307">
        <v>4</v>
      </c>
      <c r="H721" s="307" t="s">
        <v>858</v>
      </c>
      <c r="I721" s="307" t="str">
        <f>("1208050006")</f>
        <v>1208050006</v>
      </c>
    </row>
    <row r="722" spans="1:9" ht="13.5">
      <c r="A722" s="419" t="str">
        <f t="shared" si="11"/>
        <v>三佐サッカースポーツ少年団_2</v>
      </c>
      <c r="B722" s="307" t="s">
        <v>275</v>
      </c>
      <c r="C722" s="307" t="str">
        <f>("2")</f>
        <v>2</v>
      </c>
      <c r="D722" s="307" t="s">
        <v>862</v>
      </c>
      <c r="E722" s="307" t="s">
        <v>2325</v>
      </c>
      <c r="F722" s="307" t="s">
        <v>2326</v>
      </c>
      <c r="G722" s="307">
        <v>5</v>
      </c>
      <c r="H722" s="307" t="s">
        <v>858</v>
      </c>
      <c r="I722" s="307" t="str">
        <f>("1203310055")</f>
        <v>1203310055</v>
      </c>
    </row>
    <row r="723" spans="1:9" ht="13.5">
      <c r="A723" s="419" t="str">
        <f t="shared" si="11"/>
        <v>三佐サッカースポーツ少年団_3</v>
      </c>
      <c r="B723" s="307" t="s">
        <v>275</v>
      </c>
      <c r="C723" s="307" t="str">
        <f>("3")</f>
        <v>3</v>
      </c>
      <c r="D723" s="307" t="s">
        <v>859</v>
      </c>
      <c r="E723" s="307" t="s">
        <v>2327</v>
      </c>
      <c r="F723" s="307" t="s">
        <v>2328</v>
      </c>
      <c r="G723" s="307">
        <v>5</v>
      </c>
      <c r="H723" s="307" t="s">
        <v>858</v>
      </c>
      <c r="I723" s="307" t="str">
        <f>("1112020021")</f>
        <v>1112020021</v>
      </c>
    </row>
    <row r="724" spans="1:9" ht="13.5">
      <c r="A724" s="419" t="str">
        <f t="shared" si="11"/>
        <v>三佐サッカースポーツ少年団_4</v>
      </c>
      <c r="B724" s="307" t="s">
        <v>275</v>
      </c>
      <c r="C724" s="307" t="str">
        <f>("4")</f>
        <v>4</v>
      </c>
      <c r="D724" s="307" t="s">
        <v>859</v>
      </c>
      <c r="E724" s="307" t="s">
        <v>2329</v>
      </c>
      <c r="F724" s="307" t="s">
        <v>2330</v>
      </c>
      <c r="G724" s="307">
        <v>5</v>
      </c>
      <c r="H724" s="307" t="s">
        <v>858</v>
      </c>
      <c r="I724" s="307" t="str">
        <f>("1110030093")</f>
        <v>1110030093</v>
      </c>
    </row>
    <row r="725" spans="1:9" ht="13.5">
      <c r="A725" s="419" t="str">
        <f t="shared" si="11"/>
        <v>三佐サッカースポーツ少年団_5</v>
      </c>
      <c r="B725" s="307" t="s">
        <v>275</v>
      </c>
      <c r="C725" s="307" t="str">
        <f>("5")</f>
        <v>5</v>
      </c>
      <c r="D725" s="307" t="s">
        <v>862</v>
      </c>
      <c r="E725" s="307" t="s">
        <v>2331</v>
      </c>
      <c r="F725" s="307" t="s">
        <v>2332</v>
      </c>
      <c r="G725" s="307">
        <v>5</v>
      </c>
      <c r="H725" s="307" t="s">
        <v>858</v>
      </c>
      <c r="I725" s="307" t="str">
        <f>("1111020104")</f>
        <v>1111020104</v>
      </c>
    </row>
    <row r="726" spans="1:9" ht="13.5">
      <c r="A726" s="419" t="str">
        <f t="shared" si="11"/>
        <v>三佐サッカースポーツ少年団_6</v>
      </c>
      <c r="B726" s="307" t="s">
        <v>275</v>
      </c>
      <c r="C726" s="307" t="str">
        <f>("6")</f>
        <v>6</v>
      </c>
      <c r="D726" s="307" t="s">
        <v>862</v>
      </c>
      <c r="E726" s="307" t="s">
        <v>2333</v>
      </c>
      <c r="F726" s="307" t="s">
        <v>2334</v>
      </c>
      <c r="G726" s="307">
        <v>5</v>
      </c>
      <c r="H726" s="307" t="s">
        <v>858</v>
      </c>
      <c r="I726" s="307" t="str">
        <f>("1202090027")</f>
        <v>1202090027</v>
      </c>
    </row>
    <row r="727" spans="1:10" ht="13.5">
      <c r="A727" s="419" t="str">
        <f t="shared" si="11"/>
        <v>三佐サッカースポーツ少年団_7</v>
      </c>
      <c r="B727" s="307" t="s">
        <v>275</v>
      </c>
      <c r="C727" s="307" t="str">
        <f>("7")</f>
        <v>7</v>
      </c>
      <c r="D727" s="307" t="s">
        <v>862</v>
      </c>
      <c r="E727" s="307" t="s">
        <v>2335</v>
      </c>
      <c r="F727" s="307" t="s">
        <v>2336</v>
      </c>
      <c r="G727" s="307">
        <v>6</v>
      </c>
      <c r="H727" s="307" t="s">
        <v>858</v>
      </c>
      <c r="I727" s="307" t="str">
        <f>("1012160092")</f>
        <v>1012160092</v>
      </c>
      <c r="J727" s="307" t="s">
        <v>15</v>
      </c>
    </row>
    <row r="728" spans="1:9" ht="13.5">
      <c r="A728" s="419" t="str">
        <f t="shared" si="11"/>
        <v>三佐サッカースポーツ少年団_8</v>
      </c>
      <c r="B728" s="307" t="s">
        <v>275</v>
      </c>
      <c r="C728" s="307" t="str">
        <f>("8")</f>
        <v>8</v>
      </c>
      <c r="D728" s="307" t="s">
        <v>859</v>
      </c>
      <c r="E728" s="307" t="s">
        <v>2337</v>
      </c>
      <c r="F728" s="307" t="s">
        <v>2338</v>
      </c>
      <c r="G728" s="307">
        <v>6</v>
      </c>
      <c r="H728" s="307" t="s">
        <v>858</v>
      </c>
      <c r="I728" s="307" t="str">
        <f>("1102230103")</f>
        <v>1102230103</v>
      </c>
    </row>
    <row r="729" spans="1:9" ht="13.5">
      <c r="A729" s="419" t="str">
        <f t="shared" si="11"/>
        <v>三佐サッカースポーツ少年団_9</v>
      </c>
      <c r="B729" s="307" t="s">
        <v>275</v>
      </c>
      <c r="C729" s="307" t="str">
        <f>("9")</f>
        <v>9</v>
      </c>
      <c r="D729" s="307" t="s">
        <v>859</v>
      </c>
      <c r="E729" s="307" t="s">
        <v>2339</v>
      </c>
      <c r="F729" s="307" t="s">
        <v>2340</v>
      </c>
      <c r="G729" s="307">
        <v>6</v>
      </c>
      <c r="H729" s="307" t="s">
        <v>858</v>
      </c>
      <c r="I729" s="307" t="str">
        <f>("1007230178")</f>
        <v>1007230178</v>
      </c>
    </row>
    <row r="730" spans="1:9" ht="13.5">
      <c r="A730" s="419" t="str">
        <f t="shared" si="11"/>
        <v>三佐サッカースポーツ少年団_10</v>
      </c>
      <c r="B730" s="307" t="s">
        <v>275</v>
      </c>
      <c r="C730" s="307" t="str">
        <f>("10")</f>
        <v>10</v>
      </c>
      <c r="D730" s="307" t="s">
        <v>859</v>
      </c>
      <c r="E730" s="307" t="s">
        <v>2341</v>
      </c>
      <c r="F730" s="307" t="s">
        <v>2342</v>
      </c>
      <c r="G730" s="307">
        <v>6</v>
      </c>
      <c r="H730" s="307" t="s">
        <v>858</v>
      </c>
      <c r="I730" s="307" t="str">
        <f>("1011200023")</f>
        <v>1011200023</v>
      </c>
    </row>
    <row r="731" spans="1:9" ht="13.5">
      <c r="A731" s="419" t="str">
        <f t="shared" si="11"/>
        <v>三佐サッカースポーツ少年団_11</v>
      </c>
      <c r="B731" s="307" t="s">
        <v>275</v>
      </c>
      <c r="C731" s="307" t="str">
        <f>("11")</f>
        <v>11</v>
      </c>
      <c r="D731" s="307" t="s">
        <v>884</v>
      </c>
      <c r="E731" s="307" t="s">
        <v>2343</v>
      </c>
      <c r="F731" s="307" t="s">
        <v>2344</v>
      </c>
      <c r="G731" s="307">
        <v>6</v>
      </c>
      <c r="H731" s="307" t="s">
        <v>858</v>
      </c>
      <c r="I731" s="307" t="str">
        <f>("1103060007")</f>
        <v>1103060007</v>
      </c>
    </row>
    <row r="732" spans="1:9" ht="13.5">
      <c r="A732" s="419" t="str">
        <f t="shared" si="11"/>
        <v>三佐サッカースポーツ少年団_12</v>
      </c>
      <c r="B732" s="307" t="s">
        <v>275</v>
      </c>
      <c r="C732" s="307" t="str">
        <f>("12")</f>
        <v>12</v>
      </c>
      <c r="D732" s="307" t="s">
        <v>862</v>
      </c>
      <c r="E732" s="307" t="s">
        <v>2345</v>
      </c>
      <c r="F732" s="307" t="s">
        <v>2346</v>
      </c>
      <c r="G732" s="307">
        <v>4</v>
      </c>
      <c r="H732" s="307" t="s">
        <v>858</v>
      </c>
      <c r="I732" s="307" t="str">
        <f>("1304010006")</f>
        <v>1304010006</v>
      </c>
    </row>
    <row r="733" spans="1:9" ht="13.5">
      <c r="A733" s="419" t="str">
        <f t="shared" si="11"/>
        <v>三佐サッカースポーツ少年団_13</v>
      </c>
      <c r="B733" s="307" t="s">
        <v>275</v>
      </c>
      <c r="C733" s="307" t="str">
        <f>("13")</f>
        <v>13</v>
      </c>
      <c r="D733" s="307" t="s">
        <v>859</v>
      </c>
      <c r="E733" s="307" t="s">
        <v>2347</v>
      </c>
      <c r="F733" s="307" t="s">
        <v>2348</v>
      </c>
      <c r="G733" s="307">
        <v>4</v>
      </c>
      <c r="H733" s="307" t="s">
        <v>858</v>
      </c>
      <c r="I733" s="307" t="str">
        <f>("1209070013")</f>
        <v>1209070013</v>
      </c>
    </row>
    <row r="734" spans="1:9" ht="13.5">
      <c r="A734" s="419" t="str">
        <f t="shared" si="11"/>
        <v>三佐サッカースポーツ少年団_14</v>
      </c>
      <c r="B734" s="307" t="s">
        <v>275</v>
      </c>
      <c r="C734" s="307" t="str">
        <f>("14")</f>
        <v>14</v>
      </c>
      <c r="D734" s="307" t="s">
        <v>855</v>
      </c>
      <c r="E734" s="307" t="s">
        <v>2349</v>
      </c>
      <c r="F734" s="307" t="s">
        <v>2350</v>
      </c>
      <c r="G734" s="307">
        <v>4</v>
      </c>
      <c r="H734" s="307" t="s">
        <v>858</v>
      </c>
      <c r="I734" s="307" t="str">
        <f>("1302180033")</f>
        <v>1302180033</v>
      </c>
    </row>
    <row r="735" spans="1:9" ht="13.5">
      <c r="A735" s="419" t="str">
        <f t="shared" si="11"/>
        <v>三佐サッカースポーツ少年団_15</v>
      </c>
      <c r="B735" s="307" t="s">
        <v>275</v>
      </c>
      <c r="C735" s="307" t="str">
        <f>("15")</f>
        <v>15</v>
      </c>
      <c r="D735" s="307" t="s">
        <v>884</v>
      </c>
      <c r="E735" s="307" t="s">
        <v>2351</v>
      </c>
      <c r="F735" s="307" t="s">
        <v>2352</v>
      </c>
      <c r="G735" s="307">
        <v>5</v>
      </c>
      <c r="H735" s="307" t="s">
        <v>858</v>
      </c>
      <c r="I735" s="307" t="str">
        <f>("1107060045")</f>
        <v>1107060045</v>
      </c>
    </row>
    <row r="736" spans="1:9" ht="13.5">
      <c r="A736" s="419" t="str">
        <f t="shared" si="11"/>
        <v>三佐サッカースポーツ少年団_16</v>
      </c>
      <c r="B736" s="307" t="s">
        <v>275</v>
      </c>
      <c r="C736" s="307" t="str">
        <f>("16")</f>
        <v>16</v>
      </c>
      <c r="D736" s="307" t="s">
        <v>884</v>
      </c>
      <c r="E736" s="307" t="s">
        <v>2353</v>
      </c>
      <c r="F736" s="307" t="s">
        <v>2354</v>
      </c>
      <c r="G736" s="307">
        <v>4</v>
      </c>
      <c r="H736" s="307" t="s">
        <v>858</v>
      </c>
      <c r="I736" s="307" t="str">
        <f>("1210120012")</f>
        <v>1210120012</v>
      </c>
    </row>
    <row r="737" spans="1:9" ht="13.5">
      <c r="A737" s="419" t="str">
        <f t="shared" si="11"/>
        <v>明野西ＪＦＣ_1</v>
      </c>
      <c r="B737" s="307" t="s">
        <v>186</v>
      </c>
      <c r="C737" s="307" t="str">
        <f>("1")</f>
        <v>1</v>
      </c>
      <c r="D737" s="307" t="s">
        <v>855</v>
      </c>
      <c r="E737" s="307" t="s">
        <v>2355</v>
      </c>
      <c r="F737" s="307" t="s">
        <v>2356</v>
      </c>
      <c r="G737" s="307">
        <v>6</v>
      </c>
      <c r="H737" s="307" t="s">
        <v>858</v>
      </c>
      <c r="I737" s="307" t="str">
        <f>("1009210028")</f>
        <v>1009210028</v>
      </c>
    </row>
    <row r="738" spans="1:9" ht="13.5">
      <c r="A738" s="419" t="str">
        <f t="shared" si="11"/>
        <v>明野西ＪＦＣ_2</v>
      </c>
      <c r="B738" s="307" t="s">
        <v>186</v>
      </c>
      <c r="C738" s="307" t="str">
        <f>("2")</f>
        <v>2</v>
      </c>
      <c r="D738" s="307" t="s">
        <v>859</v>
      </c>
      <c r="E738" s="307" t="s">
        <v>2357</v>
      </c>
      <c r="F738" s="307" t="s">
        <v>2358</v>
      </c>
      <c r="G738" s="307">
        <v>6</v>
      </c>
      <c r="H738" s="307" t="s">
        <v>858</v>
      </c>
      <c r="I738" s="307" t="str">
        <f>("1008290077")</f>
        <v>1008290077</v>
      </c>
    </row>
    <row r="739" spans="1:9" ht="13.5">
      <c r="A739" s="419" t="str">
        <f t="shared" si="11"/>
        <v>明野西ＪＦＣ_3</v>
      </c>
      <c r="B739" s="307" t="s">
        <v>186</v>
      </c>
      <c r="C739" s="307" t="str">
        <f>("3")</f>
        <v>3</v>
      </c>
      <c r="D739" s="307" t="s">
        <v>859</v>
      </c>
      <c r="E739" s="307" t="s">
        <v>2359</v>
      </c>
      <c r="F739" s="307" t="s">
        <v>2360</v>
      </c>
      <c r="G739" s="307">
        <v>6</v>
      </c>
      <c r="H739" s="307" t="s">
        <v>858</v>
      </c>
      <c r="I739" s="307" t="str">
        <f>("1101250160")</f>
        <v>1101250160</v>
      </c>
    </row>
    <row r="740" spans="1:9" ht="13.5">
      <c r="A740" s="419" t="str">
        <f t="shared" si="11"/>
        <v>明野西ＪＦＣ_4</v>
      </c>
      <c r="B740" s="307" t="s">
        <v>186</v>
      </c>
      <c r="C740" s="307" t="str">
        <f>("4")</f>
        <v>4</v>
      </c>
      <c r="D740" s="307" t="s">
        <v>862</v>
      </c>
      <c r="E740" s="307" t="s">
        <v>2361</v>
      </c>
      <c r="F740" s="307" t="s">
        <v>2362</v>
      </c>
      <c r="G740" s="307">
        <v>4</v>
      </c>
      <c r="H740" s="307" t="s">
        <v>858</v>
      </c>
      <c r="I740" s="307" t="str">
        <f>("1204260071")</f>
        <v>1204260071</v>
      </c>
    </row>
    <row r="741" spans="1:9" ht="13.5">
      <c r="A741" s="419" t="str">
        <f t="shared" si="11"/>
        <v>明野西ＪＦＣ_5</v>
      </c>
      <c r="B741" s="307" t="s">
        <v>186</v>
      </c>
      <c r="C741" s="307" t="str">
        <f>("5")</f>
        <v>5</v>
      </c>
      <c r="D741" s="307" t="s">
        <v>859</v>
      </c>
      <c r="E741" s="307" t="s">
        <v>2363</v>
      </c>
      <c r="F741" s="307" t="s">
        <v>2364</v>
      </c>
      <c r="G741" s="307">
        <v>4</v>
      </c>
      <c r="H741" s="307" t="s">
        <v>869</v>
      </c>
      <c r="I741" s="307" t="str">
        <f>("1210310057")</f>
        <v>1210310057</v>
      </c>
    </row>
    <row r="742" spans="1:9" ht="13.5">
      <c r="A742" s="419" t="str">
        <f t="shared" si="11"/>
        <v>明野西ＪＦＣ_6</v>
      </c>
      <c r="B742" s="307" t="s">
        <v>186</v>
      </c>
      <c r="C742" s="307" t="str">
        <f>("6")</f>
        <v>6</v>
      </c>
      <c r="D742" s="307" t="s">
        <v>859</v>
      </c>
      <c r="E742" s="307" t="s">
        <v>2365</v>
      </c>
      <c r="F742" s="307" t="s">
        <v>2366</v>
      </c>
      <c r="G742" s="307">
        <v>5</v>
      </c>
      <c r="H742" s="307" t="s">
        <v>858</v>
      </c>
      <c r="I742" s="307" t="str">
        <f>("1108120050")</f>
        <v>1108120050</v>
      </c>
    </row>
    <row r="743" spans="1:9" ht="13.5">
      <c r="A743" s="419" t="str">
        <f t="shared" si="11"/>
        <v>明野西ＪＦＣ_7</v>
      </c>
      <c r="B743" s="307" t="s">
        <v>186</v>
      </c>
      <c r="C743" s="307" t="str">
        <f>("7")</f>
        <v>7</v>
      </c>
      <c r="D743" s="307" t="s">
        <v>862</v>
      </c>
      <c r="E743" s="307" t="s">
        <v>2367</v>
      </c>
      <c r="F743" s="307" t="s">
        <v>2368</v>
      </c>
      <c r="G743" s="307">
        <v>4</v>
      </c>
      <c r="H743" s="307" t="s">
        <v>858</v>
      </c>
      <c r="I743" s="307" t="str">
        <f>("1208200048")</f>
        <v>1208200048</v>
      </c>
    </row>
    <row r="744" spans="1:9" ht="13.5">
      <c r="A744" s="419" t="str">
        <f t="shared" si="11"/>
        <v>明野西ＪＦＣ_8</v>
      </c>
      <c r="B744" s="307" t="s">
        <v>186</v>
      </c>
      <c r="C744" s="307" t="str">
        <f>("8")</f>
        <v>8</v>
      </c>
      <c r="D744" s="307" t="s">
        <v>862</v>
      </c>
      <c r="E744" s="307" t="s">
        <v>2369</v>
      </c>
      <c r="F744" s="307" t="s">
        <v>2370</v>
      </c>
      <c r="G744" s="307">
        <v>6</v>
      </c>
      <c r="H744" s="307" t="s">
        <v>858</v>
      </c>
      <c r="I744" s="307" t="str">
        <f>("1103170157")</f>
        <v>1103170157</v>
      </c>
    </row>
    <row r="745" spans="1:9" ht="13.5">
      <c r="A745" s="419" t="str">
        <f t="shared" si="11"/>
        <v>明野西ＪＦＣ_9</v>
      </c>
      <c r="B745" s="307" t="s">
        <v>186</v>
      </c>
      <c r="C745" s="307" t="str">
        <f>("9")</f>
        <v>9</v>
      </c>
      <c r="D745" s="307" t="s">
        <v>884</v>
      </c>
      <c r="E745" s="307" t="s">
        <v>2371</v>
      </c>
      <c r="F745" s="307" t="s">
        <v>2372</v>
      </c>
      <c r="G745" s="307">
        <v>4</v>
      </c>
      <c r="H745" s="307" t="s">
        <v>858</v>
      </c>
      <c r="I745" s="307" t="str">
        <f>("1208270051")</f>
        <v>1208270051</v>
      </c>
    </row>
    <row r="746" spans="1:10" ht="13.5">
      <c r="A746" s="419" t="str">
        <f t="shared" si="11"/>
        <v>明野西ＪＦＣ_10</v>
      </c>
      <c r="B746" s="307" t="s">
        <v>186</v>
      </c>
      <c r="C746" s="307" t="str">
        <f>("10")</f>
        <v>10</v>
      </c>
      <c r="D746" s="307" t="s">
        <v>862</v>
      </c>
      <c r="E746" s="307" t="s">
        <v>2373</v>
      </c>
      <c r="F746" s="307" t="s">
        <v>2374</v>
      </c>
      <c r="G746" s="307">
        <v>6</v>
      </c>
      <c r="H746" s="307" t="s">
        <v>858</v>
      </c>
      <c r="I746" s="307" t="str">
        <f>("1009050006")</f>
        <v>1009050006</v>
      </c>
      <c r="J746" s="307" t="s">
        <v>15</v>
      </c>
    </row>
    <row r="747" spans="1:9" ht="13.5">
      <c r="A747" s="419" t="str">
        <f t="shared" si="11"/>
        <v>明野西ＪＦＣ_11</v>
      </c>
      <c r="B747" s="307" t="s">
        <v>186</v>
      </c>
      <c r="C747" s="307" t="str">
        <f>("11")</f>
        <v>11</v>
      </c>
      <c r="D747" s="307" t="s">
        <v>862</v>
      </c>
      <c r="E747" s="307" t="s">
        <v>2375</v>
      </c>
      <c r="F747" s="307" t="s">
        <v>2376</v>
      </c>
      <c r="G747" s="307">
        <v>3</v>
      </c>
      <c r="H747" s="307" t="s">
        <v>858</v>
      </c>
      <c r="I747" s="307" t="str">
        <f>("1309230009")</f>
        <v>1309230009</v>
      </c>
    </row>
    <row r="748" spans="1:9" ht="13.5">
      <c r="A748" s="419" t="str">
        <f t="shared" si="11"/>
        <v>明野西ＪＦＣ_12</v>
      </c>
      <c r="B748" s="307" t="s">
        <v>186</v>
      </c>
      <c r="C748" s="307" t="str">
        <f>("12")</f>
        <v>12</v>
      </c>
      <c r="D748" s="307" t="s">
        <v>884</v>
      </c>
      <c r="E748" s="307" t="s">
        <v>2377</v>
      </c>
      <c r="F748" s="307" t="s">
        <v>2378</v>
      </c>
      <c r="G748" s="307">
        <v>4</v>
      </c>
      <c r="H748" s="307" t="s">
        <v>858</v>
      </c>
      <c r="I748" s="307" t="str">
        <f>("1209280058")</f>
        <v>1209280058</v>
      </c>
    </row>
    <row r="749" spans="1:9" ht="13.5">
      <c r="A749" s="419" t="str">
        <f t="shared" si="11"/>
        <v>明野西ＪＦＣ_13</v>
      </c>
      <c r="B749" s="307" t="s">
        <v>186</v>
      </c>
      <c r="C749" s="307" t="str">
        <f>("13")</f>
        <v>13</v>
      </c>
      <c r="D749" s="307" t="s">
        <v>859</v>
      </c>
      <c r="E749" s="307" t="s">
        <v>2379</v>
      </c>
      <c r="F749" s="307" t="s">
        <v>2380</v>
      </c>
      <c r="G749" s="307">
        <v>4</v>
      </c>
      <c r="H749" s="307" t="s">
        <v>858</v>
      </c>
      <c r="I749" s="307" t="str">
        <f>("1204220043")</f>
        <v>1204220043</v>
      </c>
    </row>
    <row r="750" spans="1:9" ht="13.5">
      <c r="A750" s="419" t="str">
        <f t="shared" si="11"/>
        <v>明野西ＪＦＣ_14</v>
      </c>
      <c r="B750" s="307" t="s">
        <v>186</v>
      </c>
      <c r="C750" s="307" t="str">
        <f>("14")</f>
        <v>14</v>
      </c>
      <c r="D750" s="307" t="s">
        <v>862</v>
      </c>
      <c r="E750" s="307" t="s">
        <v>2381</v>
      </c>
      <c r="F750" s="307" t="s">
        <v>2382</v>
      </c>
      <c r="G750" s="307">
        <v>4</v>
      </c>
      <c r="H750" s="307" t="s">
        <v>858</v>
      </c>
      <c r="I750" s="307" t="str">
        <f>("1206040056")</f>
        <v>1206040056</v>
      </c>
    </row>
    <row r="751" spans="1:9" ht="13.5">
      <c r="A751" s="419" t="str">
        <f t="shared" si="11"/>
        <v>明野西ＪＦＣ_15</v>
      </c>
      <c r="B751" s="307" t="s">
        <v>186</v>
      </c>
      <c r="C751" s="307" t="str">
        <f>("15")</f>
        <v>15</v>
      </c>
      <c r="D751" s="307" t="s">
        <v>862</v>
      </c>
      <c r="E751" s="307" t="s">
        <v>2383</v>
      </c>
      <c r="F751" s="307" t="s">
        <v>2384</v>
      </c>
      <c r="G751" s="307">
        <v>4</v>
      </c>
      <c r="H751" s="307" t="s">
        <v>858</v>
      </c>
      <c r="I751" s="307" t="str">
        <f>("1209010078")</f>
        <v>1209010078</v>
      </c>
    </row>
    <row r="752" spans="1:9" ht="13.5">
      <c r="A752" s="419" t="str">
        <f t="shared" si="11"/>
        <v>明野西ＪＦＣ_16</v>
      </c>
      <c r="B752" s="307" t="s">
        <v>186</v>
      </c>
      <c r="C752" s="307" t="str">
        <f>("16")</f>
        <v>16</v>
      </c>
      <c r="D752" s="307" t="s">
        <v>862</v>
      </c>
      <c r="E752" s="307" t="s">
        <v>2385</v>
      </c>
      <c r="F752" s="307" t="s">
        <v>2386</v>
      </c>
      <c r="G752" s="307">
        <v>3</v>
      </c>
      <c r="H752" s="307" t="s">
        <v>858</v>
      </c>
      <c r="I752" s="307" t="str">
        <f>("1311250019")</f>
        <v>1311250019</v>
      </c>
    </row>
    <row r="753" spans="1:10" ht="13.5">
      <c r="A753" s="419" t="str">
        <f t="shared" si="11"/>
        <v>金池長浜サッカースポーツ少年団_1</v>
      </c>
      <c r="B753" s="307" t="s">
        <v>258</v>
      </c>
      <c r="C753" s="307" t="str">
        <f>("1")</f>
        <v>1</v>
      </c>
      <c r="D753" s="307" t="s">
        <v>855</v>
      </c>
      <c r="E753" s="307" t="s">
        <v>2387</v>
      </c>
      <c r="F753" s="307" t="s">
        <v>2388</v>
      </c>
      <c r="G753" s="307">
        <v>6</v>
      </c>
      <c r="H753" s="307" t="s">
        <v>858</v>
      </c>
      <c r="I753" s="307" t="str">
        <f>("1101310029")</f>
        <v>1101310029</v>
      </c>
      <c r="J753" s="307" t="s">
        <v>15</v>
      </c>
    </row>
    <row r="754" spans="1:9" ht="13.5">
      <c r="A754" s="419" t="str">
        <f t="shared" si="11"/>
        <v>金池長浜サッカースポーツ少年団_2</v>
      </c>
      <c r="B754" s="307" t="s">
        <v>258</v>
      </c>
      <c r="C754" s="307" t="str">
        <f>("2")</f>
        <v>2</v>
      </c>
      <c r="D754" s="307" t="s">
        <v>859</v>
      </c>
      <c r="E754" s="307" t="s">
        <v>2389</v>
      </c>
      <c r="F754" s="307" t="s">
        <v>2390</v>
      </c>
      <c r="G754" s="307">
        <v>6</v>
      </c>
      <c r="H754" s="307" t="s">
        <v>858</v>
      </c>
      <c r="I754" s="307" t="str">
        <f>("1103080029")</f>
        <v>1103080029</v>
      </c>
    </row>
    <row r="755" spans="1:9" ht="13.5">
      <c r="A755" s="419" t="str">
        <f t="shared" si="11"/>
        <v>金池長浜サッカースポーツ少年団_3</v>
      </c>
      <c r="B755" s="307" t="s">
        <v>258</v>
      </c>
      <c r="C755" s="307" t="str">
        <f>("3")</f>
        <v>3</v>
      </c>
      <c r="D755" s="307" t="s">
        <v>859</v>
      </c>
      <c r="E755" s="307" t="s">
        <v>2391</v>
      </c>
      <c r="F755" s="307" t="s">
        <v>2392</v>
      </c>
      <c r="G755" s="307">
        <v>6</v>
      </c>
      <c r="H755" s="307" t="s">
        <v>858</v>
      </c>
      <c r="I755" s="307" t="str">
        <f>("1102200041")</f>
        <v>1102200041</v>
      </c>
    </row>
    <row r="756" spans="1:9" ht="13.5">
      <c r="A756" s="419" t="str">
        <f t="shared" si="11"/>
        <v>金池長浜サッカースポーツ少年団_4</v>
      </c>
      <c r="B756" s="307" t="s">
        <v>258</v>
      </c>
      <c r="C756" s="307" t="str">
        <f>("4")</f>
        <v>4</v>
      </c>
      <c r="D756" s="307" t="s">
        <v>859</v>
      </c>
      <c r="E756" s="307" t="s">
        <v>2393</v>
      </c>
      <c r="F756" s="307" t="s">
        <v>2394</v>
      </c>
      <c r="G756" s="307">
        <v>6</v>
      </c>
      <c r="H756" s="307" t="s">
        <v>858</v>
      </c>
      <c r="I756" s="307" t="str">
        <f>("1010140228")</f>
        <v>1010140228</v>
      </c>
    </row>
    <row r="757" spans="1:9" ht="13.5">
      <c r="A757" s="419" t="str">
        <f t="shared" si="11"/>
        <v>金池長浜サッカースポーツ少年団_5</v>
      </c>
      <c r="B757" s="307" t="s">
        <v>258</v>
      </c>
      <c r="C757" s="307" t="str">
        <f>("5")</f>
        <v>5</v>
      </c>
      <c r="D757" s="307" t="s">
        <v>859</v>
      </c>
      <c r="E757" s="307" t="s">
        <v>2395</v>
      </c>
      <c r="F757" s="307" t="s">
        <v>2396</v>
      </c>
      <c r="G757" s="307">
        <v>6</v>
      </c>
      <c r="H757" s="307" t="s">
        <v>858</v>
      </c>
      <c r="I757" s="307" t="str">
        <f>("1101310206")</f>
        <v>1101310206</v>
      </c>
    </row>
    <row r="758" spans="1:9" ht="13.5">
      <c r="A758" s="419" t="str">
        <f t="shared" si="11"/>
        <v>金池長浜サッカースポーツ少年団_6</v>
      </c>
      <c r="B758" s="307" t="s">
        <v>258</v>
      </c>
      <c r="C758" s="307" t="str">
        <f>("6")</f>
        <v>6</v>
      </c>
      <c r="D758" s="307" t="s">
        <v>862</v>
      </c>
      <c r="E758" s="307" t="s">
        <v>2397</v>
      </c>
      <c r="F758" s="307" t="s">
        <v>2398</v>
      </c>
      <c r="G758" s="307">
        <v>6</v>
      </c>
      <c r="H758" s="307" t="s">
        <v>858</v>
      </c>
      <c r="I758" s="307" t="str">
        <f>("1010250233")</f>
        <v>1010250233</v>
      </c>
    </row>
    <row r="759" spans="1:9" ht="13.5">
      <c r="A759" s="419" t="str">
        <f t="shared" si="11"/>
        <v>金池長浜サッカースポーツ少年団_7</v>
      </c>
      <c r="B759" s="307" t="s">
        <v>258</v>
      </c>
      <c r="C759" s="307" t="str">
        <f>("7")</f>
        <v>7</v>
      </c>
      <c r="D759" s="307" t="s">
        <v>862</v>
      </c>
      <c r="E759" s="307" t="s">
        <v>2399</v>
      </c>
      <c r="F759" s="307" t="s">
        <v>2400</v>
      </c>
      <c r="G759" s="307">
        <v>6</v>
      </c>
      <c r="H759" s="307" t="s">
        <v>858</v>
      </c>
      <c r="I759" s="307" t="str">
        <f>("1008140007")</f>
        <v>1008140007</v>
      </c>
    </row>
    <row r="760" spans="1:9" ht="13.5">
      <c r="A760" s="419" t="str">
        <f t="shared" si="11"/>
        <v>金池長浜サッカースポーツ少年団_8</v>
      </c>
      <c r="B760" s="307" t="s">
        <v>258</v>
      </c>
      <c r="C760" s="307" t="str">
        <f>("8")</f>
        <v>8</v>
      </c>
      <c r="D760" s="307" t="s">
        <v>862</v>
      </c>
      <c r="E760" s="307" t="s">
        <v>2401</v>
      </c>
      <c r="F760" s="307" t="s">
        <v>2402</v>
      </c>
      <c r="G760" s="307">
        <v>6</v>
      </c>
      <c r="H760" s="307" t="s">
        <v>858</v>
      </c>
      <c r="I760" s="307" t="str">
        <f>("1012140118")</f>
        <v>1012140118</v>
      </c>
    </row>
    <row r="761" spans="1:9" ht="13.5">
      <c r="A761" s="419" t="str">
        <f t="shared" si="11"/>
        <v>金池長浜サッカースポーツ少年団_9</v>
      </c>
      <c r="B761" s="307" t="s">
        <v>258</v>
      </c>
      <c r="C761" s="307" t="str">
        <f>("9")</f>
        <v>9</v>
      </c>
      <c r="D761" s="307" t="s">
        <v>862</v>
      </c>
      <c r="E761" s="307" t="s">
        <v>2403</v>
      </c>
      <c r="F761" s="307" t="s">
        <v>2404</v>
      </c>
      <c r="G761" s="307">
        <v>6</v>
      </c>
      <c r="H761" s="307" t="s">
        <v>858</v>
      </c>
      <c r="I761" s="307" t="str">
        <f>("1004220142")</f>
        <v>1004220142</v>
      </c>
    </row>
    <row r="762" spans="1:9" ht="13.5">
      <c r="A762" s="419" t="str">
        <f t="shared" si="11"/>
        <v>金池長浜サッカースポーツ少年団_10</v>
      </c>
      <c r="B762" s="307" t="s">
        <v>258</v>
      </c>
      <c r="C762" s="307" t="str">
        <f>("10")</f>
        <v>10</v>
      </c>
      <c r="D762" s="307" t="s">
        <v>884</v>
      </c>
      <c r="E762" s="307" t="s">
        <v>2405</v>
      </c>
      <c r="F762" s="307" t="s">
        <v>2406</v>
      </c>
      <c r="G762" s="307">
        <v>6</v>
      </c>
      <c r="H762" s="307" t="s">
        <v>858</v>
      </c>
      <c r="I762" s="307" t="str">
        <f>("1005240035")</f>
        <v>1005240035</v>
      </c>
    </row>
    <row r="763" spans="1:9" ht="13.5">
      <c r="A763" s="419" t="str">
        <f t="shared" si="11"/>
        <v>金池長浜サッカースポーツ少年団_11</v>
      </c>
      <c r="B763" s="307" t="s">
        <v>258</v>
      </c>
      <c r="C763" s="307" t="str">
        <f>("11")</f>
        <v>11</v>
      </c>
      <c r="D763" s="307" t="s">
        <v>862</v>
      </c>
      <c r="E763" s="307" t="s">
        <v>2407</v>
      </c>
      <c r="F763" s="307" t="s">
        <v>2408</v>
      </c>
      <c r="G763" s="307">
        <v>6</v>
      </c>
      <c r="H763" s="307" t="s">
        <v>858</v>
      </c>
      <c r="I763" s="307" t="str">
        <f>("1007020191")</f>
        <v>1007020191</v>
      </c>
    </row>
    <row r="764" spans="1:9" ht="13.5">
      <c r="A764" s="419" t="str">
        <f t="shared" si="11"/>
        <v>金池長浜サッカースポーツ少年団_12</v>
      </c>
      <c r="B764" s="307" t="s">
        <v>258</v>
      </c>
      <c r="C764" s="307" t="str">
        <f>("12")</f>
        <v>12</v>
      </c>
      <c r="D764" s="307" t="s">
        <v>884</v>
      </c>
      <c r="E764" s="307" t="s">
        <v>2409</v>
      </c>
      <c r="F764" s="307" t="s">
        <v>2410</v>
      </c>
      <c r="G764" s="307">
        <v>5</v>
      </c>
      <c r="H764" s="307" t="s">
        <v>858</v>
      </c>
      <c r="I764" s="307" t="str">
        <f>("1110230057")</f>
        <v>1110230057</v>
      </c>
    </row>
    <row r="765" spans="1:9" ht="13.5">
      <c r="A765" s="419" t="str">
        <f t="shared" si="11"/>
        <v>金池長浜サッカースポーツ少年団_13</v>
      </c>
      <c r="B765" s="307" t="s">
        <v>258</v>
      </c>
      <c r="C765" s="307" t="str">
        <f>("13")</f>
        <v>13</v>
      </c>
      <c r="D765" s="307" t="s">
        <v>862</v>
      </c>
      <c r="E765" s="307" t="s">
        <v>2411</v>
      </c>
      <c r="F765" s="307" t="s">
        <v>2412</v>
      </c>
      <c r="G765" s="307">
        <v>5</v>
      </c>
      <c r="H765" s="307" t="s">
        <v>858</v>
      </c>
      <c r="I765" s="307" t="str">
        <f>("1203100107")</f>
        <v>1203100107</v>
      </c>
    </row>
    <row r="766" spans="1:9" ht="13.5">
      <c r="A766" s="419" t="str">
        <f t="shared" si="11"/>
        <v>金池長浜サッカースポーツ少年団_14</v>
      </c>
      <c r="B766" s="307" t="s">
        <v>258</v>
      </c>
      <c r="C766" s="307" t="str">
        <f>("14")</f>
        <v>14</v>
      </c>
      <c r="D766" s="307" t="s">
        <v>859</v>
      </c>
      <c r="E766" s="307" t="s">
        <v>2413</v>
      </c>
      <c r="F766" s="307" t="s">
        <v>2414</v>
      </c>
      <c r="G766" s="307">
        <v>4</v>
      </c>
      <c r="H766" s="307" t="s">
        <v>858</v>
      </c>
      <c r="I766" s="307" t="str">
        <f>("1206120025")</f>
        <v>1206120025</v>
      </c>
    </row>
    <row r="767" spans="1:9" ht="13.5">
      <c r="A767" s="419" t="str">
        <f t="shared" si="11"/>
        <v>金池長浜サッカースポーツ少年団_15</v>
      </c>
      <c r="B767" s="307" t="s">
        <v>258</v>
      </c>
      <c r="C767" s="307" t="str">
        <f>("15")</f>
        <v>15</v>
      </c>
      <c r="D767" s="307" t="s">
        <v>884</v>
      </c>
      <c r="E767" s="307" t="s">
        <v>2415</v>
      </c>
      <c r="F767" s="307" t="s">
        <v>2416</v>
      </c>
      <c r="G767" s="307">
        <v>4</v>
      </c>
      <c r="H767" s="307" t="s">
        <v>858</v>
      </c>
      <c r="I767" s="307" t="str">
        <f>("1210310011")</f>
        <v>1210310011</v>
      </c>
    </row>
    <row r="768" spans="1:9" ht="13.5">
      <c r="A768" s="419" t="str">
        <f t="shared" si="11"/>
        <v>金池長浜サッカースポーツ少年団_16</v>
      </c>
      <c r="B768" s="307" t="s">
        <v>258</v>
      </c>
      <c r="C768" s="307" t="str">
        <f>("16")</f>
        <v>16</v>
      </c>
      <c r="D768" s="307" t="s">
        <v>855</v>
      </c>
      <c r="E768" s="307" t="s">
        <v>2417</v>
      </c>
      <c r="F768" s="307" t="s">
        <v>2418</v>
      </c>
      <c r="G768" s="307">
        <v>5</v>
      </c>
      <c r="H768" s="307" t="s">
        <v>858</v>
      </c>
      <c r="I768" s="307" t="str">
        <f>("1111210033")</f>
        <v>1111210033</v>
      </c>
    </row>
    <row r="769" spans="1:9" ht="13.5">
      <c r="A769" s="419" t="str">
        <f aca="true" t="shared" si="12" ref="A769:A832">CONCATENATE(B769,"_",C769)</f>
        <v>八幡サッカースポーツ少年団_1</v>
      </c>
      <c r="B769" s="307" t="s">
        <v>283</v>
      </c>
      <c r="C769" s="307" t="str">
        <f>("1")</f>
        <v>1</v>
      </c>
      <c r="D769" s="307" t="s">
        <v>855</v>
      </c>
      <c r="E769" s="307" t="s">
        <v>2419</v>
      </c>
      <c r="F769" s="307" t="s">
        <v>2420</v>
      </c>
      <c r="G769" s="307">
        <v>6</v>
      </c>
      <c r="H769" s="307" t="s">
        <v>858</v>
      </c>
      <c r="I769" s="307" t="str">
        <f>("1101160058")</f>
        <v>1101160058</v>
      </c>
    </row>
    <row r="770" spans="1:9" ht="13.5">
      <c r="A770" s="419" t="str">
        <f t="shared" si="12"/>
        <v>八幡サッカースポーツ少年団_2</v>
      </c>
      <c r="B770" s="307" t="s">
        <v>283</v>
      </c>
      <c r="C770" s="307" t="str">
        <f>("2")</f>
        <v>2</v>
      </c>
      <c r="D770" s="307" t="s">
        <v>862</v>
      </c>
      <c r="E770" s="307" t="s">
        <v>2421</v>
      </c>
      <c r="F770" s="307" t="s">
        <v>2422</v>
      </c>
      <c r="G770" s="307">
        <v>4</v>
      </c>
      <c r="H770" s="307" t="s">
        <v>858</v>
      </c>
      <c r="I770" s="307" t="str">
        <f>("1206290120")</f>
        <v>1206290120</v>
      </c>
    </row>
    <row r="771" spans="1:9" ht="13.5">
      <c r="A771" s="419" t="str">
        <f t="shared" si="12"/>
        <v>八幡サッカースポーツ少年団_3</v>
      </c>
      <c r="B771" s="307" t="s">
        <v>283</v>
      </c>
      <c r="C771" s="307" t="str">
        <f>("3")</f>
        <v>3</v>
      </c>
      <c r="D771" s="307" t="s">
        <v>862</v>
      </c>
      <c r="E771" s="307" t="s">
        <v>2423</v>
      </c>
      <c r="F771" s="307" t="s">
        <v>2424</v>
      </c>
      <c r="G771" s="307">
        <v>4</v>
      </c>
      <c r="H771" s="307" t="s">
        <v>858</v>
      </c>
      <c r="I771" s="307" t="str">
        <f>("1206260129")</f>
        <v>1206260129</v>
      </c>
    </row>
    <row r="772" spans="1:9" ht="13.5">
      <c r="A772" s="419" t="str">
        <f t="shared" si="12"/>
        <v>八幡サッカースポーツ少年団_4</v>
      </c>
      <c r="B772" s="307" t="s">
        <v>283</v>
      </c>
      <c r="C772" s="307" t="str">
        <f>("4")</f>
        <v>4</v>
      </c>
      <c r="D772" s="307" t="s">
        <v>862</v>
      </c>
      <c r="E772" s="307" t="s">
        <v>2425</v>
      </c>
      <c r="F772" s="307" t="s">
        <v>2426</v>
      </c>
      <c r="G772" s="307">
        <v>4</v>
      </c>
      <c r="H772" s="307" t="s">
        <v>858</v>
      </c>
      <c r="I772" s="307" t="str">
        <f>("1210240008")</f>
        <v>1210240008</v>
      </c>
    </row>
    <row r="773" spans="1:9" ht="13.5">
      <c r="A773" s="419" t="str">
        <f t="shared" si="12"/>
        <v>八幡サッカースポーツ少年団_5</v>
      </c>
      <c r="B773" s="307" t="s">
        <v>283</v>
      </c>
      <c r="C773" s="307" t="str">
        <f>("5")</f>
        <v>5</v>
      </c>
      <c r="D773" s="307" t="s">
        <v>862</v>
      </c>
      <c r="E773" s="307" t="s">
        <v>2427</v>
      </c>
      <c r="F773" s="307" t="s">
        <v>2428</v>
      </c>
      <c r="G773" s="307">
        <v>4</v>
      </c>
      <c r="H773" s="307" t="s">
        <v>858</v>
      </c>
      <c r="I773" s="307" t="str">
        <f>("1211130091")</f>
        <v>1211130091</v>
      </c>
    </row>
    <row r="774" spans="1:9" ht="13.5">
      <c r="A774" s="419" t="str">
        <f t="shared" si="12"/>
        <v>八幡サッカースポーツ少年団_6</v>
      </c>
      <c r="B774" s="307" t="s">
        <v>283</v>
      </c>
      <c r="C774" s="307" t="str">
        <f>("6")</f>
        <v>6</v>
      </c>
      <c r="D774" s="307" t="s">
        <v>859</v>
      </c>
      <c r="E774" s="307" t="s">
        <v>2429</v>
      </c>
      <c r="F774" s="307" t="s">
        <v>2430</v>
      </c>
      <c r="G774" s="307">
        <v>6</v>
      </c>
      <c r="H774" s="307" t="s">
        <v>858</v>
      </c>
      <c r="I774" s="307" t="str">
        <f>("1009040008")</f>
        <v>1009040008</v>
      </c>
    </row>
    <row r="775" spans="1:10" ht="13.5">
      <c r="A775" s="419" t="str">
        <f t="shared" si="12"/>
        <v>八幡サッカースポーツ少年団_8</v>
      </c>
      <c r="B775" s="307" t="s">
        <v>283</v>
      </c>
      <c r="C775" s="307" t="str">
        <f>("8")</f>
        <v>8</v>
      </c>
      <c r="D775" s="307" t="s">
        <v>862</v>
      </c>
      <c r="E775" s="307" t="s">
        <v>2431</v>
      </c>
      <c r="F775" s="307" t="s">
        <v>2432</v>
      </c>
      <c r="G775" s="307">
        <v>6</v>
      </c>
      <c r="H775" s="307" t="s">
        <v>858</v>
      </c>
      <c r="I775" s="307" t="str">
        <f>("1007010003")</f>
        <v>1007010003</v>
      </c>
      <c r="J775" s="307" t="s">
        <v>15</v>
      </c>
    </row>
    <row r="776" spans="1:9" ht="13.5">
      <c r="A776" s="419" t="str">
        <f t="shared" si="12"/>
        <v>八幡サッカースポーツ少年団_9</v>
      </c>
      <c r="B776" s="307" t="s">
        <v>283</v>
      </c>
      <c r="C776" s="307" t="str">
        <f>("9")</f>
        <v>9</v>
      </c>
      <c r="D776" s="307" t="s">
        <v>859</v>
      </c>
      <c r="E776" s="307" t="s">
        <v>2433</v>
      </c>
      <c r="F776" s="307" t="s">
        <v>2434</v>
      </c>
      <c r="G776" s="307">
        <v>6</v>
      </c>
      <c r="H776" s="307" t="s">
        <v>858</v>
      </c>
      <c r="I776" s="307" t="str">
        <f>("1012210077")</f>
        <v>1012210077</v>
      </c>
    </row>
    <row r="777" spans="1:9" ht="13.5">
      <c r="A777" s="419" t="str">
        <f t="shared" si="12"/>
        <v>八幡サッカースポーツ少年団_11</v>
      </c>
      <c r="B777" s="307" t="s">
        <v>283</v>
      </c>
      <c r="C777" s="307" t="str">
        <f>("11")</f>
        <v>11</v>
      </c>
      <c r="D777" s="307" t="s">
        <v>859</v>
      </c>
      <c r="E777" s="307" t="s">
        <v>2435</v>
      </c>
      <c r="F777" s="307" t="s">
        <v>2436</v>
      </c>
      <c r="G777" s="307">
        <v>6</v>
      </c>
      <c r="H777" s="307" t="s">
        <v>858</v>
      </c>
      <c r="I777" s="307" t="str">
        <f>("1008260003")</f>
        <v>1008260003</v>
      </c>
    </row>
    <row r="778" spans="1:9" ht="13.5">
      <c r="A778" s="419" t="str">
        <f t="shared" si="12"/>
        <v>八幡サッカースポーツ少年団_12</v>
      </c>
      <c r="B778" s="307" t="s">
        <v>283</v>
      </c>
      <c r="C778" s="307" t="str">
        <f>("12")</f>
        <v>12</v>
      </c>
      <c r="D778" s="307" t="s">
        <v>862</v>
      </c>
      <c r="E778" s="307" t="s">
        <v>2437</v>
      </c>
      <c r="F778" s="307" t="s">
        <v>2438</v>
      </c>
      <c r="G778" s="307">
        <v>1</v>
      </c>
      <c r="H778" s="307" t="s">
        <v>858</v>
      </c>
      <c r="I778" s="307" t="str">
        <f>("1510030001")</f>
        <v>1510030001</v>
      </c>
    </row>
    <row r="779" spans="1:9" ht="13.5">
      <c r="A779" s="419" t="str">
        <f t="shared" si="12"/>
        <v>八幡サッカースポーツ少年団_13</v>
      </c>
      <c r="B779" s="307" t="s">
        <v>283</v>
      </c>
      <c r="C779" s="307" t="str">
        <f>("13")</f>
        <v>13</v>
      </c>
      <c r="D779" s="307" t="s">
        <v>862</v>
      </c>
      <c r="E779" s="307" t="s">
        <v>2439</v>
      </c>
      <c r="F779" s="307" t="s">
        <v>2440</v>
      </c>
      <c r="G779" s="307">
        <v>3</v>
      </c>
      <c r="H779" s="307" t="s">
        <v>858</v>
      </c>
      <c r="I779" s="307" t="str">
        <f>("1309050027")</f>
        <v>1309050027</v>
      </c>
    </row>
    <row r="780" spans="1:9" ht="13.5">
      <c r="A780" s="419" t="str">
        <f t="shared" si="12"/>
        <v>八幡サッカースポーツ少年団_15</v>
      </c>
      <c r="B780" s="307" t="s">
        <v>283</v>
      </c>
      <c r="C780" s="307" t="str">
        <f>("15")</f>
        <v>15</v>
      </c>
      <c r="D780" s="307" t="s">
        <v>862</v>
      </c>
      <c r="E780" s="307" t="s">
        <v>2441</v>
      </c>
      <c r="F780" s="307" t="s">
        <v>2442</v>
      </c>
      <c r="G780" s="307">
        <v>1</v>
      </c>
      <c r="H780" s="307" t="s">
        <v>858</v>
      </c>
      <c r="I780" s="307" t="str">
        <f>("1511050007")</f>
        <v>1511050007</v>
      </c>
    </row>
    <row r="781" spans="1:9" ht="13.5">
      <c r="A781" s="419" t="str">
        <f t="shared" si="12"/>
        <v>八幡サッカースポーツ少年団_16</v>
      </c>
      <c r="B781" s="307" t="s">
        <v>283</v>
      </c>
      <c r="C781" s="307" t="str">
        <f>("16")</f>
        <v>16</v>
      </c>
      <c r="D781" s="307" t="s">
        <v>862</v>
      </c>
      <c r="E781" s="307" t="s">
        <v>2443</v>
      </c>
      <c r="F781" s="307" t="s">
        <v>2444</v>
      </c>
      <c r="G781" s="307">
        <v>4</v>
      </c>
      <c r="H781" s="307" t="s">
        <v>858</v>
      </c>
      <c r="I781" s="307" t="str">
        <f>("1208220035")</f>
        <v>1208220035</v>
      </c>
    </row>
    <row r="782" spans="1:9" ht="13.5">
      <c r="A782" s="419" t="str">
        <f t="shared" si="12"/>
        <v>日岡サッカースポーツ少年団_1</v>
      </c>
      <c r="B782" s="307" t="s">
        <v>36</v>
      </c>
      <c r="C782" s="307" t="str">
        <f>("1")</f>
        <v>1</v>
      </c>
      <c r="D782" s="307" t="s">
        <v>855</v>
      </c>
      <c r="E782" s="307" t="s">
        <v>2445</v>
      </c>
      <c r="F782" s="307" t="s">
        <v>2446</v>
      </c>
      <c r="G782" s="307">
        <v>5</v>
      </c>
      <c r="H782" s="307" t="s">
        <v>858</v>
      </c>
      <c r="I782" s="307" t="str">
        <f>("1107220143")</f>
        <v>1107220143</v>
      </c>
    </row>
    <row r="783" spans="1:9" ht="13.5">
      <c r="A783" s="419" t="str">
        <f t="shared" si="12"/>
        <v>日岡サッカースポーツ少年団_3</v>
      </c>
      <c r="B783" s="307" t="s">
        <v>36</v>
      </c>
      <c r="C783" s="307" t="str">
        <f>("3")</f>
        <v>3</v>
      </c>
      <c r="D783" s="307" t="s">
        <v>884</v>
      </c>
      <c r="E783" s="307" t="s">
        <v>2447</v>
      </c>
      <c r="F783" s="307" t="s">
        <v>2448</v>
      </c>
      <c r="G783" s="307">
        <v>5</v>
      </c>
      <c r="H783" s="307" t="s">
        <v>858</v>
      </c>
      <c r="I783" s="307" t="str">
        <f>("1104090095")</f>
        <v>1104090095</v>
      </c>
    </row>
    <row r="784" spans="1:9" ht="13.5">
      <c r="A784" s="419" t="str">
        <f t="shared" si="12"/>
        <v>日岡サッカースポーツ少年団_4</v>
      </c>
      <c r="B784" s="307" t="s">
        <v>36</v>
      </c>
      <c r="C784" s="307" t="str">
        <f>("4")</f>
        <v>4</v>
      </c>
      <c r="D784" s="307" t="s">
        <v>862</v>
      </c>
      <c r="E784" s="307" t="s">
        <v>2449</v>
      </c>
      <c r="F784" s="307" t="s">
        <v>2450</v>
      </c>
      <c r="G784" s="307">
        <v>5</v>
      </c>
      <c r="H784" s="307" t="s">
        <v>858</v>
      </c>
      <c r="I784" s="307" t="str">
        <f>("1111290106")</f>
        <v>1111290106</v>
      </c>
    </row>
    <row r="785" spans="1:9" ht="13.5">
      <c r="A785" s="419" t="str">
        <f t="shared" si="12"/>
        <v>日岡サッカースポーツ少年団_5</v>
      </c>
      <c r="B785" s="307" t="s">
        <v>36</v>
      </c>
      <c r="C785" s="307" t="str">
        <f>("5")</f>
        <v>5</v>
      </c>
      <c r="D785" s="307" t="s">
        <v>862</v>
      </c>
      <c r="E785" s="307" t="s">
        <v>2451</v>
      </c>
      <c r="F785" s="307" t="s">
        <v>2452</v>
      </c>
      <c r="G785" s="307">
        <v>4</v>
      </c>
      <c r="H785" s="307" t="s">
        <v>858</v>
      </c>
      <c r="I785" s="307" t="str">
        <f>("1212200066")</f>
        <v>1212200066</v>
      </c>
    </row>
    <row r="786" spans="1:9" ht="13.5">
      <c r="A786" s="419" t="str">
        <f t="shared" si="12"/>
        <v>日岡サッカースポーツ少年団_6</v>
      </c>
      <c r="B786" s="307" t="s">
        <v>36</v>
      </c>
      <c r="C786" s="307" t="str">
        <f>("6")</f>
        <v>6</v>
      </c>
      <c r="D786" s="307" t="s">
        <v>859</v>
      </c>
      <c r="E786" s="307" t="s">
        <v>2453</v>
      </c>
      <c r="F786" s="307" t="s">
        <v>2454</v>
      </c>
      <c r="G786" s="307">
        <v>4</v>
      </c>
      <c r="H786" s="307" t="s">
        <v>858</v>
      </c>
      <c r="I786" s="307" t="str">
        <f>("1209070050")</f>
        <v>1209070050</v>
      </c>
    </row>
    <row r="787" spans="1:9" ht="13.5">
      <c r="A787" s="419" t="str">
        <f t="shared" si="12"/>
        <v>日岡サッカースポーツ少年団_7</v>
      </c>
      <c r="B787" s="307" t="s">
        <v>36</v>
      </c>
      <c r="C787" s="307" t="str">
        <f>("7")</f>
        <v>7</v>
      </c>
      <c r="D787" s="307" t="s">
        <v>884</v>
      </c>
      <c r="E787" s="307" t="s">
        <v>2455</v>
      </c>
      <c r="F787" s="307" t="s">
        <v>2456</v>
      </c>
      <c r="G787" s="307">
        <v>6</v>
      </c>
      <c r="H787" s="307" t="s">
        <v>858</v>
      </c>
      <c r="I787" s="307" t="str">
        <f>("1004230149")</f>
        <v>1004230149</v>
      </c>
    </row>
    <row r="788" spans="1:9" ht="13.5">
      <c r="A788" s="419" t="str">
        <f t="shared" si="12"/>
        <v>日岡サッカースポーツ少年団_8</v>
      </c>
      <c r="B788" s="307" t="s">
        <v>36</v>
      </c>
      <c r="C788" s="307" t="str">
        <f>("8")</f>
        <v>8</v>
      </c>
      <c r="D788" s="307" t="s">
        <v>859</v>
      </c>
      <c r="E788" s="307" t="s">
        <v>2457</v>
      </c>
      <c r="F788" s="307" t="s">
        <v>2458</v>
      </c>
      <c r="G788" s="307">
        <v>6</v>
      </c>
      <c r="H788" s="307" t="s">
        <v>858</v>
      </c>
      <c r="I788" s="307" t="str">
        <f>("1006100162")</f>
        <v>1006100162</v>
      </c>
    </row>
    <row r="789" spans="1:9" ht="13.5">
      <c r="A789" s="419" t="str">
        <f t="shared" si="12"/>
        <v>日岡サッカースポーツ少年団_9</v>
      </c>
      <c r="B789" s="307" t="s">
        <v>36</v>
      </c>
      <c r="C789" s="307" t="str">
        <f>("9")</f>
        <v>9</v>
      </c>
      <c r="D789" s="307" t="s">
        <v>859</v>
      </c>
      <c r="E789" s="307" t="s">
        <v>2459</v>
      </c>
      <c r="F789" s="307" t="s">
        <v>2460</v>
      </c>
      <c r="G789" s="307">
        <v>6</v>
      </c>
      <c r="H789" s="307" t="s">
        <v>858</v>
      </c>
      <c r="I789" s="307" t="str">
        <f>("1004100155")</f>
        <v>1004100155</v>
      </c>
    </row>
    <row r="790" spans="1:9" ht="13.5">
      <c r="A790" s="419" t="str">
        <f t="shared" si="12"/>
        <v>日岡サッカースポーツ少年団_10</v>
      </c>
      <c r="B790" s="307" t="s">
        <v>36</v>
      </c>
      <c r="C790" s="307" t="str">
        <f>("10")</f>
        <v>10</v>
      </c>
      <c r="D790" s="307" t="s">
        <v>862</v>
      </c>
      <c r="E790" s="307" t="s">
        <v>2461</v>
      </c>
      <c r="F790" s="307" t="s">
        <v>2462</v>
      </c>
      <c r="G790" s="307">
        <v>6</v>
      </c>
      <c r="H790" s="307" t="s">
        <v>858</v>
      </c>
      <c r="I790" s="307" t="str">
        <f>("1011160027")</f>
        <v>1011160027</v>
      </c>
    </row>
    <row r="791" spans="1:10" ht="13.5">
      <c r="A791" s="419" t="str">
        <f t="shared" si="12"/>
        <v>日岡サッカースポーツ少年団_11</v>
      </c>
      <c r="B791" s="307" t="s">
        <v>36</v>
      </c>
      <c r="C791" s="307" t="str">
        <f>("11")</f>
        <v>11</v>
      </c>
      <c r="D791" s="307" t="s">
        <v>859</v>
      </c>
      <c r="E791" s="307" t="s">
        <v>2463</v>
      </c>
      <c r="F791" s="307" t="s">
        <v>2464</v>
      </c>
      <c r="G791" s="307">
        <v>6</v>
      </c>
      <c r="H791" s="307" t="s">
        <v>858</v>
      </c>
      <c r="I791" s="307" t="str">
        <f>("1005190036")</f>
        <v>1005190036</v>
      </c>
      <c r="J791" s="307" t="s">
        <v>15</v>
      </c>
    </row>
    <row r="792" spans="1:9" ht="13.5">
      <c r="A792" s="419" t="str">
        <f t="shared" si="12"/>
        <v>日岡サッカースポーツ少年団_12</v>
      </c>
      <c r="B792" s="307" t="s">
        <v>36</v>
      </c>
      <c r="C792" s="307" t="str">
        <f>("12")</f>
        <v>12</v>
      </c>
      <c r="D792" s="307" t="s">
        <v>859</v>
      </c>
      <c r="E792" s="307" t="s">
        <v>2465</v>
      </c>
      <c r="F792" s="307" t="s">
        <v>2466</v>
      </c>
      <c r="G792" s="307">
        <v>4</v>
      </c>
      <c r="H792" s="307" t="s">
        <v>858</v>
      </c>
      <c r="I792" s="307" t="str">
        <f>("1210080035")</f>
        <v>1210080035</v>
      </c>
    </row>
    <row r="793" spans="1:9" ht="13.5">
      <c r="A793" s="419" t="str">
        <f t="shared" si="12"/>
        <v>日岡サッカースポーツ少年団_14</v>
      </c>
      <c r="B793" s="307" t="s">
        <v>36</v>
      </c>
      <c r="C793" s="307" t="str">
        <f>("14")</f>
        <v>14</v>
      </c>
      <c r="D793" s="307" t="s">
        <v>862</v>
      </c>
      <c r="E793" s="307" t="s">
        <v>2467</v>
      </c>
      <c r="F793" s="307" t="s">
        <v>2468</v>
      </c>
      <c r="G793" s="307">
        <v>4</v>
      </c>
      <c r="H793" s="307" t="s">
        <v>858</v>
      </c>
      <c r="I793" s="307" t="str">
        <f>("1206060076")</f>
        <v>1206060076</v>
      </c>
    </row>
    <row r="794" spans="1:9" ht="13.5">
      <c r="A794" s="419" t="str">
        <f t="shared" si="12"/>
        <v>日岡サッカースポーツ少年団_15</v>
      </c>
      <c r="B794" s="307" t="s">
        <v>36</v>
      </c>
      <c r="C794" s="307" t="str">
        <f>("15")</f>
        <v>15</v>
      </c>
      <c r="D794" s="307" t="s">
        <v>862</v>
      </c>
      <c r="E794" s="307" t="s">
        <v>2469</v>
      </c>
      <c r="F794" s="307" t="s">
        <v>2470</v>
      </c>
      <c r="G794" s="307">
        <v>4</v>
      </c>
      <c r="H794" s="307" t="s">
        <v>869</v>
      </c>
      <c r="I794" s="307" t="str">
        <f>("1210030057")</f>
        <v>1210030057</v>
      </c>
    </row>
    <row r="795" spans="1:9" ht="13.5">
      <c r="A795" s="419" t="str">
        <f t="shared" si="12"/>
        <v>日岡サッカースポーツ少年団_16</v>
      </c>
      <c r="B795" s="307" t="s">
        <v>36</v>
      </c>
      <c r="C795" s="307" t="str">
        <f>("16")</f>
        <v>16</v>
      </c>
      <c r="D795" s="307" t="s">
        <v>862</v>
      </c>
      <c r="E795" s="307" t="s">
        <v>2471</v>
      </c>
      <c r="F795" s="307" t="s">
        <v>2472</v>
      </c>
      <c r="G795" s="307">
        <v>4</v>
      </c>
      <c r="H795" s="307" t="s">
        <v>858</v>
      </c>
      <c r="I795" s="307" t="str">
        <f>("1210100138")</f>
        <v>1210100138</v>
      </c>
    </row>
    <row r="796" spans="1:9" ht="13.5">
      <c r="A796" s="419" t="str">
        <f t="shared" si="12"/>
        <v>日岡サッカースポーツ少年団_17</v>
      </c>
      <c r="B796" s="307" t="s">
        <v>36</v>
      </c>
      <c r="C796" s="307" t="str">
        <f>("17")</f>
        <v>17</v>
      </c>
      <c r="D796" s="307" t="s">
        <v>855</v>
      </c>
      <c r="E796" s="307" t="s">
        <v>2473</v>
      </c>
      <c r="F796" s="307" t="s">
        <v>2474</v>
      </c>
      <c r="G796" s="307">
        <v>4</v>
      </c>
      <c r="H796" s="307" t="s">
        <v>858</v>
      </c>
      <c r="I796" s="307" t="str">
        <f>("1302250036")</f>
        <v>1302250036</v>
      </c>
    </row>
    <row r="797" spans="1:9" ht="13.5">
      <c r="A797" s="419" t="str">
        <f t="shared" si="12"/>
        <v>城南サッカースポーツ少年団_1</v>
      </c>
      <c r="B797" s="307" t="s">
        <v>261</v>
      </c>
      <c r="C797" s="307" t="str">
        <f>("1")</f>
        <v>1</v>
      </c>
      <c r="D797" s="307" t="s">
        <v>855</v>
      </c>
      <c r="E797" s="307" t="s">
        <v>2475</v>
      </c>
      <c r="F797" s="307" t="s">
        <v>2476</v>
      </c>
      <c r="G797" s="307">
        <v>5</v>
      </c>
      <c r="H797" s="307" t="s">
        <v>858</v>
      </c>
      <c r="I797" s="307" t="str">
        <f>("1107160016")</f>
        <v>1107160016</v>
      </c>
    </row>
    <row r="798" spans="1:9" ht="13.5">
      <c r="A798" s="419" t="str">
        <f t="shared" si="12"/>
        <v>城南サッカースポーツ少年団_2</v>
      </c>
      <c r="B798" s="307" t="s">
        <v>261</v>
      </c>
      <c r="C798" s="307" t="str">
        <f>("2")</f>
        <v>2</v>
      </c>
      <c r="D798" s="307" t="s">
        <v>859</v>
      </c>
      <c r="E798" s="307" t="s">
        <v>2477</v>
      </c>
      <c r="F798" s="307" t="s">
        <v>2478</v>
      </c>
      <c r="G798" s="307">
        <v>5</v>
      </c>
      <c r="H798" s="307" t="s">
        <v>858</v>
      </c>
      <c r="I798" s="307" t="str">
        <f>("1111030036")</f>
        <v>1111030036</v>
      </c>
    </row>
    <row r="799" spans="1:9" ht="13.5">
      <c r="A799" s="419" t="str">
        <f t="shared" si="12"/>
        <v>城南サッカースポーツ少年団_3</v>
      </c>
      <c r="B799" s="307" t="s">
        <v>261</v>
      </c>
      <c r="C799" s="307" t="str">
        <f>("3")</f>
        <v>3</v>
      </c>
      <c r="D799" s="307" t="s">
        <v>859</v>
      </c>
      <c r="E799" s="307" t="s">
        <v>2479</v>
      </c>
      <c r="F799" s="307" t="s">
        <v>2480</v>
      </c>
      <c r="G799" s="307">
        <v>5</v>
      </c>
      <c r="H799" s="307" t="s">
        <v>858</v>
      </c>
      <c r="I799" s="307" t="str">
        <f>("1107050075")</f>
        <v>1107050075</v>
      </c>
    </row>
    <row r="800" spans="1:9" ht="13.5">
      <c r="A800" s="419" t="str">
        <f t="shared" si="12"/>
        <v>城南サッカースポーツ少年団_4</v>
      </c>
      <c r="B800" s="307" t="s">
        <v>261</v>
      </c>
      <c r="C800" s="307" t="str">
        <f>("4")</f>
        <v>4</v>
      </c>
      <c r="D800" s="307" t="s">
        <v>859</v>
      </c>
      <c r="E800" s="307" t="s">
        <v>2481</v>
      </c>
      <c r="F800" s="307" t="s">
        <v>2482</v>
      </c>
      <c r="G800" s="307">
        <v>5</v>
      </c>
      <c r="H800" s="307" t="s">
        <v>858</v>
      </c>
      <c r="I800" s="307" t="str">
        <f>("1107140152")</f>
        <v>1107140152</v>
      </c>
    </row>
    <row r="801" spans="1:9" ht="13.5">
      <c r="A801" s="419" t="str">
        <f t="shared" si="12"/>
        <v>城南サッカースポーツ少年団_5</v>
      </c>
      <c r="B801" s="307" t="s">
        <v>261</v>
      </c>
      <c r="C801" s="307" t="str">
        <f>("5")</f>
        <v>5</v>
      </c>
      <c r="D801" s="307" t="s">
        <v>859</v>
      </c>
      <c r="E801" s="307" t="s">
        <v>2483</v>
      </c>
      <c r="F801" s="307" t="s">
        <v>2484</v>
      </c>
      <c r="G801" s="307">
        <v>6</v>
      </c>
      <c r="H801" s="307" t="s">
        <v>858</v>
      </c>
      <c r="I801" s="307" t="str">
        <f>("1101070230")</f>
        <v>1101070230</v>
      </c>
    </row>
    <row r="802" spans="1:9" ht="13.5">
      <c r="A802" s="419" t="str">
        <f t="shared" si="12"/>
        <v>城南サッカースポーツ少年団_6</v>
      </c>
      <c r="B802" s="307" t="s">
        <v>261</v>
      </c>
      <c r="C802" s="307" t="str">
        <f>("6")</f>
        <v>6</v>
      </c>
      <c r="D802" s="307" t="s">
        <v>859</v>
      </c>
      <c r="E802" s="307" t="s">
        <v>2485</v>
      </c>
      <c r="F802" s="307" t="s">
        <v>2486</v>
      </c>
      <c r="G802" s="307">
        <v>5</v>
      </c>
      <c r="H802" s="307" t="s">
        <v>869</v>
      </c>
      <c r="I802" s="307" t="str">
        <f>("1203300118")</f>
        <v>1203300118</v>
      </c>
    </row>
    <row r="803" spans="1:9" ht="13.5">
      <c r="A803" s="419" t="str">
        <f t="shared" si="12"/>
        <v>城南サッカースポーツ少年団_7</v>
      </c>
      <c r="B803" s="307" t="s">
        <v>261</v>
      </c>
      <c r="C803" s="307" t="str">
        <f>("7")</f>
        <v>7</v>
      </c>
      <c r="D803" s="307" t="s">
        <v>884</v>
      </c>
      <c r="E803" s="307" t="s">
        <v>2487</v>
      </c>
      <c r="F803" s="307" t="s">
        <v>2488</v>
      </c>
      <c r="G803" s="307">
        <v>6</v>
      </c>
      <c r="H803" s="307" t="s">
        <v>858</v>
      </c>
      <c r="I803" s="307" t="str">
        <f>("1009160080")</f>
        <v>1009160080</v>
      </c>
    </row>
    <row r="804" spans="1:9" ht="13.5">
      <c r="A804" s="419" t="str">
        <f t="shared" si="12"/>
        <v>城南サッカースポーツ少年団_8</v>
      </c>
      <c r="B804" s="307" t="s">
        <v>261</v>
      </c>
      <c r="C804" s="307" t="str">
        <f>("8")</f>
        <v>8</v>
      </c>
      <c r="D804" s="307" t="s">
        <v>859</v>
      </c>
      <c r="E804" s="307" t="s">
        <v>2489</v>
      </c>
      <c r="F804" s="307" t="s">
        <v>2490</v>
      </c>
      <c r="G804" s="307">
        <v>5</v>
      </c>
      <c r="H804" s="307" t="s">
        <v>858</v>
      </c>
      <c r="I804" s="307" t="str">
        <f>("1104150037")</f>
        <v>1104150037</v>
      </c>
    </row>
    <row r="805" spans="1:9" ht="13.5">
      <c r="A805" s="419" t="str">
        <f t="shared" si="12"/>
        <v>城南サッカースポーツ少年団_9</v>
      </c>
      <c r="B805" s="307" t="s">
        <v>261</v>
      </c>
      <c r="C805" s="307" t="str">
        <f>("9")</f>
        <v>9</v>
      </c>
      <c r="D805" s="307" t="s">
        <v>884</v>
      </c>
      <c r="E805" s="307" t="s">
        <v>2491</v>
      </c>
      <c r="F805" s="307" t="s">
        <v>2492</v>
      </c>
      <c r="G805" s="307">
        <v>4</v>
      </c>
      <c r="H805" s="307" t="s">
        <v>858</v>
      </c>
      <c r="I805" s="307" t="str">
        <f>("1205300126")</f>
        <v>1205300126</v>
      </c>
    </row>
    <row r="806" spans="1:10" ht="13.5">
      <c r="A806" s="419" t="str">
        <f t="shared" si="12"/>
        <v>城南サッカースポーツ少年団_10</v>
      </c>
      <c r="B806" s="307" t="s">
        <v>261</v>
      </c>
      <c r="C806" s="307" t="str">
        <f>("10")</f>
        <v>10</v>
      </c>
      <c r="D806" s="307" t="s">
        <v>862</v>
      </c>
      <c r="E806" s="307" t="s">
        <v>2493</v>
      </c>
      <c r="F806" s="307" t="s">
        <v>2494</v>
      </c>
      <c r="G806" s="307">
        <v>6</v>
      </c>
      <c r="H806" s="307" t="s">
        <v>858</v>
      </c>
      <c r="I806" s="307" t="str">
        <f>("1103300034")</f>
        <v>1103300034</v>
      </c>
      <c r="J806" s="307" t="s">
        <v>15</v>
      </c>
    </row>
    <row r="807" spans="1:9" ht="13.5">
      <c r="A807" s="419" t="str">
        <f t="shared" si="12"/>
        <v>城南サッカースポーツ少年団_11</v>
      </c>
      <c r="B807" s="307" t="s">
        <v>261</v>
      </c>
      <c r="C807" s="307" t="str">
        <f>("11")</f>
        <v>11</v>
      </c>
      <c r="D807" s="307" t="s">
        <v>862</v>
      </c>
      <c r="E807" s="307" t="s">
        <v>2495</v>
      </c>
      <c r="F807" s="307" t="s">
        <v>2496</v>
      </c>
      <c r="G807" s="307">
        <v>5</v>
      </c>
      <c r="H807" s="307" t="s">
        <v>858</v>
      </c>
      <c r="I807" s="307" t="str">
        <f>("1201070008")</f>
        <v>1201070008</v>
      </c>
    </row>
    <row r="808" spans="1:9" ht="13.5">
      <c r="A808" s="419" t="str">
        <f t="shared" si="12"/>
        <v>城南サッカースポーツ少年団_12</v>
      </c>
      <c r="B808" s="307" t="s">
        <v>261</v>
      </c>
      <c r="C808" s="307" t="str">
        <f>("12")</f>
        <v>12</v>
      </c>
      <c r="D808" s="307" t="s">
        <v>862</v>
      </c>
      <c r="E808" s="307" t="s">
        <v>2497</v>
      </c>
      <c r="F808" s="307" t="s">
        <v>2498</v>
      </c>
      <c r="G808" s="307">
        <v>6</v>
      </c>
      <c r="H808" s="307" t="s">
        <v>858</v>
      </c>
      <c r="I808" s="307" t="str">
        <f>("1005150061")</f>
        <v>1005150061</v>
      </c>
    </row>
    <row r="809" spans="1:9" ht="13.5">
      <c r="A809" s="419" t="str">
        <f t="shared" si="12"/>
        <v>城南サッカースポーツ少年団_13</v>
      </c>
      <c r="B809" s="307" t="s">
        <v>261</v>
      </c>
      <c r="C809" s="307" t="str">
        <f>("13")</f>
        <v>13</v>
      </c>
      <c r="D809" s="307" t="s">
        <v>862</v>
      </c>
      <c r="E809" s="307" t="s">
        <v>2499</v>
      </c>
      <c r="F809" s="307" t="s">
        <v>2500</v>
      </c>
      <c r="G809" s="307">
        <v>4</v>
      </c>
      <c r="H809" s="307" t="s">
        <v>858</v>
      </c>
      <c r="I809" s="307" t="str">
        <f>("1207300097")</f>
        <v>1207300097</v>
      </c>
    </row>
    <row r="810" spans="1:9" ht="13.5">
      <c r="A810" s="419" t="str">
        <f t="shared" si="12"/>
        <v>城南サッカースポーツ少年団_14</v>
      </c>
      <c r="B810" s="307" t="s">
        <v>261</v>
      </c>
      <c r="C810" s="307" t="str">
        <f>("14")</f>
        <v>14</v>
      </c>
      <c r="D810" s="307" t="s">
        <v>859</v>
      </c>
      <c r="E810" s="307" t="s">
        <v>2501</v>
      </c>
      <c r="F810" s="307" t="s">
        <v>2502</v>
      </c>
      <c r="G810" s="307">
        <v>4</v>
      </c>
      <c r="H810" s="307" t="s">
        <v>858</v>
      </c>
      <c r="I810" s="307" t="str">
        <f>("1212040040")</f>
        <v>1212040040</v>
      </c>
    </row>
    <row r="811" spans="1:9" ht="13.5">
      <c r="A811" s="419" t="str">
        <f t="shared" si="12"/>
        <v>城南サッカースポーツ少年団_15</v>
      </c>
      <c r="B811" s="307" t="s">
        <v>261</v>
      </c>
      <c r="C811" s="307" t="str">
        <f>("15")</f>
        <v>15</v>
      </c>
      <c r="D811" s="307" t="s">
        <v>859</v>
      </c>
      <c r="E811" s="307" t="s">
        <v>2503</v>
      </c>
      <c r="F811" s="307" t="s">
        <v>2504</v>
      </c>
      <c r="G811" s="307">
        <v>4</v>
      </c>
      <c r="H811" s="307" t="s">
        <v>869</v>
      </c>
      <c r="I811" s="307" t="str">
        <f>("1211270041")</f>
        <v>1211270041</v>
      </c>
    </row>
    <row r="812" spans="1:9" ht="13.5">
      <c r="A812" s="419" t="str">
        <f t="shared" si="12"/>
        <v>城南サッカースポーツ少年団_16</v>
      </c>
      <c r="B812" s="307" t="s">
        <v>261</v>
      </c>
      <c r="C812" s="307" t="str">
        <f>("16")</f>
        <v>16</v>
      </c>
      <c r="D812" s="307" t="s">
        <v>862</v>
      </c>
      <c r="E812" s="307" t="s">
        <v>2505</v>
      </c>
      <c r="F812" s="307" t="s">
        <v>2506</v>
      </c>
      <c r="G812" s="307">
        <v>4</v>
      </c>
      <c r="H812" s="307" t="s">
        <v>858</v>
      </c>
      <c r="I812" s="307" t="str">
        <f>("1210190150")</f>
        <v>1210190150</v>
      </c>
    </row>
    <row r="813" spans="1:9" ht="13.5">
      <c r="A813" s="419" t="str">
        <f t="shared" si="12"/>
        <v>荏隈サッカースポーツ少年団_1</v>
      </c>
      <c r="B813" s="307" t="s">
        <v>227</v>
      </c>
      <c r="C813" s="307" t="str">
        <f>("1")</f>
        <v>1</v>
      </c>
      <c r="D813" s="307" t="s">
        <v>884</v>
      </c>
      <c r="E813" s="307" t="s">
        <v>2507</v>
      </c>
      <c r="F813" s="307" t="s">
        <v>2508</v>
      </c>
      <c r="G813" s="307">
        <v>6</v>
      </c>
      <c r="H813" s="307" t="s">
        <v>858</v>
      </c>
      <c r="I813" s="307" t="str">
        <f>("1008090024")</f>
        <v>1008090024</v>
      </c>
    </row>
    <row r="814" spans="1:9" ht="13.5">
      <c r="A814" s="419" t="str">
        <f t="shared" si="12"/>
        <v>荏隈サッカースポーツ少年団_6</v>
      </c>
      <c r="B814" s="307" t="s">
        <v>227</v>
      </c>
      <c r="C814" s="307" t="str">
        <f>("6")</f>
        <v>6</v>
      </c>
      <c r="D814" s="307" t="s">
        <v>862</v>
      </c>
      <c r="E814" s="307" t="s">
        <v>2509</v>
      </c>
      <c r="F814" s="307" t="s">
        <v>2510</v>
      </c>
      <c r="G814" s="307">
        <v>5</v>
      </c>
      <c r="H814" s="307" t="s">
        <v>869</v>
      </c>
      <c r="I814" s="307" t="str">
        <f>("1111040043")</f>
        <v>1111040043</v>
      </c>
    </row>
    <row r="815" spans="1:9" ht="13.5">
      <c r="A815" s="419" t="str">
        <f t="shared" si="12"/>
        <v>荏隈サッカースポーツ少年団_7</v>
      </c>
      <c r="B815" s="307" t="s">
        <v>227</v>
      </c>
      <c r="C815" s="307" t="str">
        <f>("7")</f>
        <v>7</v>
      </c>
      <c r="D815" s="307" t="s">
        <v>884</v>
      </c>
      <c r="E815" s="307" t="s">
        <v>2511</v>
      </c>
      <c r="F815" s="307" t="s">
        <v>2512</v>
      </c>
      <c r="G815" s="307">
        <v>4</v>
      </c>
      <c r="H815" s="307" t="s">
        <v>858</v>
      </c>
      <c r="I815" s="307" t="str">
        <f>("1205040026")</f>
        <v>1205040026</v>
      </c>
    </row>
    <row r="816" spans="1:9" ht="13.5">
      <c r="A816" s="419" t="str">
        <f t="shared" si="12"/>
        <v>荏隈サッカースポーツ少年団_8</v>
      </c>
      <c r="B816" s="307" t="s">
        <v>227</v>
      </c>
      <c r="C816" s="307" t="str">
        <f>("8")</f>
        <v>8</v>
      </c>
      <c r="D816" s="307" t="s">
        <v>859</v>
      </c>
      <c r="E816" s="307" t="s">
        <v>2513</v>
      </c>
      <c r="F816" s="307" t="s">
        <v>2514</v>
      </c>
      <c r="G816" s="307">
        <v>4</v>
      </c>
      <c r="H816" s="307" t="s">
        <v>858</v>
      </c>
      <c r="I816" s="307" t="str">
        <f>("1301250007")</f>
        <v>1301250007</v>
      </c>
    </row>
    <row r="817" spans="1:10" ht="13.5">
      <c r="A817" s="419" t="str">
        <f t="shared" si="12"/>
        <v>荏隈サッカースポーツ少年団_9</v>
      </c>
      <c r="B817" s="307" t="s">
        <v>227</v>
      </c>
      <c r="C817" s="307" t="str">
        <f>("9")</f>
        <v>9</v>
      </c>
      <c r="D817" s="307" t="s">
        <v>884</v>
      </c>
      <c r="E817" s="307" t="s">
        <v>2515</v>
      </c>
      <c r="F817" s="307" t="s">
        <v>2516</v>
      </c>
      <c r="G817" s="307">
        <v>6</v>
      </c>
      <c r="H817" s="307" t="s">
        <v>858</v>
      </c>
      <c r="I817" s="307" t="str">
        <f>("1007240021")</f>
        <v>1007240021</v>
      </c>
      <c r="J817" s="307" t="s">
        <v>15</v>
      </c>
    </row>
    <row r="818" spans="1:9" ht="13.5">
      <c r="A818" s="419" t="str">
        <f t="shared" si="12"/>
        <v>荏隈サッカースポーツ少年団_10</v>
      </c>
      <c r="B818" s="307" t="s">
        <v>227</v>
      </c>
      <c r="C818" s="307" t="str">
        <f>("10")</f>
        <v>10</v>
      </c>
      <c r="D818" s="307" t="s">
        <v>859</v>
      </c>
      <c r="E818" s="307" t="s">
        <v>2517</v>
      </c>
      <c r="F818" s="307" t="s">
        <v>2518</v>
      </c>
      <c r="G818" s="307">
        <v>6</v>
      </c>
      <c r="H818" s="307" t="s">
        <v>858</v>
      </c>
      <c r="I818" s="307" t="str">
        <f>("1010120043")</f>
        <v>1010120043</v>
      </c>
    </row>
    <row r="819" spans="1:9" ht="13.5">
      <c r="A819" s="419" t="str">
        <f t="shared" si="12"/>
        <v>荏隈サッカースポーツ少年団_11</v>
      </c>
      <c r="B819" s="307" t="s">
        <v>227</v>
      </c>
      <c r="C819" s="307" t="str">
        <f>("11")</f>
        <v>11</v>
      </c>
      <c r="D819" s="307" t="s">
        <v>862</v>
      </c>
      <c r="E819" s="307" t="s">
        <v>2519</v>
      </c>
      <c r="F819" s="307" t="s">
        <v>2520</v>
      </c>
      <c r="G819" s="307">
        <v>4</v>
      </c>
      <c r="H819" s="307" t="s">
        <v>858</v>
      </c>
      <c r="I819" s="307" t="str">
        <f>("1205090015")</f>
        <v>1205090015</v>
      </c>
    </row>
    <row r="820" spans="1:9" ht="13.5">
      <c r="A820" s="419" t="str">
        <f t="shared" si="12"/>
        <v>荏隈サッカースポーツ少年団_12</v>
      </c>
      <c r="B820" s="307" t="s">
        <v>227</v>
      </c>
      <c r="C820" s="307" t="str">
        <f>("12")</f>
        <v>12</v>
      </c>
      <c r="D820" s="307" t="s">
        <v>859</v>
      </c>
      <c r="E820" s="307" t="s">
        <v>2521</v>
      </c>
      <c r="F820" s="307" t="s">
        <v>2522</v>
      </c>
      <c r="G820" s="307">
        <v>3</v>
      </c>
      <c r="H820" s="307" t="s">
        <v>869</v>
      </c>
      <c r="I820" s="307" t="str">
        <f>("1310310076")</f>
        <v>1310310076</v>
      </c>
    </row>
    <row r="821" spans="1:9" ht="13.5">
      <c r="A821" s="419" t="str">
        <f t="shared" si="12"/>
        <v>荏隈サッカースポーツ少年団_13</v>
      </c>
      <c r="B821" s="307" t="s">
        <v>227</v>
      </c>
      <c r="C821" s="307" t="str">
        <f>("13")</f>
        <v>13</v>
      </c>
      <c r="D821" s="307" t="s">
        <v>884</v>
      </c>
      <c r="E821" s="307" t="s">
        <v>2523</v>
      </c>
      <c r="F821" s="307" t="s">
        <v>2524</v>
      </c>
      <c r="G821" s="307">
        <v>3</v>
      </c>
      <c r="H821" s="307" t="s">
        <v>858</v>
      </c>
      <c r="I821" s="307" t="str">
        <f>("1403180028")</f>
        <v>1403180028</v>
      </c>
    </row>
    <row r="822" spans="1:9" ht="13.5">
      <c r="A822" s="419" t="str">
        <f t="shared" si="12"/>
        <v>荏隈サッカースポーツ少年団_14</v>
      </c>
      <c r="B822" s="307" t="s">
        <v>227</v>
      </c>
      <c r="C822" s="307" t="str">
        <f>("14")</f>
        <v>14</v>
      </c>
      <c r="D822" s="307" t="s">
        <v>862</v>
      </c>
      <c r="E822" s="307" t="s">
        <v>2525</v>
      </c>
      <c r="F822" s="307" t="s">
        <v>2526</v>
      </c>
      <c r="G822" s="307">
        <v>3</v>
      </c>
      <c r="H822" s="307" t="s">
        <v>858</v>
      </c>
      <c r="I822" s="307" t="str">
        <f>("1309190041")</f>
        <v>1309190041</v>
      </c>
    </row>
    <row r="823" spans="1:9" ht="13.5">
      <c r="A823" s="419" t="str">
        <f t="shared" si="12"/>
        <v>荏隈サッカースポーツ少年団_15</v>
      </c>
      <c r="B823" s="307" t="s">
        <v>227</v>
      </c>
      <c r="C823" s="307" t="str">
        <f>("15")</f>
        <v>15</v>
      </c>
      <c r="D823" s="307" t="s">
        <v>884</v>
      </c>
      <c r="E823" s="307" t="s">
        <v>2527</v>
      </c>
      <c r="F823" s="307" t="s">
        <v>2528</v>
      </c>
      <c r="G823" s="307">
        <v>2</v>
      </c>
      <c r="H823" s="307" t="s">
        <v>858</v>
      </c>
      <c r="I823" s="307" t="str">
        <f>("1411200027")</f>
        <v>1411200027</v>
      </c>
    </row>
    <row r="824" spans="1:9" ht="13.5">
      <c r="A824" s="419" t="str">
        <f t="shared" si="12"/>
        <v>荏隈サッカースポーツ少年団_16</v>
      </c>
      <c r="B824" s="307" t="s">
        <v>227</v>
      </c>
      <c r="C824" s="307" t="str">
        <f>("16")</f>
        <v>16</v>
      </c>
      <c r="D824" s="307" t="s">
        <v>855</v>
      </c>
      <c r="E824" s="307" t="s">
        <v>2529</v>
      </c>
      <c r="F824" s="307" t="s">
        <v>2530</v>
      </c>
      <c r="G824" s="307">
        <v>1</v>
      </c>
      <c r="H824" s="307" t="s">
        <v>858</v>
      </c>
      <c r="I824" s="307" t="str">
        <f>("1603290003")</f>
        <v>1603290003</v>
      </c>
    </row>
    <row r="825" spans="1:9" ht="13.5">
      <c r="A825" s="419" t="str">
        <f t="shared" si="12"/>
        <v>荏隈サッカースポーツ少年団_17</v>
      </c>
      <c r="B825" s="307" t="s">
        <v>227</v>
      </c>
      <c r="C825" s="307" t="str">
        <f>("17")</f>
        <v>17</v>
      </c>
      <c r="D825" s="307" t="s">
        <v>884</v>
      </c>
      <c r="E825" s="307" t="s">
        <v>2531</v>
      </c>
      <c r="F825" s="307" t="s">
        <v>2532</v>
      </c>
      <c r="G825" s="307">
        <v>5</v>
      </c>
      <c r="H825" s="307" t="s">
        <v>858</v>
      </c>
      <c r="I825" s="307" t="str">
        <f>("1202180089")</f>
        <v>1202180089</v>
      </c>
    </row>
    <row r="826" spans="1:9" ht="13.5">
      <c r="A826" s="419" t="str">
        <f t="shared" si="12"/>
        <v>荏隈サッカースポーツ少年団_18</v>
      </c>
      <c r="B826" s="307" t="s">
        <v>227</v>
      </c>
      <c r="C826" s="307" t="str">
        <f>("18")</f>
        <v>18</v>
      </c>
      <c r="D826" s="307" t="s">
        <v>862</v>
      </c>
      <c r="E826" s="307" t="s">
        <v>2533</v>
      </c>
      <c r="F826" s="307" t="s">
        <v>2534</v>
      </c>
      <c r="G826" s="307">
        <v>4</v>
      </c>
      <c r="H826" s="307" t="s">
        <v>858</v>
      </c>
      <c r="I826" s="307" t="str">
        <f>("1212270013")</f>
        <v>1212270013</v>
      </c>
    </row>
    <row r="827" spans="1:10" ht="13.5">
      <c r="A827" s="419" t="str">
        <f t="shared" si="12"/>
        <v>稙田ＦＣサッカースポーツ少年団_1</v>
      </c>
      <c r="B827" s="307" t="s">
        <v>286</v>
      </c>
      <c r="C827" s="307" t="str">
        <f>("1")</f>
        <v>1</v>
      </c>
      <c r="D827" s="307" t="s">
        <v>855</v>
      </c>
      <c r="E827" s="307" t="s">
        <v>2535</v>
      </c>
      <c r="F827" s="307" t="s">
        <v>2536</v>
      </c>
      <c r="G827" s="307">
        <v>6</v>
      </c>
      <c r="H827" s="307" t="s">
        <v>858</v>
      </c>
      <c r="I827" s="307" t="str">
        <f>("1102270089")</f>
        <v>1102270089</v>
      </c>
      <c r="J827" s="307" t="s">
        <v>15</v>
      </c>
    </row>
    <row r="828" spans="1:9" ht="13.5">
      <c r="A828" s="419" t="str">
        <f t="shared" si="12"/>
        <v>稙田ＦＣサッカースポーツ少年団_2</v>
      </c>
      <c r="B828" s="307" t="s">
        <v>286</v>
      </c>
      <c r="C828" s="307" t="str">
        <f>("2")</f>
        <v>2</v>
      </c>
      <c r="D828" s="307" t="s">
        <v>859</v>
      </c>
      <c r="E828" s="307" t="s">
        <v>2537</v>
      </c>
      <c r="F828" s="307" t="s">
        <v>2538</v>
      </c>
      <c r="G828" s="307">
        <v>6</v>
      </c>
      <c r="H828" s="307" t="s">
        <v>858</v>
      </c>
      <c r="I828" s="307" t="str">
        <f>("1101170127")</f>
        <v>1101170127</v>
      </c>
    </row>
    <row r="829" spans="1:9" ht="13.5">
      <c r="A829" s="419" t="str">
        <f t="shared" si="12"/>
        <v>稙田ＦＣサッカースポーツ少年団_3</v>
      </c>
      <c r="B829" s="307" t="s">
        <v>286</v>
      </c>
      <c r="C829" s="307" t="str">
        <f>("3")</f>
        <v>3</v>
      </c>
      <c r="D829" s="307" t="s">
        <v>859</v>
      </c>
      <c r="E829" s="307" t="s">
        <v>2539</v>
      </c>
      <c r="F829" s="307" t="s">
        <v>2540</v>
      </c>
      <c r="G829" s="307">
        <v>6</v>
      </c>
      <c r="H829" s="307" t="s">
        <v>858</v>
      </c>
      <c r="I829" s="307" t="str">
        <f>("1011250151")</f>
        <v>1011250151</v>
      </c>
    </row>
    <row r="830" spans="1:9" ht="13.5">
      <c r="A830" s="419" t="str">
        <f t="shared" si="12"/>
        <v>稙田ＦＣサッカースポーツ少年団_4</v>
      </c>
      <c r="B830" s="307" t="s">
        <v>286</v>
      </c>
      <c r="C830" s="307" t="str">
        <f>("4")</f>
        <v>4</v>
      </c>
      <c r="D830" s="307" t="s">
        <v>884</v>
      </c>
      <c r="E830" s="307" t="s">
        <v>2541</v>
      </c>
      <c r="F830" s="307" t="s">
        <v>2542</v>
      </c>
      <c r="G830" s="307">
        <v>6</v>
      </c>
      <c r="H830" s="307" t="s">
        <v>858</v>
      </c>
      <c r="I830" s="307" t="str">
        <f>("1009020155")</f>
        <v>1009020155</v>
      </c>
    </row>
    <row r="831" spans="1:9" ht="13.5">
      <c r="A831" s="419" t="str">
        <f t="shared" si="12"/>
        <v>稙田ＦＣサッカースポーツ少年団_5</v>
      </c>
      <c r="B831" s="307" t="s">
        <v>286</v>
      </c>
      <c r="C831" s="307" t="str">
        <f>("5")</f>
        <v>5</v>
      </c>
      <c r="D831" s="307" t="s">
        <v>859</v>
      </c>
      <c r="E831" s="307" t="s">
        <v>2543</v>
      </c>
      <c r="F831" s="307" t="s">
        <v>2544</v>
      </c>
      <c r="G831" s="307">
        <v>6</v>
      </c>
      <c r="H831" s="307" t="s">
        <v>858</v>
      </c>
      <c r="I831" s="307" t="str">
        <f>("1008300116")</f>
        <v>1008300116</v>
      </c>
    </row>
    <row r="832" spans="1:9" ht="13.5">
      <c r="A832" s="419" t="str">
        <f t="shared" si="12"/>
        <v>稙田ＦＣサッカースポーツ少年団_6</v>
      </c>
      <c r="B832" s="307" t="s">
        <v>286</v>
      </c>
      <c r="C832" s="307" t="str">
        <f>("6")</f>
        <v>6</v>
      </c>
      <c r="D832" s="307" t="s">
        <v>862</v>
      </c>
      <c r="E832" s="307" t="s">
        <v>2545</v>
      </c>
      <c r="F832" s="307" t="s">
        <v>2546</v>
      </c>
      <c r="G832" s="307">
        <v>6</v>
      </c>
      <c r="H832" s="307" t="s">
        <v>858</v>
      </c>
      <c r="I832" s="307" t="str">
        <f>("1010060173")</f>
        <v>1010060173</v>
      </c>
    </row>
    <row r="833" spans="1:9" ht="13.5">
      <c r="A833" s="419" t="str">
        <f aca="true" t="shared" si="13" ref="A833:A896">CONCATENATE(B833,"_",C833)</f>
        <v>稙田ＦＣサッカースポーツ少年団_7</v>
      </c>
      <c r="B833" s="307" t="s">
        <v>286</v>
      </c>
      <c r="C833" s="307" t="str">
        <f>("7")</f>
        <v>7</v>
      </c>
      <c r="D833" s="307" t="s">
        <v>862</v>
      </c>
      <c r="E833" s="307" t="s">
        <v>2547</v>
      </c>
      <c r="F833" s="307" t="s">
        <v>2548</v>
      </c>
      <c r="G833" s="307">
        <v>6</v>
      </c>
      <c r="H833" s="307" t="s">
        <v>858</v>
      </c>
      <c r="I833" s="307" t="str">
        <f>("1103010097")</f>
        <v>1103010097</v>
      </c>
    </row>
    <row r="834" spans="1:9" ht="13.5">
      <c r="A834" s="419" t="str">
        <f t="shared" si="13"/>
        <v>稙田ＦＣサッカースポーツ少年団_8</v>
      </c>
      <c r="B834" s="307" t="s">
        <v>286</v>
      </c>
      <c r="C834" s="307" t="str">
        <f>("8")</f>
        <v>8</v>
      </c>
      <c r="D834" s="307" t="s">
        <v>862</v>
      </c>
      <c r="E834" s="307" t="s">
        <v>2549</v>
      </c>
      <c r="F834" s="307" t="s">
        <v>2550</v>
      </c>
      <c r="G834" s="307">
        <v>6</v>
      </c>
      <c r="H834" s="307" t="s">
        <v>858</v>
      </c>
      <c r="I834" s="307" t="str">
        <f>("1007210156")</f>
        <v>1007210156</v>
      </c>
    </row>
    <row r="835" spans="1:9" ht="13.5">
      <c r="A835" s="419" t="str">
        <f t="shared" si="13"/>
        <v>稙田ＦＣサッカースポーツ少年団_9</v>
      </c>
      <c r="B835" s="307" t="s">
        <v>286</v>
      </c>
      <c r="C835" s="307" t="str">
        <f>("9")</f>
        <v>9</v>
      </c>
      <c r="D835" s="307" t="s">
        <v>884</v>
      </c>
      <c r="E835" s="307" t="s">
        <v>2551</v>
      </c>
      <c r="F835" s="307" t="s">
        <v>2552</v>
      </c>
      <c r="G835" s="307">
        <v>6</v>
      </c>
      <c r="H835" s="307" t="s">
        <v>858</v>
      </c>
      <c r="I835" s="307" t="str">
        <f>("1006220182")</f>
        <v>1006220182</v>
      </c>
    </row>
    <row r="836" spans="1:9" ht="13.5">
      <c r="A836" s="419" t="str">
        <f t="shared" si="13"/>
        <v>稙田ＦＣサッカースポーツ少年団_10</v>
      </c>
      <c r="B836" s="307" t="s">
        <v>286</v>
      </c>
      <c r="C836" s="307" t="str">
        <f>("10")</f>
        <v>10</v>
      </c>
      <c r="D836" s="307" t="s">
        <v>862</v>
      </c>
      <c r="E836" s="307" t="s">
        <v>2553</v>
      </c>
      <c r="F836" s="307" t="s">
        <v>2554</v>
      </c>
      <c r="G836" s="307">
        <v>6</v>
      </c>
      <c r="H836" s="307" t="s">
        <v>858</v>
      </c>
      <c r="I836" s="307" t="str">
        <f>("1102190051")</f>
        <v>1102190051</v>
      </c>
    </row>
    <row r="837" spans="1:9" ht="13.5">
      <c r="A837" s="419" t="str">
        <f t="shared" si="13"/>
        <v>稙田ＦＣサッカースポーツ少年団_11</v>
      </c>
      <c r="B837" s="307" t="s">
        <v>286</v>
      </c>
      <c r="C837" s="307" t="str">
        <f>("11")</f>
        <v>11</v>
      </c>
      <c r="D837" s="307" t="s">
        <v>862</v>
      </c>
      <c r="E837" s="307" t="s">
        <v>2555</v>
      </c>
      <c r="F837" s="307" t="s">
        <v>2556</v>
      </c>
      <c r="G837" s="307">
        <v>6</v>
      </c>
      <c r="H837" s="307" t="s">
        <v>858</v>
      </c>
      <c r="I837" s="307" t="str">
        <f>("1101200118")</f>
        <v>1101200118</v>
      </c>
    </row>
    <row r="838" spans="1:9" ht="13.5">
      <c r="A838" s="419" t="str">
        <f t="shared" si="13"/>
        <v>稙田ＦＣサッカースポーツ少年団_12</v>
      </c>
      <c r="B838" s="307" t="s">
        <v>286</v>
      </c>
      <c r="C838" s="307" t="str">
        <f>("12")</f>
        <v>12</v>
      </c>
      <c r="D838" s="307" t="s">
        <v>862</v>
      </c>
      <c r="E838" s="307" t="s">
        <v>2557</v>
      </c>
      <c r="F838" s="307" t="s">
        <v>2558</v>
      </c>
      <c r="G838" s="307">
        <v>6</v>
      </c>
      <c r="H838" s="307" t="s">
        <v>858</v>
      </c>
      <c r="I838" s="307" t="str">
        <f>("1102010216")</f>
        <v>1102010216</v>
      </c>
    </row>
    <row r="839" spans="1:9" ht="13.5">
      <c r="A839" s="419" t="str">
        <f t="shared" si="13"/>
        <v>稙田ＦＣサッカースポーツ少年団_14</v>
      </c>
      <c r="B839" s="307" t="s">
        <v>286</v>
      </c>
      <c r="C839" s="307" t="str">
        <f>("14")</f>
        <v>14</v>
      </c>
      <c r="D839" s="307" t="s">
        <v>862</v>
      </c>
      <c r="E839" s="307" t="s">
        <v>2559</v>
      </c>
      <c r="F839" s="307" t="s">
        <v>2560</v>
      </c>
      <c r="G839" s="307">
        <v>5</v>
      </c>
      <c r="H839" s="307" t="s">
        <v>858</v>
      </c>
      <c r="I839" s="307" t="str">
        <f>("1112280128")</f>
        <v>1112280128</v>
      </c>
    </row>
    <row r="840" spans="1:9" ht="13.5">
      <c r="A840" s="419" t="str">
        <f t="shared" si="13"/>
        <v>稙田ＦＣサッカースポーツ少年団_15</v>
      </c>
      <c r="B840" s="307" t="s">
        <v>286</v>
      </c>
      <c r="C840" s="307" t="str">
        <f>("15")</f>
        <v>15</v>
      </c>
      <c r="D840" s="307" t="s">
        <v>862</v>
      </c>
      <c r="E840" s="307" t="s">
        <v>2561</v>
      </c>
      <c r="F840" s="307" t="s">
        <v>2562</v>
      </c>
      <c r="G840" s="307">
        <v>5</v>
      </c>
      <c r="H840" s="307" t="s">
        <v>858</v>
      </c>
      <c r="I840" s="307" t="str">
        <f>("1109100157")</f>
        <v>1109100157</v>
      </c>
    </row>
    <row r="841" spans="1:9" ht="13.5">
      <c r="A841" s="419" t="str">
        <f t="shared" si="13"/>
        <v>稙田ＦＣサッカースポーツ少年団_21</v>
      </c>
      <c r="B841" s="307" t="s">
        <v>286</v>
      </c>
      <c r="C841" s="307" t="str">
        <f>("21")</f>
        <v>21</v>
      </c>
      <c r="D841" s="307" t="s">
        <v>855</v>
      </c>
      <c r="E841" s="307" t="s">
        <v>2563</v>
      </c>
      <c r="F841" s="307" t="s">
        <v>2564</v>
      </c>
      <c r="G841" s="307">
        <v>5</v>
      </c>
      <c r="H841" s="307" t="s">
        <v>858</v>
      </c>
      <c r="I841" s="307" t="str">
        <f>("1109250055")</f>
        <v>1109250055</v>
      </c>
    </row>
    <row r="842" spans="1:9" ht="13.5">
      <c r="A842" s="419" t="str">
        <f t="shared" si="13"/>
        <v>北郡坂ノ市サッカースポーツ少年団_1</v>
      </c>
      <c r="B842" s="307" t="s">
        <v>19</v>
      </c>
      <c r="C842" s="307" t="str">
        <f>("1")</f>
        <v>1</v>
      </c>
      <c r="D842" s="307" t="s">
        <v>855</v>
      </c>
      <c r="E842" s="307" t="s">
        <v>2565</v>
      </c>
      <c r="F842" s="307" t="s">
        <v>2566</v>
      </c>
      <c r="G842" s="307">
        <v>6</v>
      </c>
      <c r="H842" s="307" t="s">
        <v>858</v>
      </c>
      <c r="I842" s="307" t="str">
        <f>("1008310104")</f>
        <v>1008310104</v>
      </c>
    </row>
    <row r="843" spans="1:9" ht="13.5">
      <c r="A843" s="419" t="str">
        <f t="shared" si="13"/>
        <v>北郡坂ノ市サッカースポーツ少年団_2</v>
      </c>
      <c r="B843" s="307" t="s">
        <v>19</v>
      </c>
      <c r="C843" s="307" t="str">
        <f>("2")</f>
        <v>2</v>
      </c>
      <c r="D843" s="307" t="s">
        <v>859</v>
      </c>
      <c r="E843" s="307" t="s">
        <v>2567</v>
      </c>
      <c r="F843" s="307" t="s">
        <v>2568</v>
      </c>
      <c r="G843" s="307">
        <v>6</v>
      </c>
      <c r="H843" s="307" t="s">
        <v>858</v>
      </c>
      <c r="I843" s="307" t="str">
        <f>("1006160160")</f>
        <v>1006160160</v>
      </c>
    </row>
    <row r="844" spans="1:9" ht="13.5">
      <c r="A844" s="419" t="str">
        <f t="shared" si="13"/>
        <v>北郡坂ノ市サッカースポーツ少年団_3</v>
      </c>
      <c r="B844" s="307" t="s">
        <v>19</v>
      </c>
      <c r="C844" s="307" t="str">
        <f>("3")</f>
        <v>3</v>
      </c>
      <c r="D844" s="307" t="s">
        <v>884</v>
      </c>
      <c r="E844" s="307" t="s">
        <v>2569</v>
      </c>
      <c r="F844" s="307" t="s">
        <v>2570</v>
      </c>
      <c r="G844" s="307">
        <v>5</v>
      </c>
      <c r="H844" s="307" t="s">
        <v>858</v>
      </c>
      <c r="I844" s="307" t="str">
        <f>("1203150120")</f>
        <v>1203150120</v>
      </c>
    </row>
    <row r="845" spans="1:9" ht="13.5">
      <c r="A845" s="419" t="str">
        <f t="shared" si="13"/>
        <v>北郡坂ノ市サッカースポーツ少年団_4</v>
      </c>
      <c r="B845" s="307" t="s">
        <v>19</v>
      </c>
      <c r="C845" s="307" t="str">
        <f>("4")</f>
        <v>4</v>
      </c>
      <c r="D845" s="307" t="s">
        <v>884</v>
      </c>
      <c r="E845" s="307" t="s">
        <v>2571</v>
      </c>
      <c r="F845" s="307" t="s">
        <v>2572</v>
      </c>
      <c r="G845" s="307">
        <v>5</v>
      </c>
      <c r="H845" s="307" t="s">
        <v>858</v>
      </c>
      <c r="I845" s="307" t="str">
        <f>("1110030134")</f>
        <v>1110030134</v>
      </c>
    </row>
    <row r="846" spans="1:9" ht="13.5">
      <c r="A846" s="419" t="str">
        <f t="shared" si="13"/>
        <v>北郡坂ノ市サッカースポーツ少年団_5</v>
      </c>
      <c r="B846" s="307" t="s">
        <v>19</v>
      </c>
      <c r="C846" s="307" t="str">
        <f>("5")</f>
        <v>5</v>
      </c>
      <c r="D846" s="307" t="s">
        <v>859</v>
      </c>
      <c r="E846" s="307" t="s">
        <v>2573</v>
      </c>
      <c r="F846" s="307" t="s">
        <v>2574</v>
      </c>
      <c r="G846" s="307">
        <v>5</v>
      </c>
      <c r="H846" s="307" t="s">
        <v>858</v>
      </c>
      <c r="I846" s="307" t="str">
        <f>("1110300081")</f>
        <v>1110300081</v>
      </c>
    </row>
    <row r="847" spans="1:9" ht="13.5">
      <c r="A847" s="419" t="str">
        <f t="shared" si="13"/>
        <v>北郡坂ノ市サッカースポーツ少年団_6</v>
      </c>
      <c r="B847" s="307" t="s">
        <v>19</v>
      </c>
      <c r="C847" s="307" t="str">
        <f>("6")</f>
        <v>6</v>
      </c>
      <c r="D847" s="307" t="s">
        <v>884</v>
      </c>
      <c r="E847" s="307" t="s">
        <v>2575</v>
      </c>
      <c r="F847" s="307" t="s">
        <v>2576</v>
      </c>
      <c r="G847" s="307">
        <v>6</v>
      </c>
      <c r="H847" s="307" t="s">
        <v>858</v>
      </c>
      <c r="I847" s="307" t="str">
        <f>("1102150171")</f>
        <v>1102150171</v>
      </c>
    </row>
    <row r="848" spans="1:10" ht="13.5">
      <c r="A848" s="419" t="str">
        <f t="shared" si="13"/>
        <v>北郡坂ノ市サッカースポーツ少年団_7</v>
      </c>
      <c r="B848" s="307" t="s">
        <v>19</v>
      </c>
      <c r="C848" s="307" t="str">
        <f>("7")</f>
        <v>7</v>
      </c>
      <c r="D848" s="307" t="s">
        <v>859</v>
      </c>
      <c r="E848" s="307" t="s">
        <v>2577</v>
      </c>
      <c r="F848" s="307" t="s">
        <v>2578</v>
      </c>
      <c r="G848" s="307">
        <v>6</v>
      </c>
      <c r="H848" s="307" t="s">
        <v>858</v>
      </c>
      <c r="I848" s="307" t="str">
        <f>("1005240130")</f>
        <v>1005240130</v>
      </c>
      <c r="J848" s="307" t="s">
        <v>15</v>
      </c>
    </row>
    <row r="849" spans="1:9" ht="13.5">
      <c r="A849" s="419" t="str">
        <f t="shared" si="13"/>
        <v>北郡坂ノ市サッカースポーツ少年団_9</v>
      </c>
      <c r="B849" s="307" t="s">
        <v>19</v>
      </c>
      <c r="C849" s="307" t="str">
        <f>("9")</f>
        <v>9</v>
      </c>
      <c r="D849" s="307" t="s">
        <v>862</v>
      </c>
      <c r="E849" s="307" t="s">
        <v>2579</v>
      </c>
      <c r="F849" s="307" t="s">
        <v>2580</v>
      </c>
      <c r="G849" s="307">
        <v>6</v>
      </c>
      <c r="H849" s="307" t="s">
        <v>858</v>
      </c>
      <c r="I849" s="307" t="str">
        <f>("1005120136")</f>
        <v>1005120136</v>
      </c>
    </row>
    <row r="850" spans="1:9" ht="13.5">
      <c r="A850" s="419" t="str">
        <f t="shared" si="13"/>
        <v>北郡坂ノ市サッカースポーツ少年団_10</v>
      </c>
      <c r="B850" s="307" t="s">
        <v>19</v>
      </c>
      <c r="C850" s="307" t="str">
        <f>("10")</f>
        <v>10</v>
      </c>
      <c r="D850" s="307" t="s">
        <v>884</v>
      </c>
      <c r="E850" s="307" t="s">
        <v>2581</v>
      </c>
      <c r="F850" s="307" t="s">
        <v>2582</v>
      </c>
      <c r="G850" s="307">
        <v>6</v>
      </c>
      <c r="H850" s="307" t="s">
        <v>858</v>
      </c>
      <c r="I850" s="307" t="str">
        <f>("1004180091")</f>
        <v>1004180091</v>
      </c>
    </row>
    <row r="851" spans="1:9" ht="13.5">
      <c r="A851" s="419" t="str">
        <f t="shared" si="13"/>
        <v>北郡坂ノ市サッカースポーツ少年団_11</v>
      </c>
      <c r="B851" s="307" t="s">
        <v>19</v>
      </c>
      <c r="C851" s="307" t="str">
        <f>("11")</f>
        <v>11</v>
      </c>
      <c r="D851" s="307" t="s">
        <v>884</v>
      </c>
      <c r="E851" s="307" t="s">
        <v>2583</v>
      </c>
      <c r="F851" s="307" t="s">
        <v>2584</v>
      </c>
      <c r="G851" s="307">
        <v>5</v>
      </c>
      <c r="H851" s="307" t="s">
        <v>858</v>
      </c>
      <c r="I851" s="307" t="str">
        <f>("1104150148")</f>
        <v>1104150148</v>
      </c>
    </row>
    <row r="852" spans="1:9" ht="13.5">
      <c r="A852" s="419" t="str">
        <f t="shared" si="13"/>
        <v>北郡坂ノ市サッカースポーツ少年団_12</v>
      </c>
      <c r="B852" s="307" t="s">
        <v>19</v>
      </c>
      <c r="C852" s="307" t="str">
        <f>("12")</f>
        <v>12</v>
      </c>
      <c r="D852" s="307" t="s">
        <v>859</v>
      </c>
      <c r="E852" s="307" t="s">
        <v>2585</v>
      </c>
      <c r="F852" s="307" t="s">
        <v>2586</v>
      </c>
      <c r="G852" s="307">
        <v>5</v>
      </c>
      <c r="H852" s="307" t="s">
        <v>858</v>
      </c>
      <c r="I852" s="307" t="str">
        <f>("1111260121")</f>
        <v>1111260121</v>
      </c>
    </row>
    <row r="853" spans="1:9" ht="13.5">
      <c r="A853" s="419" t="str">
        <f t="shared" si="13"/>
        <v>北郡坂ノ市サッカースポーツ少年団_13</v>
      </c>
      <c r="B853" s="307" t="s">
        <v>19</v>
      </c>
      <c r="C853" s="307" t="str">
        <f>("13")</f>
        <v>13</v>
      </c>
      <c r="D853" s="307" t="s">
        <v>859</v>
      </c>
      <c r="E853" s="307" t="s">
        <v>2587</v>
      </c>
      <c r="F853" s="307" t="s">
        <v>2588</v>
      </c>
      <c r="G853" s="307">
        <v>5</v>
      </c>
      <c r="H853" s="307" t="s">
        <v>858</v>
      </c>
      <c r="I853" s="307" t="str">
        <f>("1111260120")</f>
        <v>1111260120</v>
      </c>
    </row>
    <row r="854" spans="1:9" ht="13.5">
      <c r="A854" s="419" t="str">
        <f t="shared" si="13"/>
        <v>北郡坂ノ市サッカースポーツ少年団_15</v>
      </c>
      <c r="B854" s="307" t="s">
        <v>19</v>
      </c>
      <c r="C854" s="307" t="str">
        <f>("15")</f>
        <v>15</v>
      </c>
      <c r="D854" s="307" t="s">
        <v>884</v>
      </c>
      <c r="E854" s="307" t="s">
        <v>2589</v>
      </c>
      <c r="F854" s="307" t="s">
        <v>2590</v>
      </c>
      <c r="G854" s="307">
        <v>4</v>
      </c>
      <c r="H854" s="307" t="s">
        <v>858</v>
      </c>
      <c r="I854" s="307" t="str">
        <f>("1211100098")</f>
        <v>1211100098</v>
      </c>
    </row>
    <row r="855" spans="1:9" ht="13.5">
      <c r="A855" s="419" t="str">
        <f t="shared" si="13"/>
        <v>北郡坂ノ市サッカースポーツ少年団_16</v>
      </c>
      <c r="B855" s="307" t="s">
        <v>19</v>
      </c>
      <c r="C855" s="307" t="str">
        <f>("16")</f>
        <v>16</v>
      </c>
      <c r="D855" s="307" t="s">
        <v>884</v>
      </c>
      <c r="E855" s="307" t="s">
        <v>2591</v>
      </c>
      <c r="F855" s="307" t="s">
        <v>2592</v>
      </c>
      <c r="G855" s="307">
        <v>4</v>
      </c>
      <c r="H855" s="307" t="s">
        <v>858</v>
      </c>
      <c r="I855" s="307" t="str">
        <f>("1212020078")</f>
        <v>1212020078</v>
      </c>
    </row>
    <row r="856" spans="1:9" ht="13.5">
      <c r="A856" s="419" t="str">
        <f t="shared" si="13"/>
        <v>北郡坂ノ市サッカースポーツ少年団_19</v>
      </c>
      <c r="B856" s="307" t="s">
        <v>19</v>
      </c>
      <c r="C856" s="307" t="str">
        <f>("19")</f>
        <v>19</v>
      </c>
      <c r="D856" s="307" t="s">
        <v>855</v>
      </c>
      <c r="E856" s="307" t="s">
        <v>2593</v>
      </c>
      <c r="F856" s="307" t="s">
        <v>2594</v>
      </c>
      <c r="G856" s="307">
        <v>5</v>
      </c>
      <c r="H856" s="307" t="s">
        <v>858</v>
      </c>
      <c r="I856" s="307" t="str">
        <f>("1202280132")</f>
        <v>1202280132</v>
      </c>
    </row>
    <row r="857" spans="1:9" ht="13.5">
      <c r="A857" s="419" t="str">
        <f t="shared" si="13"/>
        <v>北郡坂ノ市サッカースポーツ少年団_20</v>
      </c>
      <c r="B857" s="307" t="s">
        <v>19</v>
      </c>
      <c r="C857" s="307" t="str">
        <f>("20")</f>
        <v>20</v>
      </c>
      <c r="D857" s="307" t="s">
        <v>862</v>
      </c>
      <c r="E857" s="307" t="s">
        <v>2595</v>
      </c>
      <c r="F857" s="307" t="s">
        <v>2596</v>
      </c>
      <c r="G857" s="307">
        <v>5</v>
      </c>
      <c r="H857" s="307" t="s">
        <v>858</v>
      </c>
      <c r="I857" s="307" t="str">
        <f>("1110120161")</f>
        <v>1110120161</v>
      </c>
    </row>
    <row r="858" spans="1:9" ht="13.5">
      <c r="A858" s="419" t="str">
        <f t="shared" si="13"/>
        <v>判田サッカースポーツ少年団_1</v>
      </c>
      <c r="B858" s="307" t="s">
        <v>270</v>
      </c>
      <c r="C858" s="307" t="str">
        <f>("1")</f>
        <v>1</v>
      </c>
      <c r="D858" s="307" t="s">
        <v>855</v>
      </c>
      <c r="E858" s="307" t="s">
        <v>2597</v>
      </c>
      <c r="F858" s="307" t="s">
        <v>2598</v>
      </c>
      <c r="G858" s="307">
        <v>6</v>
      </c>
      <c r="H858" s="307" t="s">
        <v>858</v>
      </c>
      <c r="I858" s="307" t="str">
        <f>("1009140012")</f>
        <v>1009140012</v>
      </c>
    </row>
    <row r="859" spans="1:9" ht="13.5">
      <c r="A859" s="419" t="str">
        <f t="shared" si="13"/>
        <v>判田サッカースポーツ少年団_2</v>
      </c>
      <c r="B859" s="307" t="s">
        <v>270</v>
      </c>
      <c r="C859" s="307" t="str">
        <f>("2")</f>
        <v>2</v>
      </c>
      <c r="D859" s="307" t="s">
        <v>859</v>
      </c>
      <c r="E859" s="307" t="s">
        <v>2599</v>
      </c>
      <c r="F859" s="307" t="s">
        <v>2600</v>
      </c>
      <c r="G859" s="307">
        <v>6</v>
      </c>
      <c r="H859" s="307" t="s">
        <v>858</v>
      </c>
      <c r="I859" s="307" t="str">
        <f>("1006060049")</f>
        <v>1006060049</v>
      </c>
    </row>
    <row r="860" spans="1:9" ht="13.5">
      <c r="A860" s="419" t="str">
        <f t="shared" si="13"/>
        <v>判田サッカースポーツ少年団_3</v>
      </c>
      <c r="B860" s="307" t="s">
        <v>270</v>
      </c>
      <c r="C860" s="307" t="str">
        <f>("3")</f>
        <v>3</v>
      </c>
      <c r="D860" s="307" t="s">
        <v>862</v>
      </c>
      <c r="E860" s="307" t="s">
        <v>2601</v>
      </c>
      <c r="F860" s="307" t="s">
        <v>2602</v>
      </c>
      <c r="G860" s="307">
        <v>5</v>
      </c>
      <c r="H860" s="307" t="s">
        <v>858</v>
      </c>
      <c r="I860" s="307" t="str">
        <f>("1109050173")</f>
        <v>1109050173</v>
      </c>
    </row>
    <row r="861" spans="1:9" ht="13.5">
      <c r="A861" s="419" t="str">
        <f t="shared" si="13"/>
        <v>判田サッカースポーツ少年団_4</v>
      </c>
      <c r="B861" s="307" t="s">
        <v>270</v>
      </c>
      <c r="C861" s="307" t="str">
        <f>("4")</f>
        <v>4</v>
      </c>
      <c r="D861" s="307" t="s">
        <v>859</v>
      </c>
      <c r="E861" s="307" t="s">
        <v>2603</v>
      </c>
      <c r="F861" s="307" t="s">
        <v>2604</v>
      </c>
      <c r="G861" s="307">
        <v>5</v>
      </c>
      <c r="H861" s="307" t="s">
        <v>869</v>
      </c>
      <c r="I861" s="307" t="str">
        <f>("1202180046")</f>
        <v>1202180046</v>
      </c>
    </row>
    <row r="862" spans="1:9" ht="13.5">
      <c r="A862" s="419" t="str">
        <f t="shared" si="13"/>
        <v>判田サッカースポーツ少年団_5</v>
      </c>
      <c r="B862" s="307" t="s">
        <v>270</v>
      </c>
      <c r="C862" s="307" t="str">
        <f>("5")</f>
        <v>5</v>
      </c>
      <c r="D862" s="307" t="s">
        <v>884</v>
      </c>
      <c r="E862" s="307" t="s">
        <v>2605</v>
      </c>
      <c r="F862" s="307" t="s">
        <v>2606</v>
      </c>
      <c r="G862" s="307">
        <v>6</v>
      </c>
      <c r="H862" s="307" t="s">
        <v>858</v>
      </c>
      <c r="I862" s="307" t="str">
        <f>("1101290136")</f>
        <v>1101290136</v>
      </c>
    </row>
    <row r="863" spans="1:9" ht="13.5">
      <c r="A863" s="419" t="str">
        <f t="shared" si="13"/>
        <v>判田サッカースポーツ少年団_6</v>
      </c>
      <c r="B863" s="307" t="s">
        <v>270</v>
      </c>
      <c r="C863" s="307" t="str">
        <f>("6")</f>
        <v>6</v>
      </c>
      <c r="D863" s="307" t="s">
        <v>884</v>
      </c>
      <c r="E863" s="307" t="s">
        <v>2607</v>
      </c>
      <c r="F863" s="307" t="s">
        <v>2608</v>
      </c>
      <c r="G863" s="307">
        <v>6</v>
      </c>
      <c r="H863" s="307" t="s">
        <v>858</v>
      </c>
      <c r="I863" s="307" t="str">
        <f>("1009290039")</f>
        <v>1009290039</v>
      </c>
    </row>
    <row r="864" spans="1:9" ht="13.5">
      <c r="A864" s="419" t="str">
        <f t="shared" si="13"/>
        <v>判田サッカースポーツ少年団_7</v>
      </c>
      <c r="B864" s="307" t="s">
        <v>270</v>
      </c>
      <c r="C864" s="307" t="str">
        <f>("7")</f>
        <v>7</v>
      </c>
      <c r="D864" s="307" t="s">
        <v>859</v>
      </c>
      <c r="E864" s="307" t="s">
        <v>2609</v>
      </c>
      <c r="F864" s="307" t="s">
        <v>2610</v>
      </c>
      <c r="G864" s="307">
        <v>6</v>
      </c>
      <c r="H864" s="307" t="s">
        <v>858</v>
      </c>
      <c r="I864" s="307" t="str">
        <f>("1006060064")</f>
        <v>1006060064</v>
      </c>
    </row>
    <row r="865" spans="1:9" ht="13.5">
      <c r="A865" s="419" t="str">
        <f t="shared" si="13"/>
        <v>判田サッカースポーツ少年団_8</v>
      </c>
      <c r="B865" s="307" t="s">
        <v>270</v>
      </c>
      <c r="C865" s="307" t="str">
        <f>("8")</f>
        <v>8</v>
      </c>
      <c r="D865" s="307" t="s">
        <v>884</v>
      </c>
      <c r="E865" s="307" t="s">
        <v>2611</v>
      </c>
      <c r="F865" s="307" t="s">
        <v>2612</v>
      </c>
      <c r="G865" s="307">
        <v>5</v>
      </c>
      <c r="H865" s="307" t="s">
        <v>858</v>
      </c>
      <c r="I865" s="307" t="str">
        <f>("1110070061")</f>
        <v>1110070061</v>
      </c>
    </row>
    <row r="866" spans="1:9" ht="13.5">
      <c r="A866" s="419" t="str">
        <f t="shared" si="13"/>
        <v>判田サッカースポーツ少年団_9</v>
      </c>
      <c r="B866" s="307" t="s">
        <v>270</v>
      </c>
      <c r="C866" s="307" t="str">
        <f>("9")</f>
        <v>9</v>
      </c>
      <c r="D866" s="307" t="s">
        <v>862</v>
      </c>
      <c r="E866" s="307" t="s">
        <v>2613</v>
      </c>
      <c r="F866" s="307" t="s">
        <v>2614</v>
      </c>
      <c r="G866" s="307">
        <v>6</v>
      </c>
      <c r="H866" s="307" t="s">
        <v>858</v>
      </c>
      <c r="I866" s="307" t="str">
        <f>("1009140062")</f>
        <v>1009140062</v>
      </c>
    </row>
    <row r="867" spans="1:10" ht="13.5">
      <c r="A867" s="419" t="str">
        <f t="shared" si="13"/>
        <v>判田サッカースポーツ少年団_10</v>
      </c>
      <c r="B867" s="307" t="s">
        <v>270</v>
      </c>
      <c r="C867" s="307" t="str">
        <f>("10")</f>
        <v>10</v>
      </c>
      <c r="D867" s="307" t="s">
        <v>862</v>
      </c>
      <c r="E867" s="307" t="s">
        <v>2615</v>
      </c>
      <c r="F867" s="307" t="s">
        <v>2616</v>
      </c>
      <c r="G867" s="307">
        <v>6</v>
      </c>
      <c r="H867" s="307" t="s">
        <v>858</v>
      </c>
      <c r="I867" s="307" t="str">
        <f>("1005150040")</f>
        <v>1005150040</v>
      </c>
      <c r="J867" s="307" t="s">
        <v>15</v>
      </c>
    </row>
    <row r="868" spans="1:9" ht="13.5">
      <c r="A868" s="419" t="str">
        <f t="shared" si="13"/>
        <v>判田サッカースポーツ少年団_11</v>
      </c>
      <c r="B868" s="307" t="s">
        <v>270</v>
      </c>
      <c r="C868" s="307" t="str">
        <f>("11")</f>
        <v>11</v>
      </c>
      <c r="D868" s="307" t="s">
        <v>859</v>
      </c>
      <c r="E868" s="307" t="s">
        <v>2617</v>
      </c>
      <c r="F868" s="307" t="s">
        <v>2618</v>
      </c>
      <c r="G868" s="307">
        <v>5</v>
      </c>
      <c r="H868" s="307" t="s">
        <v>858</v>
      </c>
      <c r="I868" s="307" t="str">
        <f>("1203290036")</f>
        <v>1203290036</v>
      </c>
    </row>
    <row r="869" spans="1:9" ht="13.5">
      <c r="A869" s="419" t="str">
        <f t="shared" si="13"/>
        <v>判田サッカースポーツ少年団_13</v>
      </c>
      <c r="B869" s="307" t="s">
        <v>270</v>
      </c>
      <c r="C869" s="307" t="str">
        <f>("13")</f>
        <v>13</v>
      </c>
      <c r="D869" s="307" t="s">
        <v>859</v>
      </c>
      <c r="E869" s="307" t="s">
        <v>2619</v>
      </c>
      <c r="F869" s="307" t="s">
        <v>2620</v>
      </c>
      <c r="G869" s="307">
        <v>5</v>
      </c>
      <c r="H869" s="307" t="s">
        <v>858</v>
      </c>
      <c r="I869" s="307" t="str">
        <f>("1112240121")</f>
        <v>1112240121</v>
      </c>
    </row>
    <row r="870" spans="1:9" ht="13.5">
      <c r="A870" s="419" t="str">
        <f t="shared" si="13"/>
        <v>判田サッカースポーツ少年団_14</v>
      </c>
      <c r="B870" s="307" t="s">
        <v>270</v>
      </c>
      <c r="C870" s="307" t="str">
        <f>("14")</f>
        <v>14</v>
      </c>
      <c r="D870" s="307" t="s">
        <v>862</v>
      </c>
      <c r="E870" s="307" t="s">
        <v>2621</v>
      </c>
      <c r="F870" s="307" t="s">
        <v>2622</v>
      </c>
      <c r="G870" s="307">
        <v>5</v>
      </c>
      <c r="H870" s="307" t="s">
        <v>858</v>
      </c>
      <c r="I870" s="307" t="str">
        <f>("1111270040")</f>
        <v>1111270040</v>
      </c>
    </row>
    <row r="871" spans="1:9" ht="13.5">
      <c r="A871" s="419" t="str">
        <f t="shared" si="13"/>
        <v>判田サッカースポーツ少年団_15</v>
      </c>
      <c r="B871" s="307" t="s">
        <v>270</v>
      </c>
      <c r="C871" s="307" t="str">
        <f>("15")</f>
        <v>15</v>
      </c>
      <c r="D871" s="307" t="s">
        <v>859</v>
      </c>
      <c r="E871" s="307" t="s">
        <v>1095</v>
      </c>
      <c r="F871" s="307" t="s">
        <v>2623</v>
      </c>
      <c r="G871" s="307">
        <v>6</v>
      </c>
      <c r="H871" s="307" t="s">
        <v>858</v>
      </c>
      <c r="I871" s="307" t="str">
        <f>("1007100251")</f>
        <v>1007100251</v>
      </c>
    </row>
    <row r="872" spans="1:9" ht="13.5">
      <c r="A872" s="419" t="str">
        <f t="shared" si="13"/>
        <v>判田サッカースポーツ少年団_16</v>
      </c>
      <c r="B872" s="307" t="s">
        <v>270</v>
      </c>
      <c r="C872" s="307" t="str">
        <f>("16")</f>
        <v>16</v>
      </c>
      <c r="D872" s="307" t="s">
        <v>884</v>
      </c>
      <c r="E872" s="307" t="s">
        <v>2624</v>
      </c>
      <c r="F872" s="307" t="s">
        <v>2625</v>
      </c>
      <c r="G872" s="307">
        <v>5</v>
      </c>
      <c r="H872" s="307" t="s">
        <v>858</v>
      </c>
      <c r="I872" s="307" t="str">
        <f>("1107120058")</f>
        <v>1107120058</v>
      </c>
    </row>
    <row r="873" spans="1:9" ht="13.5">
      <c r="A873" s="419" t="str">
        <f t="shared" si="13"/>
        <v>判田サッカースポーツ少年団_17</v>
      </c>
      <c r="B873" s="307" t="s">
        <v>270</v>
      </c>
      <c r="C873" s="307" t="str">
        <f>("17")</f>
        <v>17</v>
      </c>
      <c r="D873" s="307" t="s">
        <v>855</v>
      </c>
      <c r="E873" s="307" t="s">
        <v>2626</v>
      </c>
      <c r="F873" s="307" t="s">
        <v>2627</v>
      </c>
      <c r="G873" s="307">
        <v>4</v>
      </c>
      <c r="H873" s="307" t="s">
        <v>858</v>
      </c>
      <c r="I873" s="307" t="str">
        <f>("1211180033")</f>
        <v>1211180033</v>
      </c>
    </row>
    <row r="874" spans="1:9" ht="13.5">
      <c r="A874" s="419" t="str">
        <f t="shared" si="13"/>
        <v>賀来ジュニアサッカークラブ_1</v>
      </c>
      <c r="B874" s="307" t="s">
        <v>248</v>
      </c>
      <c r="C874" s="307" t="str">
        <f>("1")</f>
        <v>1</v>
      </c>
      <c r="D874" s="307" t="s">
        <v>855</v>
      </c>
      <c r="E874" s="307" t="s">
        <v>2628</v>
      </c>
      <c r="F874" s="307" t="s">
        <v>2629</v>
      </c>
      <c r="G874" s="307">
        <v>3</v>
      </c>
      <c r="H874" s="307" t="s">
        <v>858</v>
      </c>
      <c r="I874" s="307" t="str">
        <f>("1305090041")</f>
        <v>1305090041</v>
      </c>
    </row>
    <row r="875" spans="1:9" ht="13.5">
      <c r="A875" s="419" t="str">
        <f t="shared" si="13"/>
        <v>賀来ジュニアサッカークラブ_2</v>
      </c>
      <c r="B875" s="307" t="s">
        <v>248</v>
      </c>
      <c r="C875" s="307" t="str">
        <f>("2")</f>
        <v>2</v>
      </c>
      <c r="D875" s="307" t="s">
        <v>862</v>
      </c>
      <c r="E875" s="307" t="s">
        <v>2630</v>
      </c>
      <c r="F875" s="307" t="s">
        <v>2631</v>
      </c>
      <c r="G875" s="307">
        <v>4</v>
      </c>
      <c r="H875" s="307" t="s">
        <v>869</v>
      </c>
      <c r="I875" s="307" t="str">
        <f>("1207170125")</f>
        <v>1207170125</v>
      </c>
    </row>
    <row r="876" spans="1:9" ht="13.5">
      <c r="A876" s="419" t="str">
        <f t="shared" si="13"/>
        <v>賀来ジュニアサッカークラブ_3</v>
      </c>
      <c r="B876" s="307" t="s">
        <v>248</v>
      </c>
      <c r="C876" s="307" t="str">
        <f>("3")</f>
        <v>3</v>
      </c>
      <c r="D876" s="307" t="s">
        <v>862</v>
      </c>
      <c r="E876" s="307" t="s">
        <v>2632</v>
      </c>
      <c r="F876" s="307" t="s">
        <v>2633</v>
      </c>
      <c r="G876" s="307">
        <v>3</v>
      </c>
      <c r="H876" s="307" t="s">
        <v>858</v>
      </c>
      <c r="I876" s="307" t="str">
        <f>("1308220034")</f>
        <v>1308220034</v>
      </c>
    </row>
    <row r="877" spans="1:9" ht="13.5">
      <c r="A877" s="419" t="str">
        <f t="shared" si="13"/>
        <v>賀来ジュニアサッカークラブ_4</v>
      </c>
      <c r="B877" s="307" t="s">
        <v>248</v>
      </c>
      <c r="C877" s="307" t="str">
        <f>("4")</f>
        <v>4</v>
      </c>
      <c r="D877" s="307" t="s">
        <v>862</v>
      </c>
      <c r="E877" s="307" t="s">
        <v>2634</v>
      </c>
      <c r="F877" s="307" t="s">
        <v>2635</v>
      </c>
      <c r="G877" s="307">
        <v>3</v>
      </c>
      <c r="H877" s="307" t="s">
        <v>858</v>
      </c>
      <c r="I877" s="307" t="str">
        <f>("1403050029")</f>
        <v>1403050029</v>
      </c>
    </row>
    <row r="878" spans="1:9" ht="13.5">
      <c r="A878" s="419" t="str">
        <f t="shared" si="13"/>
        <v>賀来ジュニアサッカークラブ_5</v>
      </c>
      <c r="B878" s="307" t="s">
        <v>248</v>
      </c>
      <c r="C878" s="307" t="str">
        <f>("5")</f>
        <v>5</v>
      </c>
      <c r="D878" s="307" t="s">
        <v>862</v>
      </c>
      <c r="E878" s="307" t="s">
        <v>2636</v>
      </c>
      <c r="F878" s="307" t="s">
        <v>2637</v>
      </c>
      <c r="G878" s="307">
        <v>3</v>
      </c>
      <c r="H878" s="307" t="s">
        <v>858</v>
      </c>
      <c r="I878" s="307" t="str">
        <f>("1402070029")</f>
        <v>1402070029</v>
      </c>
    </row>
    <row r="879" spans="1:9" ht="13.5">
      <c r="A879" s="419" t="str">
        <f t="shared" si="13"/>
        <v>賀来ジュニアサッカークラブ_6</v>
      </c>
      <c r="B879" s="307" t="s">
        <v>248</v>
      </c>
      <c r="C879" s="307" t="str">
        <f>("6")</f>
        <v>6</v>
      </c>
      <c r="D879" s="307" t="s">
        <v>862</v>
      </c>
      <c r="E879" s="307" t="s">
        <v>2638</v>
      </c>
      <c r="F879" s="307" t="s">
        <v>2639</v>
      </c>
      <c r="G879" s="307">
        <v>3</v>
      </c>
      <c r="H879" s="307" t="s">
        <v>858</v>
      </c>
      <c r="I879" s="307" t="str">
        <f>("1309130054")</f>
        <v>1309130054</v>
      </c>
    </row>
    <row r="880" spans="1:9" ht="13.5">
      <c r="A880" s="419" t="str">
        <f t="shared" si="13"/>
        <v>賀来ジュニアサッカークラブ_7</v>
      </c>
      <c r="B880" s="307" t="s">
        <v>248</v>
      </c>
      <c r="C880" s="307" t="str">
        <f>("7")</f>
        <v>7</v>
      </c>
      <c r="D880" s="307" t="s">
        <v>859</v>
      </c>
      <c r="E880" s="307" t="s">
        <v>2640</v>
      </c>
      <c r="F880" s="307" t="s">
        <v>2641</v>
      </c>
      <c r="G880" s="307">
        <v>6</v>
      </c>
      <c r="H880" s="307" t="s">
        <v>858</v>
      </c>
      <c r="I880" s="307" t="str">
        <f>("1005130256")</f>
        <v>1005130256</v>
      </c>
    </row>
    <row r="881" spans="1:9" ht="13.5">
      <c r="A881" s="419" t="str">
        <f t="shared" si="13"/>
        <v>賀来ジュニアサッカークラブ_8</v>
      </c>
      <c r="B881" s="307" t="s">
        <v>248</v>
      </c>
      <c r="C881" s="307" t="str">
        <f>("8")</f>
        <v>8</v>
      </c>
      <c r="D881" s="307" t="s">
        <v>884</v>
      </c>
      <c r="E881" s="307" t="s">
        <v>2642</v>
      </c>
      <c r="F881" s="307" t="s">
        <v>2643</v>
      </c>
      <c r="G881" s="307">
        <v>6</v>
      </c>
      <c r="H881" s="307" t="s">
        <v>858</v>
      </c>
      <c r="I881" s="307" t="str">
        <f>("1010130252")</f>
        <v>1010130252</v>
      </c>
    </row>
    <row r="882" spans="1:9" ht="13.5">
      <c r="A882" s="419" t="str">
        <f t="shared" si="13"/>
        <v>賀来ジュニアサッカークラブ_9</v>
      </c>
      <c r="B882" s="307" t="s">
        <v>248</v>
      </c>
      <c r="C882" s="307" t="str">
        <f>("9")</f>
        <v>9</v>
      </c>
      <c r="D882" s="307" t="s">
        <v>859</v>
      </c>
      <c r="E882" s="307" t="s">
        <v>2644</v>
      </c>
      <c r="F882" s="307" t="s">
        <v>2645</v>
      </c>
      <c r="G882" s="307">
        <v>5</v>
      </c>
      <c r="H882" s="307" t="s">
        <v>858</v>
      </c>
      <c r="I882" s="307" t="str">
        <f>("1111050072")</f>
        <v>1111050072</v>
      </c>
    </row>
    <row r="883" spans="1:10" ht="13.5">
      <c r="A883" s="419" t="str">
        <f t="shared" si="13"/>
        <v>賀来ジュニアサッカークラブ_10</v>
      </c>
      <c r="B883" s="307" t="s">
        <v>248</v>
      </c>
      <c r="C883" s="307" t="str">
        <f>("10")</f>
        <v>10</v>
      </c>
      <c r="D883" s="307" t="s">
        <v>862</v>
      </c>
      <c r="E883" s="307" t="s">
        <v>2646</v>
      </c>
      <c r="F883" s="307" t="s">
        <v>2647</v>
      </c>
      <c r="G883" s="307">
        <v>6</v>
      </c>
      <c r="H883" s="307" t="s">
        <v>858</v>
      </c>
      <c r="I883" s="307" t="str">
        <f>("1011010105")</f>
        <v>1011010105</v>
      </c>
      <c r="J883" s="307" t="s">
        <v>15</v>
      </c>
    </row>
    <row r="884" spans="1:9" ht="13.5">
      <c r="A884" s="419" t="str">
        <f t="shared" si="13"/>
        <v>賀来ジュニアサッカークラブ_11</v>
      </c>
      <c r="B884" s="307" t="s">
        <v>248</v>
      </c>
      <c r="C884" s="307" t="str">
        <f>("11")</f>
        <v>11</v>
      </c>
      <c r="D884" s="307" t="s">
        <v>859</v>
      </c>
      <c r="E884" s="307" t="s">
        <v>2648</v>
      </c>
      <c r="F884" s="307" t="s">
        <v>2649</v>
      </c>
      <c r="G884" s="307">
        <v>6</v>
      </c>
      <c r="H884" s="307" t="s">
        <v>858</v>
      </c>
      <c r="I884" s="307" t="str">
        <f>("1007210101")</f>
        <v>1007210101</v>
      </c>
    </row>
    <row r="885" spans="1:9" ht="13.5">
      <c r="A885" s="419" t="str">
        <f t="shared" si="13"/>
        <v>賀来ジュニアサッカークラブ_12</v>
      </c>
      <c r="B885" s="307" t="s">
        <v>248</v>
      </c>
      <c r="C885" s="307" t="str">
        <f>("12")</f>
        <v>12</v>
      </c>
      <c r="D885" s="307" t="s">
        <v>862</v>
      </c>
      <c r="E885" s="307" t="s">
        <v>2650</v>
      </c>
      <c r="F885" s="307" t="s">
        <v>2651</v>
      </c>
      <c r="G885" s="307">
        <v>2</v>
      </c>
      <c r="H885" s="307" t="s">
        <v>858</v>
      </c>
      <c r="I885" s="307" t="str">
        <f>("1405070008")</f>
        <v>1405070008</v>
      </c>
    </row>
    <row r="886" spans="1:9" ht="13.5">
      <c r="A886" s="419" t="str">
        <f t="shared" si="13"/>
        <v>桃園サッカースポーツ少年団_1</v>
      </c>
      <c r="B886" s="307" t="s">
        <v>281</v>
      </c>
      <c r="C886" s="307" t="str">
        <f>("1")</f>
        <v>1</v>
      </c>
      <c r="D886" s="307" t="s">
        <v>855</v>
      </c>
      <c r="E886" s="307" t="s">
        <v>2652</v>
      </c>
      <c r="F886" s="307" t="s">
        <v>2653</v>
      </c>
      <c r="G886" s="307">
        <v>5</v>
      </c>
      <c r="H886" s="307" t="s">
        <v>858</v>
      </c>
      <c r="I886" s="307" t="str">
        <f>("1106300012")</f>
        <v>1106300012</v>
      </c>
    </row>
    <row r="887" spans="1:9" ht="13.5">
      <c r="A887" s="419" t="str">
        <f t="shared" si="13"/>
        <v>桃園サッカースポーツ少年団_2</v>
      </c>
      <c r="B887" s="307" t="s">
        <v>281</v>
      </c>
      <c r="C887" s="307" t="str">
        <f>("2")</f>
        <v>2</v>
      </c>
      <c r="D887" s="307" t="s">
        <v>859</v>
      </c>
      <c r="E887" s="307" t="s">
        <v>2654</v>
      </c>
      <c r="F887" s="307" t="s">
        <v>2655</v>
      </c>
      <c r="G887" s="307">
        <v>6</v>
      </c>
      <c r="H887" s="307" t="s">
        <v>858</v>
      </c>
      <c r="I887" s="307" t="str">
        <f>("1010310003")</f>
        <v>1010310003</v>
      </c>
    </row>
    <row r="888" spans="1:9" ht="13.5">
      <c r="A888" s="419" t="str">
        <f t="shared" si="13"/>
        <v>桃園サッカースポーツ少年団_3</v>
      </c>
      <c r="B888" s="307" t="s">
        <v>281</v>
      </c>
      <c r="C888" s="307" t="str">
        <f>("3")</f>
        <v>3</v>
      </c>
      <c r="D888" s="307" t="s">
        <v>862</v>
      </c>
      <c r="E888" s="307" t="s">
        <v>2656</v>
      </c>
      <c r="F888" s="307" t="s">
        <v>2657</v>
      </c>
      <c r="G888" s="307">
        <v>6</v>
      </c>
      <c r="H888" s="307" t="s">
        <v>858</v>
      </c>
      <c r="I888" s="307" t="str">
        <f>("1006140092")</f>
        <v>1006140092</v>
      </c>
    </row>
    <row r="889" spans="1:9" ht="13.5">
      <c r="A889" s="419" t="str">
        <f t="shared" si="13"/>
        <v>桃園サッカースポーツ少年団_4</v>
      </c>
      <c r="B889" s="307" t="s">
        <v>281</v>
      </c>
      <c r="C889" s="307" t="str">
        <f>("4")</f>
        <v>4</v>
      </c>
      <c r="D889" s="307" t="s">
        <v>862</v>
      </c>
      <c r="E889" s="307" t="s">
        <v>2658</v>
      </c>
      <c r="F889" s="307" t="s">
        <v>2659</v>
      </c>
      <c r="G889" s="307">
        <v>6</v>
      </c>
      <c r="H889" s="307" t="s">
        <v>858</v>
      </c>
      <c r="I889" s="307" t="str">
        <f>("1010040019")</f>
        <v>1010040019</v>
      </c>
    </row>
    <row r="890" spans="1:9" ht="13.5">
      <c r="A890" s="419" t="str">
        <f t="shared" si="13"/>
        <v>桃園サッカースポーツ少年団_5</v>
      </c>
      <c r="B890" s="307" t="s">
        <v>281</v>
      </c>
      <c r="C890" s="307" t="str">
        <f>("5")</f>
        <v>5</v>
      </c>
      <c r="D890" s="307" t="s">
        <v>862</v>
      </c>
      <c r="E890" s="307" t="s">
        <v>2660</v>
      </c>
      <c r="F890" s="307" t="s">
        <v>2661</v>
      </c>
      <c r="G890" s="307">
        <v>6</v>
      </c>
      <c r="H890" s="307" t="s">
        <v>858</v>
      </c>
      <c r="I890" s="307" t="str">
        <f>("1011200017")</f>
        <v>1011200017</v>
      </c>
    </row>
    <row r="891" spans="1:9" ht="13.5">
      <c r="A891" s="419" t="str">
        <f t="shared" si="13"/>
        <v>桃園サッカースポーツ少年団_6</v>
      </c>
      <c r="B891" s="307" t="s">
        <v>281</v>
      </c>
      <c r="C891" s="307" t="str">
        <f>("6")</f>
        <v>6</v>
      </c>
      <c r="D891" s="307" t="s">
        <v>862</v>
      </c>
      <c r="E891" s="307" t="s">
        <v>2662</v>
      </c>
      <c r="F891" s="307" t="s">
        <v>2663</v>
      </c>
      <c r="G891" s="307">
        <v>5</v>
      </c>
      <c r="H891" s="307" t="s">
        <v>858</v>
      </c>
      <c r="I891" s="307" t="str">
        <f>("1108150011")</f>
        <v>1108150011</v>
      </c>
    </row>
    <row r="892" spans="1:10" ht="13.5">
      <c r="A892" s="419" t="str">
        <f t="shared" si="13"/>
        <v>桃園サッカースポーツ少年団_7</v>
      </c>
      <c r="B892" s="307" t="s">
        <v>281</v>
      </c>
      <c r="C892" s="307" t="str">
        <f>("7")</f>
        <v>7</v>
      </c>
      <c r="D892" s="307" t="s">
        <v>862</v>
      </c>
      <c r="E892" s="307" t="s">
        <v>2664</v>
      </c>
      <c r="F892" s="307" t="s">
        <v>2665</v>
      </c>
      <c r="G892" s="307">
        <v>6</v>
      </c>
      <c r="H892" s="307" t="s">
        <v>858</v>
      </c>
      <c r="I892" s="307" t="str">
        <f>("1004110111")</f>
        <v>1004110111</v>
      </c>
      <c r="J892" s="307" t="s">
        <v>15</v>
      </c>
    </row>
    <row r="893" spans="1:9" ht="13.5">
      <c r="A893" s="419" t="str">
        <f t="shared" si="13"/>
        <v>桃園サッカースポーツ少年団_8</v>
      </c>
      <c r="B893" s="307" t="s">
        <v>281</v>
      </c>
      <c r="C893" s="307" t="str">
        <f>("8")</f>
        <v>8</v>
      </c>
      <c r="D893" s="307" t="s">
        <v>884</v>
      </c>
      <c r="E893" s="307" t="s">
        <v>2666</v>
      </c>
      <c r="F893" s="307" t="s">
        <v>2667</v>
      </c>
      <c r="G893" s="307">
        <v>5</v>
      </c>
      <c r="H893" s="307" t="s">
        <v>858</v>
      </c>
      <c r="I893" s="307" t="str">
        <f>("1104020011")</f>
        <v>1104020011</v>
      </c>
    </row>
    <row r="894" spans="1:9" ht="13.5">
      <c r="A894" s="419" t="str">
        <f t="shared" si="13"/>
        <v>桃園サッカースポーツ少年団_9</v>
      </c>
      <c r="B894" s="307" t="s">
        <v>281</v>
      </c>
      <c r="C894" s="307" t="str">
        <f>("9")</f>
        <v>9</v>
      </c>
      <c r="D894" s="307" t="s">
        <v>884</v>
      </c>
      <c r="E894" s="307" t="s">
        <v>2668</v>
      </c>
      <c r="F894" s="307" t="s">
        <v>2669</v>
      </c>
      <c r="G894" s="307">
        <v>6</v>
      </c>
      <c r="H894" s="307" t="s">
        <v>858</v>
      </c>
      <c r="I894" s="307" t="str">
        <f>("1006290024")</f>
        <v>1006290024</v>
      </c>
    </row>
    <row r="895" spans="1:9" ht="13.5">
      <c r="A895" s="419" t="str">
        <f t="shared" si="13"/>
        <v>桃園サッカースポーツ少年団_10</v>
      </c>
      <c r="B895" s="307" t="s">
        <v>281</v>
      </c>
      <c r="C895" s="307" t="str">
        <f>("10")</f>
        <v>10</v>
      </c>
      <c r="D895" s="307" t="s">
        <v>859</v>
      </c>
      <c r="E895" s="307" t="s">
        <v>2670</v>
      </c>
      <c r="F895" s="307" t="s">
        <v>2671</v>
      </c>
      <c r="G895" s="307">
        <v>6</v>
      </c>
      <c r="H895" s="307" t="s">
        <v>858</v>
      </c>
      <c r="I895" s="307" t="str">
        <f>("1008060046")</f>
        <v>1008060046</v>
      </c>
    </row>
    <row r="896" spans="1:9" ht="13.5">
      <c r="A896" s="419" t="str">
        <f t="shared" si="13"/>
        <v>桃園サッカースポーツ少年団_11</v>
      </c>
      <c r="B896" s="307" t="s">
        <v>281</v>
      </c>
      <c r="C896" s="307" t="str">
        <f>("11")</f>
        <v>11</v>
      </c>
      <c r="D896" s="307" t="s">
        <v>862</v>
      </c>
      <c r="E896" s="307" t="s">
        <v>2672</v>
      </c>
      <c r="F896" s="307" t="s">
        <v>2673</v>
      </c>
      <c r="G896" s="307">
        <v>5</v>
      </c>
      <c r="H896" s="307" t="s">
        <v>858</v>
      </c>
      <c r="I896" s="307" t="str">
        <f>("1106300011")</f>
        <v>1106300011</v>
      </c>
    </row>
    <row r="897" spans="1:9" ht="13.5">
      <c r="A897" s="419" t="str">
        <f aca="true" t="shared" si="14" ref="A897:A960">CONCATENATE(B897,"_",C897)</f>
        <v>桃園サッカースポーツ少年団_13</v>
      </c>
      <c r="B897" s="307" t="s">
        <v>281</v>
      </c>
      <c r="C897" s="307" t="str">
        <f>("13")</f>
        <v>13</v>
      </c>
      <c r="D897" s="307" t="s">
        <v>859</v>
      </c>
      <c r="E897" s="307" t="s">
        <v>2674</v>
      </c>
      <c r="F897" s="307" t="s">
        <v>2675</v>
      </c>
      <c r="G897" s="307">
        <v>5</v>
      </c>
      <c r="H897" s="307" t="s">
        <v>858</v>
      </c>
      <c r="I897" s="307" t="str">
        <f>("1107060171")</f>
        <v>1107060171</v>
      </c>
    </row>
    <row r="898" spans="1:9" ht="13.5">
      <c r="A898" s="419" t="str">
        <f t="shared" si="14"/>
        <v>桃園サッカースポーツ少年団_14</v>
      </c>
      <c r="B898" s="307" t="s">
        <v>281</v>
      </c>
      <c r="C898" s="307" t="str">
        <f>("14")</f>
        <v>14</v>
      </c>
      <c r="D898" s="307" t="s">
        <v>862</v>
      </c>
      <c r="E898" s="307" t="s">
        <v>2676</v>
      </c>
      <c r="F898" s="307" t="s">
        <v>2677</v>
      </c>
      <c r="G898" s="307">
        <v>5</v>
      </c>
      <c r="H898" s="307" t="s">
        <v>869</v>
      </c>
      <c r="I898" s="307" t="str">
        <f>("1106250011")</f>
        <v>1106250011</v>
      </c>
    </row>
    <row r="899" spans="1:9" ht="13.5">
      <c r="A899" s="419" t="str">
        <f t="shared" si="14"/>
        <v>桃園サッカースポーツ少年団_15</v>
      </c>
      <c r="B899" s="307" t="s">
        <v>281</v>
      </c>
      <c r="C899" s="307" t="str">
        <f>("15")</f>
        <v>15</v>
      </c>
      <c r="D899" s="307" t="s">
        <v>859</v>
      </c>
      <c r="E899" s="307" t="s">
        <v>2678</v>
      </c>
      <c r="F899" s="307" t="s">
        <v>2679</v>
      </c>
      <c r="G899" s="307">
        <v>5</v>
      </c>
      <c r="H899" s="307" t="s">
        <v>858</v>
      </c>
      <c r="I899" s="307" t="str">
        <f>("1109050012")</f>
        <v>1109050012</v>
      </c>
    </row>
    <row r="900" spans="1:9" ht="13.5">
      <c r="A900" s="419" t="str">
        <f t="shared" si="14"/>
        <v>日出サッカースポーツ少年団_2</v>
      </c>
      <c r="B900" s="307" t="s">
        <v>2680</v>
      </c>
      <c r="C900" s="307" t="str">
        <f>("2")</f>
        <v>2</v>
      </c>
      <c r="D900" s="307" t="s">
        <v>862</v>
      </c>
      <c r="E900" s="307" t="s">
        <v>2681</v>
      </c>
      <c r="F900" s="307" t="s">
        <v>2682</v>
      </c>
      <c r="G900" s="307">
        <v>4</v>
      </c>
      <c r="H900" s="307" t="s">
        <v>858</v>
      </c>
      <c r="I900" s="307" t="str">
        <f>("1211020039")</f>
        <v>1211020039</v>
      </c>
    </row>
    <row r="901" spans="1:9" ht="13.5">
      <c r="A901" s="419" t="str">
        <f t="shared" si="14"/>
        <v>日出サッカースポーツ少年団_3</v>
      </c>
      <c r="B901" s="307" t="s">
        <v>2680</v>
      </c>
      <c r="C901" s="307" t="str">
        <f>("3")</f>
        <v>3</v>
      </c>
      <c r="D901" s="307" t="s">
        <v>859</v>
      </c>
      <c r="E901" s="307" t="s">
        <v>2683</v>
      </c>
      <c r="F901" s="307" t="s">
        <v>2684</v>
      </c>
      <c r="G901" s="307">
        <v>4</v>
      </c>
      <c r="H901" s="307" t="s">
        <v>858</v>
      </c>
      <c r="I901" s="307" t="str">
        <f>("1206190129")</f>
        <v>1206190129</v>
      </c>
    </row>
    <row r="902" spans="1:9" ht="13.5">
      <c r="A902" s="419" t="str">
        <f t="shared" si="14"/>
        <v>日出サッカースポーツ少年団_4</v>
      </c>
      <c r="B902" s="307" t="s">
        <v>2680</v>
      </c>
      <c r="C902" s="307" t="str">
        <f>("4")</f>
        <v>4</v>
      </c>
      <c r="D902" s="307" t="s">
        <v>862</v>
      </c>
      <c r="E902" s="307" t="s">
        <v>2685</v>
      </c>
      <c r="F902" s="307" t="s">
        <v>2686</v>
      </c>
      <c r="G902" s="307">
        <v>6</v>
      </c>
      <c r="H902" s="307" t="s">
        <v>858</v>
      </c>
      <c r="I902" s="307" t="str">
        <f>("1004020266")</f>
        <v>1004020266</v>
      </c>
    </row>
    <row r="903" spans="1:9" ht="13.5">
      <c r="A903" s="419" t="str">
        <f t="shared" si="14"/>
        <v>日出サッカースポーツ少年団_5</v>
      </c>
      <c r="B903" s="307" t="s">
        <v>2680</v>
      </c>
      <c r="C903" s="307" t="str">
        <f>("5")</f>
        <v>5</v>
      </c>
      <c r="D903" s="307" t="s">
        <v>859</v>
      </c>
      <c r="E903" s="307" t="s">
        <v>2687</v>
      </c>
      <c r="F903" s="307" t="s">
        <v>2688</v>
      </c>
      <c r="G903" s="307">
        <v>3</v>
      </c>
      <c r="H903" s="307" t="s">
        <v>858</v>
      </c>
      <c r="I903" s="307" t="str">
        <f>("1310310007")</f>
        <v>1310310007</v>
      </c>
    </row>
    <row r="904" spans="1:9" ht="13.5">
      <c r="A904" s="419" t="str">
        <f t="shared" si="14"/>
        <v>日出サッカースポーツ少年団_6</v>
      </c>
      <c r="B904" s="307" t="s">
        <v>2680</v>
      </c>
      <c r="C904" s="307" t="str">
        <f>("6")</f>
        <v>6</v>
      </c>
      <c r="D904" s="307" t="s">
        <v>859</v>
      </c>
      <c r="E904" s="307" t="s">
        <v>2689</v>
      </c>
      <c r="F904" s="307" t="s">
        <v>2690</v>
      </c>
      <c r="G904" s="307">
        <v>5</v>
      </c>
      <c r="H904" s="307" t="s">
        <v>858</v>
      </c>
      <c r="I904" s="307" t="str">
        <f>("1105200032")</f>
        <v>1105200032</v>
      </c>
    </row>
    <row r="905" spans="1:9" ht="13.5">
      <c r="A905" s="419" t="str">
        <f t="shared" si="14"/>
        <v>日出サッカースポーツ少年団_7</v>
      </c>
      <c r="B905" s="307" t="s">
        <v>2680</v>
      </c>
      <c r="C905" s="307" t="str">
        <f>("7")</f>
        <v>7</v>
      </c>
      <c r="D905" s="307" t="s">
        <v>862</v>
      </c>
      <c r="E905" s="307" t="s">
        <v>2691</v>
      </c>
      <c r="F905" s="307" t="s">
        <v>2692</v>
      </c>
      <c r="G905" s="307">
        <v>4</v>
      </c>
      <c r="H905" s="307" t="s">
        <v>869</v>
      </c>
      <c r="I905" s="307" t="str">
        <f>("1209200011")</f>
        <v>1209200011</v>
      </c>
    </row>
    <row r="906" spans="1:9" ht="13.5">
      <c r="A906" s="419" t="str">
        <f t="shared" si="14"/>
        <v>日出サッカースポーツ少年団_8</v>
      </c>
      <c r="B906" s="307" t="s">
        <v>2680</v>
      </c>
      <c r="C906" s="307" t="str">
        <f>("8")</f>
        <v>8</v>
      </c>
      <c r="D906" s="307" t="s">
        <v>862</v>
      </c>
      <c r="E906" s="307" t="s">
        <v>2693</v>
      </c>
      <c r="F906" s="307" t="s">
        <v>2694</v>
      </c>
      <c r="G906" s="307">
        <v>4</v>
      </c>
      <c r="H906" s="307" t="s">
        <v>858</v>
      </c>
      <c r="I906" s="307" t="str">
        <f>("1404070003")</f>
        <v>1404070003</v>
      </c>
    </row>
    <row r="907" spans="1:10" ht="13.5">
      <c r="A907" s="419" t="str">
        <f t="shared" si="14"/>
        <v>日出サッカースポーツ少年団_9</v>
      </c>
      <c r="B907" s="307" t="s">
        <v>2680</v>
      </c>
      <c r="C907" s="307" t="str">
        <f>("9")</f>
        <v>9</v>
      </c>
      <c r="D907" s="307" t="s">
        <v>859</v>
      </c>
      <c r="E907" s="307" t="s">
        <v>2695</v>
      </c>
      <c r="F907" s="307" t="s">
        <v>2696</v>
      </c>
      <c r="G907" s="307">
        <v>6</v>
      </c>
      <c r="H907" s="307" t="s">
        <v>858</v>
      </c>
      <c r="I907" s="307" t="str">
        <f>("1007020189")</f>
        <v>1007020189</v>
      </c>
      <c r="J907" s="307" t="s">
        <v>15</v>
      </c>
    </row>
    <row r="908" spans="1:9" ht="13.5">
      <c r="A908" s="419" t="str">
        <f t="shared" si="14"/>
        <v>日出サッカースポーツ少年団_10</v>
      </c>
      <c r="B908" s="307" t="s">
        <v>2680</v>
      </c>
      <c r="C908" s="307" t="str">
        <f>("10")</f>
        <v>10</v>
      </c>
      <c r="D908" s="307" t="s">
        <v>884</v>
      </c>
      <c r="E908" s="307" t="s">
        <v>2697</v>
      </c>
      <c r="F908" s="307" t="s">
        <v>2698</v>
      </c>
      <c r="G908" s="307">
        <v>6</v>
      </c>
      <c r="H908" s="307" t="s">
        <v>858</v>
      </c>
      <c r="I908" s="307" t="str">
        <f>("1102230005")</f>
        <v>1102230005</v>
      </c>
    </row>
    <row r="909" spans="1:9" ht="13.5">
      <c r="A909" s="419" t="str">
        <f t="shared" si="14"/>
        <v>日出サッカースポーツ少年団_11</v>
      </c>
      <c r="B909" s="307" t="s">
        <v>2680</v>
      </c>
      <c r="C909" s="307" t="str">
        <f>("11")</f>
        <v>11</v>
      </c>
      <c r="D909" s="307" t="s">
        <v>862</v>
      </c>
      <c r="E909" s="307" t="s">
        <v>2699</v>
      </c>
      <c r="F909" s="307" t="s">
        <v>2700</v>
      </c>
      <c r="G909" s="307">
        <v>6</v>
      </c>
      <c r="H909" s="307" t="s">
        <v>858</v>
      </c>
      <c r="I909" s="307" t="str">
        <f>("1007080257")</f>
        <v>1007080257</v>
      </c>
    </row>
    <row r="910" spans="1:9" ht="13.5">
      <c r="A910" s="419" t="str">
        <f t="shared" si="14"/>
        <v>日出サッカースポーツ少年団_12</v>
      </c>
      <c r="B910" s="307" t="s">
        <v>2680</v>
      </c>
      <c r="C910" s="307" t="str">
        <f>("12")</f>
        <v>12</v>
      </c>
      <c r="D910" s="307" t="s">
        <v>862</v>
      </c>
      <c r="E910" s="307" t="s">
        <v>2701</v>
      </c>
      <c r="F910" s="307" t="s">
        <v>2702</v>
      </c>
      <c r="G910" s="307">
        <v>4</v>
      </c>
      <c r="H910" s="307" t="s">
        <v>869</v>
      </c>
      <c r="I910" s="307" t="str">
        <f>("1211270120")</f>
        <v>1211270120</v>
      </c>
    </row>
    <row r="911" spans="1:9" ht="13.5">
      <c r="A911" s="419" t="str">
        <f t="shared" si="14"/>
        <v>日出サッカースポーツ少年団_14</v>
      </c>
      <c r="B911" s="307" t="s">
        <v>2680</v>
      </c>
      <c r="C911" s="307" t="str">
        <f>("14")</f>
        <v>14</v>
      </c>
      <c r="D911" s="307" t="s">
        <v>859</v>
      </c>
      <c r="E911" s="307" t="s">
        <v>2703</v>
      </c>
      <c r="F911" s="307" t="s">
        <v>2704</v>
      </c>
      <c r="G911" s="307">
        <v>6</v>
      </c>
      <c r="H911" s="307" t="s">
        <v>858</v>
      </c>
      <c r="I911" s="307" t="str">
        <f>("1004180186")</f>
        <v>1004180186</v>
      </c>
    </row>
    <row r="912" spans="1:9" ht="13.5">
      <c r="A912" s="419" t="str">
        <f t="shared" si="14"/>
        <v>日出サッカースポーツ少年団_15</v>
      </c>
      <c r="B912" s="307" t="s">
        <v>2680</v>
      </c>
      <c r="C912" s="307" t="str">
        <f>("15")</f>
        <v>15</v>
      </c>
      <c r="D912" s="307" t="s">
        <v>859</v>
      </c>
      <c r="E912" s="307" t="s">
        <v>2705</v>
      </c>
      <c r="F912" s="307" t="s">
        <v>2706</v>
      </c>
      <c r="G912" s="307">
        <v>5</v>
      </c>
      <c r="H912" s="307" t="s">
        <v>858</v>
      </c>
      <c r="I912" s="307" t="str">
        <f>("1201180215")</f>
        <v>1201180215</v>
      </c>
    </row>
    <row r="913" spans="1:9" ht="13.5">
      <c r="A913" s="419" t="str">
        <f t="shared" si="14"/>
        <v>日出サッカースポーツ少年団_16</v>
      </c>
      <c r="B913" s="307" t="s">
        <v>2680</v>
      </c>
      <c r="C913" s="307" t="str">
        <f>("16")</f>
        <v>16</v>
      </c>
      <c r="D913" s="307" t="s">
        <v>855</v>
      </c>
      <c r="E913" s="307" t="s">
        <v>2707</v>
      </c>
      <c r="F913" s="307" t="s">
        <v>2708</v>
      </c>
      <c r="G913" s="307">
        <v>5</v>
      </c>
      <c r="H913" s="307" t="s">
        <v>858</v>
      </c>
      <c r="I913" s="307" t="str">
        <f>("1107230094")</f>
        <v>1107230094</v>
      </c>
    </row>
    <row r="914" spans="1:9" ht="13.5">
      <c r="A914" s="419" t="str">
        <f t="shared" si="14"/>
        <v>渡町台サッカークラブ_1</v>
      </c>
      <c r="B914" s="307" t="s">
        <v>2709</v>
      </c>
      <c r="C914" s="307" t="str">
        <f>("1")</f>
        <v>1</v>
      </c>
      <c r="D914" s="307" t="s">
        <v>855</v>
      </c>
      <c r="E914" s="307" t="s">
        <v>2710</v>
      </c>
      <c r="F914" s="307" t="s">
        <v>2711</v>
      </c>
      <c r="G914" s="307">
        <v>5</v>
      </c>
      <c r="H914" s="307" t="s">
        <v>858</v>
      </c>
      <c r="I914" s="307" t="str">
        <f>("1112130052")</f>
        <v>1112130052</v>
      </c>
    </row>
    <row r="915" spans="1:9" ht="13.5">
      <c r="A915" s="419" t="str">
        <f t="shared" si="14"/>
        <v>渡町台サッカークラブ_2</v>
      </c>
      <c r="B915" s="307" t="s">
        <v>2709</v>
      </c>
      <c r="C915" s="307" t="str">
        <f>("2")</f>
        <v>2</v>
      </c>
      <c r="D915" s="307" t="s">
        <v>859</v>
      </c>
      <c r="E915" s="307" t="s">
        <v>2712</v>
      </c>
      <c r="F915" s="307" t="s">
        <v>2713</v>
      </c>
      <c r="G915" s="307">
        <v>5</v>
      </c>
      <c r="H915" s="307" t="s">
        <v>858</v>
      </c>
      <c r="I915" s="307" t="str">
        <f>("1104280063")</f>
        <v>1104280063</v>
      </c>
    </row>
    <row r="916" spans="1:9" ht="13.5">
      <c r="A916" s="419" t="str">
        <f t="shared" si="14"/>
        <v>渡町台サッカークラブ_3</v>
      </c>
      <c r="B916" s="307" t="s">
        <v>2709</v>
      </c>
      <c r="C916" s="307" t="str">
        <f>("3")</f>
        <v>3</v>
      </c>
      <c r="D916" s="307" t="s">
        <v>862</v>
      </c>
      <c r="E916" s="307" t="s">
        <v>2714</v>
      </c>
      <c r="F916" s="307" t="s">
        <v>2715</v>
      </c>
      <c r="G916" s="307">
        <v>6</v>
      </c>
      <c r="H916" s="307" t="s">
        <v>858</v>
      </c>
      <c r="I916" s="307" t="str">
        <f>("1005180014")</f>
        <v>1005180014</v>
      </c>
    </row>
    <row r="917" spans="1:9" ht="13.5">
      <c r="A917" s="419" t="str">
        <f t="shared" si="14"/>
        <v>渡町台サッカークラブ_4</v>
      </c>
      <c r="B917" s="307" t="s">
        <v>2709</v>
      </c>
      <c r="C917" s="307" t="str">
        <f>("4")</f>
        <v>4</v>
      </c>
      <c r="D917" s="307" t="s">
        <v>862</v>
      </c>
      <c r="E917" s="307" t="s">
        <v>2716</v>
      </c>
      <c r="F917" s="307" t="s">
        <v>2717</v>
      </c>
      <c r="G917" s="307">
        <v>6</v>
      </c>
      <c r="H917" s="307" t="s">
        <v>869</v>
      </c>
      <c r="I917" s="307" t="str">
        <f>("1007140232")</f>
        <v>1007140232</v>
      </c>
    </row>
    <row r="918" spans="1:9" ht="13.5">
      <c r="A918" s="419" t="str">
        <f t="shared" si="14"/>
        <v>渡町台サッカークラブ_5</v>
      </c>
      <c r="B918" s="307" t="s">
        <v>2709</v>
      </c>
      <c r="C918" s="307" t="str">
        <f>("5")</f>
        <v>5</v>
      </c>
      <c r="D918" s="307" t="s">
        <v>884</v>
      </c>
      <c r="E918" s="307" t="s">
        <v>2718</v>
      </c>
      <c r="F918" s="307" t="s">
        <v>2719</v>
      </c>
      <c r="G918" s="307">
        <v>6</v>
      </c>
      <c r="H918" s="307" t="s">
        <v>869</v>
      </c>
      <c r="I918" s="307" t="str">
        <f>("1012140237")</f>
        <v>1012140237</v>
      </c>
    </row>
    <row r="919" spans="1:9" ht="13.5">
      <c r="A919" s="419" t="str">
        <f t="shared" si="14"/>
        <v>渡町台サッカークラブ_6</v>
      </c>
      <c r="B919" s="307" t="s">
        <v>2709</v>
      </c>
      <c r="C919" s="307" t="str">
        <f>("6")</f>
        <v>6</v>
      </c>
      <c r="D919" s="307" t="s">
        <v>859</v>
      </c>
      <c r="E919" s="307" t="s">
        <v>2720</v>
      </c>
      <c r="F919" s="307" t="s">
        <v>2721</v>
      </c>
      <c r="G919" s="307">
        <v>5</v>
      </c>
      <c r="H919" s="307" t="s">
        <v>858</v>
      </c>
      <c r="I919" s="307" t="str">
        <f>("1111150045")</f>
        <v>1111150045</v>
      </c>
    </row>
    <row r="920" spans="1:9" ht="13.5">
      <c r="A920" s="419" t="str">
        <f t="shared" si="14"/>
        <v>渡町台サッカークラブ_7</v>
      </c>
      <c r="B920" s="307" t="s">
        <v>2709</v>
      </c>
      <c r="C920" s="307" t="str">
        <f>("7")</f>
        <v>7</v>
      </c>
      <c r="D920" s="307" t="s">
        <v>862</v>
      </c>
      <c r="E920" s="307" t="s">
        <v>2722</v>
      </c>
      <c r="F920" s="307" t="s">
        <v>2723</v>
      </c>
      <c r="G920" s="307">
        <v>5</v>
      </c>
      <c r="H920" s="307" t="s">
        <v>858</v>
      </c>
      <c r="I920" s="307" t="str">
        <f>("1104050025")</f>
        <v>1104050025</v>
      </c>
    </row>
    <row r="921" spans="1:9" ht="13.5">
      <c r="A921" s="419" t="str">
        <f t="shared" si="14"/>
        <v>渡町台サッカークラブ_8</v>
      </c>
      <c r="B921" s="307" t="s">
        <v>2709</v>
      </c>
      <c r="C921" s="307" t="str">
        <f>("8")</f>
        <v>8</v>
      </c>
      <c r="D921" s="307" t="s">
        <v>884</v>
      </c>
      <c r="E921" s="307" t="s">
        <v>2724</v>
      </c>
      <c r="F921" s="307" t="s">
        <v>2725</v>
      </c>
      <c r="G921" s="307">
        <v>5</v>
      </c>
      <c r="H921" s="307" t="s">
        <v>858</v>
      </c>
      <c r="I921" s="307" t="str">
        <f>("1203010021")</f>
        <v>1203010021</v>
      </c>
    </row>
    <row r="922" spans="1:9" ht="13.5">
      <c r="A922" s="419" t="str">
        <f t="shared" si="14"/>
        <v>渡町台サッカークラブ_9</v>
      </c>
      <c r="B922" s="307" t="s">
        <v>2709</v>
      </c>
      <c r="C922" s="307" t="str">
        <f>("9")</f>
        <v>9</v>
      </c>
      <c r="D922" s="307" t="s">
        <v>862</v>
      </c>
      <c r="E922" s="307" t="s">
        <v>2726</v>
      </c>
      <c r="F922" s="307" t="s">
        <v>2727</v>
      </c>
      <c r="G922" s="307">
        <v>5</v>
      </c>
      <c r="H922" s="307" t="s">
        <v>858</v>
      </c>
      <c r="I922" s="307" t="str">
        <f>("1105310027")</f>
        <v>1105310027</v>
      </c>
    </row>
    <row r="923" spans="1:10" ht="13.5">
      <c r="A923" s="419" t="str">
        <f t="shared" si="14"/>
        <v>渡町台サッカークラブ_10</v>
      </c>
      <c r="B923" s="307" t="s">
        <v>2709</v>
      </c>
      <c r="C923" s="307" t="str">
        <f>("10")</f>
        <v>10</v>
      </c>
      <c r="D923" s="307" t="s">
        <v>859</v>
      </c>
      <c r="E923" s="307" t="s">
        <v>2728</v>
      </c>
      <c r="F923" s="307" t="s">
        <v>2729</v>
      </c>
      <c r="G923" s="307">
        <v>6</v>
      </c>
      <c r="H923" s="307" t="s">
        <v>858</v>
      </c>
      <c r="I923" s="307" t="str">
        <f>("1012100011")</f>
        <v>1012100011</v>
      </c>
      <c r="J923" s="307" t="s">
        <v>15</v>
      </c>
    </row>
    <row r="924" spans="1:9" ht="13.5">
      <c r="A924" s="419" t="str">
        <f t="shared" si="14"/>
        <v>渡町台サッカークラブ_11</v>
      </c>
      <c r="B924" s="307" t="s">
        <v>2709</v>
      </c>
      <c r="C924" s="307" t="str">
        <f>("11")</f>
        <v>11</v>
      </c>
      <c r="D924" s="307" t="s">
        <v>884</v>
      </c>
      <c r="E924" s="307" t="s">
        <v>2730</v>
      </c>
      <c r="F924" s="307" t="s">
        <v>2731</v>
      </c>
      <c r="G924" s="307">
        <v>4</v>
      </c>
      <c r="H924" s="307" t="s">
        <v>858</v>
      </c>
      <c r="I924" s="307" t="str">
        <f>("1208280001")</f>
        <v>1208280001</v>
      </c>
    </row>
    <row r="925" spans="1:9" ht="13.5">
      <c r="A925" s="419" t="str">
        <f t="shared" si="14"/>
        <v>渡町台サッカークラブ_12</v>
      </c>
      <c r="B925" s="307" t="s">
        <v>2709</v>
      </c>
      <c r="C925" s="307" t="str">
        <f>("12")</f>
        <v>12</v>
      </c>
      <c r="D925" s="307" t="s">
        <v>884</v>
      </c>
      <c r="E925" s="307" t="s">
        <v>2732</v>
      </c>
      <c r="F925" s="307" t="s">
        <v>2733</v>
      </c>
      <c r="G925" s="307">
        <v>4</v>
      </c>
      <c r="H925" s="307" t="s">
        <v>858</v>
      </c>
      <c r="I925" s="307" t="str">
        <f>("1210180008")</f>
        <v>1210180008</v>
      </c>
    </row>
    <row r="926" spans="1:9" ht="13.5">
      <c r="A926" s="419" t="str">
        <f t="shared" si="14"/>
        <v>渡町台サッカークラブ_13</v>
      </c>
      <c r="B926" s="307" t="s">
        <v>2709</v>
      </c>
      <c r="C926" s="307" t="str">
        <f>("13")</f>
        <v>13</v>
      </c>
      <c r="D926" s="307" t="s">
        <v>884</v>
      </c>
      <c r="E926" s="307" t="s">
        <v>2734</v>
      </c>
      <c r="F926" s="307" t="s">
        <v>2735</v>
      </c>
      <c r="G926" s="307">
        <v>5</v>
      </c>
      <c r="H926" s="307" t="s">
        <v>858</v>
      </c>
      <c r="I926" s="307" t="str">
        <f>("1111150103")</f>
        <v>1111150103</v>
      </c>
    </row>
    <row r="927" spans="1:9" ht="13.5">
      <c r="A927" s="419" t="str">
        <f t="shared" si="14"/>
        <v>渡町台サッカークラブ_14</v>
      </c>
      <c r="B927" s="307" t="s">
        <v>2709</v>
      </c>
      <c r="C927" s="307" t="str">
        <f>("14")</f>
        <v>14</v>
      </c>
      <c r="D927" s="307" t="s">
        <v>884</v>
      </c>
      <c r="E927" s="307" t="s">
        <v>2736</v>
      </c>
      <c r="F927" s="307" t="s">
        <v>2737</v>
      </c>
      <c r="G927" s="307">
        <v>5</v>
      </c>
      <c r="H927" s="307" t="s">
        <v>869</v>
      </c>
      <c r="I927" s="307" t="str">
        <f>("1109290207")</f>
        <v>1109290207</v>
      </c>
    </row>
    <row r="928" spans="1:9" ht="13.5">
      <c r="A928" s="419" t="str">
        <f t="shared" si="14"/>
        <v>渡町台サッカークラブ_15</v>
      </c>
      <c r="B928" s="307" t="s">
        <v>2709</v>
      </c>
      <c r="C928" s="307" t="str">
        <f>("15")</f>
        <v>15</v>
      </c>
      <c r="D928" s="307" t="s">
        <v>884</v>
      </c>
      <c r="E928" s="307" t="s">
        <v>2738</v>
      </c>
      <c r="F928" s="307" t="s">
        <v>2739</v>
      </c>
      <c r="G928" s="307">
        <v>4</v>
      </c>
      <c r="H928" s="307" t="s">
        <v>858</v>
      </c>
      <c r="I928" s="307" t="str">
        <f>("1206010139")</f>
        <v>1206010139</v>
      </c>
    </row>
    <row r="929" spans="1:9" ht="13.5">
      <c r="A929" s="419" t="str">
        <f t="shared" si="14"/>
        <v>西の台ＪＦＣ_1</v>
      </c>
      <c r="B929" s="307" t="s">
        <v>268</v>
      </c>
      <c r="C929" s="307" t="str">
        <f>("1")</f>
        <v>1</v>
      </c>
      <c r="D929" s="307" t="s">
        <v>855</v>
      </c>
      <c r="E929" s="307" t="s">
        <v>2740</v>
      </c>
      <c r="F929" s="307" t="s">
        <v>2741</v>
      </c>
      <c r="G929" s="307">
        <v>5</v>
      </c>
      <c r="H929" s="307" t="s">
        <v>858</v>
      </c>
      <c r="I929" s="307" t="str">
        <f>("1111110138")</f>
        <v>1111110138</v>
      </c>
    </row>
    <row r="930" spans="1:9" ht="13.5">
      <c r="A930" s="419" t="str">
        <f t="shared" si="14"/>
        <v>西の台ＪＦＣ_2</v>
      </c>
      <c r="B930" s="307" t="s">
        <v>268</v>
      </c>
      <c r="C930" s="307" t="str">
        <f>("2")</f>
        <v>2</v>
      </c>
      <c r="D930" s="307" t="s">
        <v>859</v>
      </c>
      <c r="E930" s="307" t="s">
        <v>2742</v>
      </c>
      <c r="F930" s="307" t="s">
        <v>2743</v>
      </c>
      <c r="G930" s="307">
        <v>5</v>
      </c>
      <c r="H930" s="307" t="s">
        <v>858</v>
      </c>
      <c r="I930" s="307" t="str">
        <f>("1104150208")</f>
        <v>1104150208</v>
      </c>
    </row>
    <row r="931" spans="1:10" ht="13.5">
      <c r="A931" s="419" t="str">
        <f t="shared" si="14"/>
        <v>西の台ＪＦＣ_3</v>
      </c>
      <c r="B931" s="307" t="s">
        <v>268</v>
      </c>
      <c r="C931" s="307" t="str">
        <f>("3")</f>
        <v>3</v>
      </c>
      <c r="D931" s="307" t="s">
        <v>859</v>
      </c>
      <c r="E931" s="307" t="s">
        <v>2744</v>
      </c>
      <c r="F931" s="307" t="s">
        <v>2745</v>
      </c>
      <c r="G931" s="307">
        <v>5</v>
      </c>
      <c r="H931" s="307" t="s">
        <v>858</v>
      </c>
      <c r="I931" s="307" t="str">
        <f>("1108210088")</f>
        <v>1108210088</v>
      </c>
      <c r="J931" s="307" t="s">
        <v>15</v>
      </c>
    </row>
    <row r="932" spans="1:9" ht="13.5">
      <c r="A932" s="419" t="str">
        <f t="shared" si="14"/>
        <v>西の台ＪＦＣ_4</v>
      </c>
      <c r="B932" s="307" t="s">
        <v>268</v>
      </c>
      <c r="C932" s="307" t="str">
        <f>("4")</f>
        <v>4</v>
      </c>
      <c r="D932" s="307" t="s">
        <v>862</v>
      </c>
      <c r="E932" s="307" t="s">
        <v>2746</v>
      </c>
      <c r="F932" s="307" t="s">
        <v>2747</v>
      </c>
      <c r="G932" s="307">
        <v>5</v>
      </c>
      <c r="H932" s="307" t="s">
        <v>858</v>
      </c>
      <c r="I932" s="307" t="str">
        <f>("1106070229")</f>
        <v>1106070229</v>
      </c>
    </row>
    <row r="933" spans="1:9" ht="13.5">
      <c r="A933" s="419" t="str">
        <f t="shared" si="14"/>
        <v>西の台ＪＦＣ_5</v>
      </c>
      <c r="B933" s="307" t="s">
        <v>268</v>
      </c>
      <c r="C933" s="307" t="str">
        <f>("5")</f>
        <v>5</v>
      </c>
      <c r="D933" s="307" t="s">
        <v>859</v>
      </c>
      <c r="E933" s="307" t="s">
        <v>2748</v>
      </c>
      <c r="F933" s="307" t="s">
        <v>2749</v>
      </c>
      <c r="G933" s="307">
        <v>3</v>
      </c>
      <c r="H933" s="307" t="s">
        <v>858</v>
      </c>
      <c r="I933" s="307" t="str">
        <f>("1306070019")</f>
        <v>1306070019</v>
      </c>
    </row>
    <row r="934" spans="1:9" ht="13.5">
      <c r="A934" s="419" t="str">
        <f t="shared" si="14"/>
        <v>西の台ＪＦＣ_6</v>
      </c>
      <c r="B934" s="307" t="s">
        <v>268</v>
      </c>
      <c r="C934" s="307" t="str">
        <f>("6")</f>
        <v>6</v>
      </c>
      <c r="D934" s="307" t="s">
        <v>862</v>
      </c>
      <c r="E934" s="307" t="s">
        <v>2750</v>
      </c>
      <c r="F934" s="307" t="s">
        <v>2751</v>
      </c>
      <c r="G934" s="307">
        <v>5</v>
      </c>
      <c r="H934" s="307" t="s">
        <v>858</v>
      </c>
      <c r="I934" s="307" t="str">
        <f>("1108100206")</f>
        <v>1108100206</v>
      </c>
    </row>
    <row r="935" spans="1:9" ht="13.5">
      <c r="A935" s="419" t="str">
        <f t="shared" si="14"/>
        <v>西の台ＪＦＣ_7</v>
      </c>
      <c r="B935" s="307" t="s">
        <v>268</v>
      </c>
      <c r="C935" s="307" t="str">
        <f>("7")</f>
        <v>7</v>
      </c>
      <c r="D935" s="307" t="s">
        <v>862</v>
      </c>
      <c r="E935" s="307" t="s">
        <v>2752</v>
      </c>
      <c r="F935" s="307" t="s">
        <v>2753</v>
      </c>
      <c r="G935" s="307">
        <v>5</v>
      </c>
      <c r="H935" s="307" t="s">
        <v>858</v>
      </c>
      <c r="I935" s="307" t="str">
        <f>("1104210078")</f>
        <v>1104210078</v>
      </c>
    </row>
    <row r="936" spans="1:9" ht="13.5">
      <c r="A936" s="419" t="str">
        <f t="shared" si="14"/>
        <v>西の台ＪＦＣ_8</v>
      </c>
      <c r="B936" s="307" t="s">
        <v>268</v>
      </c>
      <c r="C936" s="307" t="str">
        <f>("8")</f>
        <v>8</v>
      </c>
      <c r="D936" s="307" t="s">
        <v>859</v>
      </c>
      <c r="E936" s="307" t="s">
        <v>2754</v>
      </c>
      <c r="F936" s="307" t="s">
        <v>2755</v>
      </c>
      <c r="G936" s="307">
        <v>4</v>
      </c>
      <c r="H936" s="307" t="s">
        <v>858</v>
      </c>
      <c r="I936" s="307" t="str">
        <f>("1211080057")</f>
        <v>1211080057</v>
      </c>
    </row>
    <row r="937" spans="1:9" ht="13.5">
      <c r="A937" s="419" t="str">
        <f t="shared" si="14"/>
        <v>西の台ＪＦＣ_9</v>
      </c>
      <c r="B937" s="307" t="s">
        <v>268</v>
      </c>
      <c r="C937" s="307" t="str">
        <f>("9")</f>
        <v>9</v>
      </c>
      <c r="D937" s="307" t="s">
        <v>884</v>
      </c>
      <c r="E937" s="307" t="s">
        <v>2756</v>
      </c>
      <c r="F937" s="307" t="s">
        <v>2757</v>
      </c>
      <c r="G937" s="307">
        <v>5</v>
      </c>
      <c r="H937" s="307" t="s">
        <v>858</v>
      </c>
      <c r="I937" s="307" t="str">
        <f>("1109070014")</f>
        <v>1109070014</v>
      </c>
    </row>
    <row r="938" spans="1:9" ht="13.5">
      <c r="A938" s="419" t="str">
        <f t="shared" si="14"/>
        <v>西の台ＪＦＣ_10</v>
      </c>
      <c r="B938" s="307" t="s">
        <v>268</v>
      </c>
      <c r="C938" s="307" t="str">
        <f>("10")</f>
        <v>10</v>
      </c>
      <c r="D938" s="307" t="s">
        <v>862</v>
      </c>
      <c r="E938" s="307" t="s">
        <v>2758</v>
      </c>
      <c r="F938" s="307" t="s">
        <v>2759</v>
      </c>
      <c r="G938" s="307">
        <v>5</v>
      </c>
      <c r="H938" s="307" t="s">
        <v>858</v>
      </c>
      <c r="I938" s="307" t="str">
        <f>("1104280022")</f>
        <v>1104280022</v>
      </c>
    </row>
    <row r="939" spans="1:9" ht="13.5">
      <c r="A939" s="419" t="str">
        <f t="shared" si="14"/>
        <v>西の台ＪＦＣ_11</v>
      </c>
      <c r="B939" s="307" t="s">
        <v>268</v>
      </c>
      <c r="C939" s="307" t="str">
        <f>("11")</f>
        <v>11</v>
      </c>
      <c r="D939" s="307" t="s">
        <v>862</v>
      </c>
      <c r="E939" s="307" t="s">
        <v>2760</v>
      </c>
      <c r="F939" s="307" t="s">
        <v>2761</v>
      </c>
      <c r="G939" s="307">
        <v>4</v>
      </c>
      <c r="H939" s="307" t="s">
        <v>858</v>
      </c>
      <c r="I939" s="307" t="str">
        <f>("1211300014")</f>
        <v>1211300014</v>
      </c>
    </row>
    <row r="940" spans="1:9" ht="13.5">
      <c r="A940" s="419" t="str">
        <f t="shared" si="14"/>
        <v>西の台ＪＦＣ_13</v>
      </c>
      <c r="B940" s="307" t="s">
        <v>268</v>
      </c>
      <c r="C940" s="307" t="str">
        <f>("13")</f>
        <v>13</v>
      </c>
      <c r="D940" s="307" t="s">
        <v>884</v>
      </c>
      <c r="E940" s="307" t="s">
        <v>2762</v>
      </c>
      <c r="F940" s="307" t="s">
        <v>2763</v>
      </c>
      <c r="G940" s="307">
        <v>3</v>
      </c>
      <c r="H940" s="307" t="s">
        <v>858</v>
      </c>
      <c r="I940" s="307" t="str">
        <f>("1308300019")</f>
        <v>1308300019</v>
      </c>
    </row>
    <row r="941" spans="1:9" ht="13.5">
      <c r="A941" s="419" t="str">
        <f t="shared" si="14"/>
        <v>西の台ＪＦＣ_14</v>
      </c>
      <c r="B941" s="307" t="s">
        <v>268</v>
      </c>
      <c r="C941" s="307" t="str">
        <f>("14")</f>
        <v>14</v>
      </c>
      <c r="D941" s="307" t="s">
        <v>884</v>
      </c>
      <c r="E941" s="307" t="s">
        <v>2764</v>
      </c>
      <c r="F941" s="307" t="s">
        <v>2765</v>
      </c>
      <c r="G941" s="307">
        <v>3</v>
      </c>
      <c r="H941" s="307" t="s">
        <v>858</v>
      </c>
      <c r="I941" s="307" t="str">
        <f>("1401120016")</f>
        <v>1401120016</v>
      </c>
    </row>
    <row r="942" spans="1:9" ht="13.5">
      <c r="A942" s="419" t="str">
        <f t="shared" si="14"/>
        <v>西の台ＪＦＣ_15</v>
      </c>
      <c r="B942" s="307" t="s">
        <v>268</v>
      </c>
      <c r="C942" s="307" t="str">
        <f>("15")</f>
        <v>15</v>
      </c>
      <c r="D942" s="307" t="s">
        <v>884</v>
      </c>
      <c r="E942" s="307" t="s">
        <v>2766</v>
      </c>
      <c r="F942" s="307" t="s">
        <v>2767</v>
      </c>
      <c r="G942" s="307">
        <v>3</v>
      </c>
      <c r="H942" s="307" t="s">
        <v>858</v>
      </c>
      <c r="I942" s="307" t="str">
        <f>("1308270075")</f>
        <v>1308270075</v>
      </c>
    </row>
    <row r="943" spans="1:9" ht="13.5">
      <c r="A943" s="419" t="str">
        <f t="shared" si="14"/>
        <v>豊後高田ＦＣ　Ｂｏｒｄｅｒ　Ｊｒ_2</v>
      </c>
      <c r="B943" s="307" t="s">
        <v>2768</v>
      </c>
      <c r="C943" s="307" t="str">
        <f>("2")</f>
        <v>2</v>
      </c>
      <c r="D943" s="307" t="s">
        <v>862</v>
      </c>
      <c r="E943" s="307" t="s">
        <v>2769</v>
      </c>
      <c r="F943" s="307" t="s">
        <v>2770</v>
      </c>
      <c r="G943" s="307">
        <v>6</v>
      </c>
      <c r="H943" s="307" t="s">
        <v>858</v>
      </c>
      <c r="I943" s="307" t="str">
        <f>("1102210034")</f>
        <v>1102210034</v>
      </c>
    </row>
    <row r="944" spans="1:9" ht="13.5">
      <c r="A944" s="419" t="str">
        <f t="shared" si="14"/>
        <v>豊後高田ＦＣ　Ｂｏｒｄｅｒ　Ｊｒ_4</v>
      </c>
      <c r="B944" s="307" t="s">
        <v>2768</v>
      </c>
      <c r="C944" s="307" t="str">
        <f>("4")</f>
        <v>4</v>
      </c>
      <c r="D944" s="307" t="s">
        <v>859</v>
      </c>
      <c r="E944" s="307" t="s">
        <v>2771</v>
      </c>
      <c r="F944" s="307" t="s">
        <v>2772</v>
      </c>
      <c r="G944" s="307">
        <v>6</v>
      </c>
      <c r="H944" s="307" t="s">
        <v>858</v>
      </c>
      <c r="I944" s="307" t="str">
        <f>("1005190105")</f>
        <v>1005190105</v>
      </c>
    </row>
    <row r="945" spans="1:9" ht="13.5">
      <c r="A945" s="419" t="str">
        <f t="shared" si="14"/>
        <v>豊後高田ＦＣ　Ｂｏｒｄｅｒ　Ｊｒ_5</v>
      </c>
      <c r="B945" s="307" t="s">
        <v>2768</v>
      </c>
      <c r="C945" s="307" t="str">
        <f>("5")</f>
        <v>5</v>
      </c>
      <c r="D945" s="307" t="s">
        <v>859</v>
      </c>
      <c r="E945" s="307" t="s">
        <v>2773</v>
      </c>
      <c r="F945" s="307" t="s">
        <v>2774</v>
      </c>
      <c r="G945" s="307">
        <v>6</v>
      </c>
      <c r="H945" s="307" t="s">
        <v>858</v>
      </c>
      <c r="I945" s="307" t="str">
        <f>("1006280052")</f>
        <v>1006280052</v>
      </c>
    </row>
    <row r="946" spans="1:10" ht="13.5">
      <c r="A946" s="419" t="str">
        <f t="shared" si="14"/>
        <v>豊後高田ＦＣ　Ｂｏｒｄｅｒ　Ｊｒ_6</v>
      </c>
      <c r="B946" s="307" t="s">
        <v>2768</v>
      </c>
      <c r="C946" s="307" t="str">
        <f>("6")</f>
        <v>6</v>
      </c>
      <c r="D946" s="307" t="s">
        <v>862</v>
      </c>
      <c r="E946" s="307" t="s">
        <v>2775</v>
      </c>
      <c r="F946" s="307" t="s">
        <v>2776</v>
      </c>
      <c r="G946" s="307">
        <v>6</v>
      </c>
      <c r="H946" s="307" t="s">
        <v>858</v>
      </c>
      <c r="I946" s="307" t="str">
        <f>("1105190032")</f>
        <v>1105190032</v>
      </c>
      <c r="J946" s="307" t="s">
        <v>15</v>
      </c>
    </row>
    <row r="947" spans="1:9" ht="13.5">
      <c r="A947" s="419" t="str">
        <f t="shared" si="14"/>
        <v>豊後高田ＦＣ　Ｂｏｒｄｅｒ　Ｊｒ_7</v>
      </c>
      <c r="B947" s="307" t="s">
        <v>2768</v>
      </c>
      <c r="C947" s="307" t="str">
        <f>("7")</f>
        <v>7</v>
      </c>
      <c r="D947" s="307" t="s">
        <v>862</v>
      </c>
      <c r="E947" s="307" t="s">
        <v>2777</v>
      </c>
      <c r="F947" s="307" t="s">
        <v>2778</v>
      </c>
      <c r="G947" s="307">
        <v>6</v>
      </c>
      <c r="H947" s="307" t="s">
        <v>869</v>
      </c>
      <c r="I947" s="307" t="str">
        <f>("1101130049")</f>
        <v>1101130049</v>
      </c>
    </row>
    <row r="948" spans="1:9" ht="13.5">
      <c r="A948" s="419" t="str">
        <f t="shared" si="14"/>
        <v>豊後高田ＦＣ　Ｂｏｒｄｅｒ　Ｊｒ_8</v>
      </c>
      <c r="B948" s="307" t="s">
        <v>2768</v>
      </c>
      <c r="C948" s="307" t="str">
        <f>("8")</f>
        <v>8</v>
      </c>
      <c r="D948" s="307" t="s">
        <v>859</v>
      </c>
      <c r="E948" s="307" t="s">
        <v>2779</v>
      </c>
      <c r="F948" s="307" t="s">
        <v>2780</v>
      </c>
      <c r="G948" s="307">
        <v>6</v>
      </c>
      <c r="H948" s="307" t="s">
        <v>858</v>
      </c>
      <c r="I948" s="307" t="str">
        <f>("1005190106")</f>
        <v>1005190106</v>
      </c>
    </row>
    <row r="949" spans="1:9" ht="13.5">
      <c r="A949" s="419" t="str">
        <f t="shared" si="14"/>
        <v>豊後高田ＦＣ　Ｂｏｒｄｅｒ　Ｊｒ_9</v>
      </c>
      <c r="B949" s="307" t="s">
        <v>2768</v>
      </c>
      <c r="C949" s="307" t="str">
        <f>("9")</f>
        <v>9</v>
      </c>
      <c r="D949" s="307" t="s">
        <v>862</v>
      </c>
      <c r="E949" s="307" t="s">
        <v>2781</v>
      </c>
      <c r="F949" s="307" t="s">
        <v>2782</v>
      </c>
      <c r="G949" s="307">
        <v>5</v>
      </c>
      <c r="H949" s="307" t="s">
        <v>858</v>
      </c>
      <c r="I949" s="307" t="str">
        <f>("1112270069")</f>
        <v>1112270069</v>
      </c>
    </row>
    <row r="950" spans="1:9" ht="13.5">
      <c r="A950" s="419" t="str">
        <f t="shared" si="14"/>
        <v>豊後高田ＦＣ　Ｂｏｒｄｅｒ　Ｊｒ_10</v>
      </c>
      <c r="B950" s="307" t="s">
        <v>2768</v>
      </c>
      <c r="C950" s="307" t="str">
        <f>("10")</f>
        <v>10</v>
      </c>
      <c r="D950" s="307" t="s">
        <v>862</v>
      </c>
      <c r="E950" s="307" t="s">
        <v>2783</v>
      </c>
      <c r="F950" s="307" t="s">
        <v>2784</v>
      </c>
      <c r="G950" s="307">
        <v>6</v>
      </c>
      <c r="H950" s="307" t="s">
        <v>869</v>
      </c>
      <c r="I950" s="307" t="str">
        <f>("1011160225")</f>
        <v>1011160225</v>
      </c>
    </row>
    <row r="951" spans="1:9" ht="13.5">
      <c r="A951" s="419" t="str">
        <f t="shared" si="14"/>
        <v>豊後高田ＦＣ　Ｂｏｒｄｅｒ　Ｊｒ_11</v>
      </c>
      <c r="B951" s="307" t="s">
        <v>2768</v>
      </c>
      <c r="C951" s="307" t="str">
        <f>("11")</f>
        <v>11</v>
      </c>
      <c r="D951" s="307" t="s">
        <v>884</v>
      </c>
      <c r="E951" s="307" t="s">
        <v>2785</v>
      </c>
      <c r="F951" s="307" t="s">
        <v>2786</v>
      </c>
      <c r="G951" s="307">
        <v>5</v>
      </c>
      <c r="H951" s="307" t="s">
        <v>858</v>
      </c>
      <c r="I951" s="307" t="str">
        <f>("1201200137")</f>
        <v>1201200137</v>
      </c>
    </row>
    <row r="952" spans="1:9" ht="13.5">
      <c r="A952" s="419" t="str">
        <f t="shared" si="14"/>
        <v>豊後高田ＦＣ　Ｂｏｒｄｅｒ　Ｊｒ_12</v>
      </c>
      <c r="B952" s="307" t="s">
        <v>2768</v>
      </c>
      <c r="C952" s="307" t="str">
        <f>("12")</f>
        <v>12</v>
      </c>
      <c r="D952" s="307" t="s">
        <v>859</v>
      </c>
      <c r="E952" s="307" t="s">
        <v>2787</v>
      </c>
      <c r="F952" s="307" t="s">
        <v>2788</v>
      </c>
      <c r="G952" s="307">
        <v>4</v>
      </c>
      <c r="H952" s="307" t="s">
        <v>858</v>
      </c>
      <c r="I952" s="307" t="str">
        <f>("1209110024")</f>
        <v>1209110024</v>
      </c>
    </row>
    <row r="953" spans="1:9" ht="13.5">
      <c r="A953" s="419" t="str">
        <f t="shared" si="14"/>
        <v>豊後高田ＦＣ　Ｂｏｒｄｅｒ　Ｊｒ_13</v>
      </c>
      <c r="B953" s="307" t="s">
        <v>2768</v>
      </c>
      <c r="C953" s="307" t="str">
        <f>("13")</f>
        <v>13</v>
      </c>
      <c r="D953" s="307" t="s">
        <v>859</v>
      </c>
      <c r="E953" s="307" t="s">
        <v>2789</v>
      </c>
      <c r="F953" s="307" t="s">
        <v>2790</v>
      </c>
      <c r="G953" s="307">
        <v>4</v>
      </c>
      <c r="H953" s="307" t="s">
        <v>858</v>
      </c>
      <c r="I953" s="307" t="str">
        <f>("1210190151")</f>
        <v>1210190151</v>
      </c>
    </row>
    <row r="954" spans="1:9" ht="13.5">
      <c r="A954" s="419" t="str">
        <f t="shared" si="14"/>
        <v>豊後高田ＦＣ　Ｂｏｒｄｅｒ　Ｊｒ_14</v>
      </c>
      <c r="B954" s="307" t="s">
        <v>2768</v>
      </c>
      <c r="C954" s="307" t="str">
        <f>("14")</f>
        <v>14</v>
      </c>
      <c r="D954" s="307" t="s">
        <v>862</v>
      </c>
      <c r="E954" s="307" t="s">
        <v>2791</v>
      </c>
      <c r="F954" s="307" t="s">
        <v>2792</v>
      </c>
      <c r="G954" s="307">
        <v>4</v>
      </c>
      <c r="H954" s="307" t="s">
        <v>858</v>
      </c>
      <c r="I954" s="307" t="str">
        <f>("1301110079")</f>
        <v>1301110079</v>
      </c>
    </row>
    <row r="955" spans="1:9" ht="13.5">
      <c r="A955" s="419" t="str">
        <f t="shared" si="14"/>
        <v>豊後高田ＦＣ　Ｂｏｒｄｅｒ　Ｊｒ_15</v>
      </c>
      <c r="B955" s="307" t="s">
        <v>2768</v>
      </c>
      <c r="C955" s="307" t="str">
        <f>("15")</f>
        <v>15</v>
      </c>
      <c r="D955" s="307" t="s">
        <v>884</v>
      </c>
      <c r="E955" s="307" t="s">
        <v>2793</v>
      </c>
      <c r="F955" s="307" t="s">
        <v>2794</v>
      </c>
      <c r="G955" s="307">
        <v>5</v>
      </c>
      <c r="H955" s="307" t="s">
        <v>858</v>
      </c>
      <c r="I955" s="307" t="str">
        <f>("1201090153")</f>
        <v>1201090153</v>
      </c>
    </row>
    <row r="956" spans="1:9" ht="13.5">
      <c r="A956" s="419" t="str">
        <f t="shared" si="14"/>
        <v>豊後高田ＦＣ　Ｂｏｒｄｅｒ　Ｊｒ_16</v>
      </c>
      <c r="B956" s="307" t="s">
        <v>2768</v>
      </c>
      <c r="C956" s="307" t="str">
        <f>("16")</f>
        <v>16</v>
      </c>
      <c r="D956" s="307" t="s">
        <v>855</v>
      </c>
      <c r="E956" s="307" t="s">
        <v>2795</v>
      </c>
      <c r="F956" s="307" t="s">
        <v>2796</v>
      </c>
      <c r="G956" s="307">
        <v>4</v>
      </c>
      <c r="H956" s="307" t="s">
        <v>858</v>
      </c>
      <c r="I956" s="307" t="str">
        <f>("1209110157")</f>
        <v>1209110157</v>
      </c>
    </row>
    <row r="957" spans="1:9" ht="13.5">
      <c r="A957" s="419" t="str">
        <f t="shared" si="14"/>
        <v>豊後高田ＦＣ　Ｂｏｒｄｅｒ　Ｊｒ_17</v>
      </c>
      <c r="B957" s="307" t="s">
        <v>2768</v>
      </c>
      <c r="C957" s="307" t="str">
        <f>("17")</f>
        <v>17</v>
      </c>
      <c r="D957" s="307" t="s">
        <v>862</v>
      </c>
      <c r="E957" s="307" t="s">
        <v>2797</v>
      </c>
      <c r="F957" s="307" t="s">
        <v>2770</v>
      </c>
      <c r="G957" s="307">
        <v>4</v>
      </c>
      <c r="H957" s="307" t="s">
        <v>858</v>
      </c>
      <c r="I957" s="307" t="str">
        <f>("1302260035")</f>
        <v>1302260035</v>
      </c>
    </row>
    <row r="958" spans="1:9" ht="13.5">
      <c r="A958" s="419" t="str">
        <f t="shared" si="14"/>
        <v>竹田直入ＦＣ_1</v>
      </c>
      <c r="B958" s="307" t="s">
        <v>2798</v>
      </c>
      <c r="C958" s="307" t="str">
        <f>("1")</f>
        <v>1</v>
      </c>
      <c r="D958" s="307" t="s">
        <v>855</v>
      </c>
      <c r="E958" s="307" t="s">
        <v>2799</v>
      </c>
      <c r="F958" s="307" t="s">
        <v>2800</v>
      </c>
      <c r="G958" s="307">
        <v>6</v>
      </c>
      <c r="H958" s="307" t="s">
        <v>858</v>
      </c>
      <c r="I958" s="307" t="str">
        <f>("1011290127")</f>
        <v>1011290127</v>
      </c>
    </row>
    <row r="959" spans="1:9" ht="13.5">
      <c r="A959" s="419" t="str">
        <f t="shared" si="14"/>
        <v>竹田直入ＦＣ_2</v>
      </c>
      <c r="B959" s="307" t="s">
        <v>2798</v>
      </c>
      <c r="C959" s="307" t="str">
        <f>("2")</f>
        <v>2</v>
      </c>
      <c r="D959" s="307" t="s">
        <v>859</v>
      </c>
      <c r="E959" s="307" t="s">
        <v>2801</v>
      </c>
      <c r="F959" s="307" t="s">
        <v>2802</v>
      </c>
      <c r="G959" s="307">
        <v>5</v>
      </c>
      <c r="H959" s="307" t="s">
        <v>869</v>
      </c>
      <c r="I959" s="307" t="str">
        <f>("1105190020")</f>
        <v>1105190020</v>
      </c>
    </row>
    <row r="960" spans="1:9" ht="13.5">
      <c r="A960" s="419" t="str">
        <f t="shared" si="14"/>
        <v>竹田直入ＦＣ_3</v>
      </c>
      <c r="B960" s="307" t="s">
        <v>2798</v>
      </c>
      <c r="C960" s="307" t="str">
        <f>("3")</f>
        <v>3</v>
      </c>
      <c r="D960" s="307" t="s">
        <v>859</v>
      </c>
      <c r="E960" s="307" t="s">
        <v>2803</v>
      </c>
      <c r="F960" s="307" t="s">
        <v>2804</v>
      </c>
      <c r="G960" s="307">
        <v>6</v>
      </c>
      <c r="H960" s="307" t="s">
        <v>858</v>
      </c>
      <c r="I960" s="307" t="str">
        <f>("1012040011")</f>
        <v>1012040011</v>
      </c>
    </row>
    <row r="961" spans="1:9" ht="13.5">
      <c r="A961" s="419" t="str">
        <f aca="true" t="shared" si="15" ref="A961:A1024">CONCATENATE(B961,"_",C961)</f>
        <v>竹田直入ＦＣ_4</v>
      </c>
      <c r="B961" s="307" t="s">
        <v>2798</v>
      </c>
      <c r="C961" s="307" t="str">
        <f>("4")</f>
        <v>4</v>
      </c>
      <c r="D961" s="307" t="s">
        <v>859</v>
      </c>
      <c r="E961" s="307" t="s">
        <v>2805</v>
      </c>
      <c r="F961" s="307" t="s">
        <v>2806</v>
      </c>
      <c r="G961" s="307">
        <v>5</v>
      </c>
      <c r="H961" s="307" t="s">
        <v>869</v>
      </c>
      <c r="I961" s="307" t="str">
        <f>("1107150105")</f>
        <v>1107150105</v>
      </c>
    </row>
    <row r="962" spans="1:9" ht="13.5">
      <c r="A962" s="419" t="str">
        <f t="shared" si="15"/>
        <v>竹田直入ＦＣ_5</v>
      </c>
      <c r="B962" s="307" t="s">
        <v>2798</v>
      </c>
      <c r="C962" s="307" t="str">
        <f>("5")</f>
        <v>5</v>
      </c>
      <c r="D962" s="307" t="s">
        <v>884</v>
      </c>
      <c r="E962" s="307" t="s">
        <v>2807</v>
      </c>
      <c r="F962" s="307" t="s">
        <v>2808</v>
      </c>
      <c r="G962" s="307">
        <v>6</v>
      </c>
      <c r="H962" s="307" t="s">
        <v>858</v>
      </c>
      <c r="I962" s="307" t="str">
        <f>("1103230054")</f>
        <v>1103230054</v>
      </c>
    </row>
    <row r="963" spans="1:9" ht="13.5">
      <c r="A963" s="419" t="str">
        <f t="shared" si="15"/>
        <v>竹田直入ＦＣ_6</v>
      </c>
      <c r="B963" s="307" t="s">
        <v>2798</v>
      </c>
      <c r="C963" s="307" t="str">
        <f>("6")</f>
        <v>6</v>
      </c>
      <c r="D963" s="307" t="s">
        <v>862</v>
      </c>
      <c r="E963" s="307" t="s">
        <v>2809</v>
      </c>
      <c r="F963" s="307" t="s">
        <v>2810</v>
      </c>
      <c r="G963" s="307">
        <v>5</v>
      </c>
      <c r="H963" s="307" t="s">
        <v>858</v>
      </c>
      <c r="I963" s="307" t="str">
        <f>("1203200007")</f>
        <v>1203200007</v>
      </c>
    </row>
    <row r="964" spans="1:10" ht="13.5">
      <c r="A964" s="419" t="str">
        <f t="shared" si="15"/>
        <v>竹田直入ＦＣ_7</v>
      </c>
      <c r="B964" s="307" t="s">
        <v>2798</v>
      </c>
      <c r="C964" s="307" t="str">
        <f>("7")</f>
        <v>7</v>
      </c>
      <c r="D964" s="307" t="s">
        <v>859</v>
      </c>
      <c r="E964" s="307" t="s">
        <v>2811</v>
      </c>
      <c r="F964" s="307" t="s">
        <v>2812</v>
      </c>
      <c r="G964" s="307">
        <v>6</v>
      </c>
      <c r="H964" s="307" t="s">
        <v>869</v>
      </c>
      <c r="I964" s="307" t="str">
        <f>("1102080017")</f>
        <v>1102080017</v>
      </c>
      <c r="J964" s="307" t="s">
        <v>15</v>
      </c>
    </row>
    <row r="965" spans="1:9" ht="13.5">
      <c r="A965" s="419" t="str">
        <f t="shared" si="15"/>
        <v>竹田直入ＦＣ_8</v>
      </c>
      <c r="B965" s="307" t="s">
        <v>2798</v>
      </c>
      <c r="C965" s="307" t="str">
        <f>("8")</f>
        <v>8</v>
      </c>
      <c r="D965" s="307" t="s">
        <v>862</v>
      </c>
      <c r="E965" s="307" t="s">
        <v>2813</v>
      </c>
      <c r="F965" s="307" t="s">
        <v>2814</v>
      </c>
      <c r="G965" s="307">
        <v>6</v>
      </c>
      <c r="H965" s="307" t="s">
        <v>858</v>
      </c>
      <c r="I965" s="307" t="str">
        <f>("1011120021")</f>
        <v>1011120021</v>
      </c>
    </row>
    <row r="966" spans="1:9" ht="13.5">
      <c r="A966" s="419" t="str">
        <f t="shared" si="15"/>
        <v>竹田直入ＦＣ_9</v>
      </c>
      <c r="B966" s="307" t="s">
        <v>2798</v>
      </c>
      <c r="C966" s="307" t="str">
        <f>("9")</f>
        <v>9</v>
      </c>
      <c r="D966" s="307" t="s">
        <v>859</v>
      </c>
      <c r="E966" s="307" t="s">
        <v>2815</v>
      </c>
      <c r="F966" s="307" t="s">
        <v>2816</v>
      </c>
      <c r="G966" s="307">
        <v>5</v>
      </c>
      <c r="H966" s="307" t="s">
        <v>858</v>
      </c>
      <c r="I966" s="307" t="str">
        <f>("1108160027")</f>
        <v>1108160027</v>
      </c>
    </row>
    <row r="967" spans="1:9" ht="13.5">
      <c r="A967" s="419" t="str">
        <f t="shared" si="15"/>
        <v>竹田直入ＦＣ_10</v>
      </c>
      <c r="B967" s="307" t="s">
        <v>2798</v>
      </c>
      <c r="C967" s="307" t="str">
        <f>("10")</f>
        <v>10</v>
      </c>
      <c r="D967" s="307" t="s">
        <v>862</v>
      </c>
      <c r="E967" s="307" t="s">
        <v>2817</v>
      </c>
      <c r="F967" s="307" t="s">
        <v>2818</v>
      </c>
      <c r="G967" s="307">
        <v>5</v>
      </c>
      <c r="H967" s="307" t="s">
        <v>858</v>
      </c>
      <c r="I967" s="307" t="str">
        <f>("1108200027")</f>
        <v>1108200027</v>
      </c>
    </row>
    <row r="968" spans="1:9" ht="13.5">
      <c r="A968" s="419" t="str">
        <f t="shared" si="15"/>
        <v>竹田直入ＦＣ_11</v>
      </c>
      <c r="B968" s="307" t="s">
        <v>2798</v>
      </c>
      <c r="C968" s="307" t="str">
        <f>("11")</f>
        <v>11</v>
      </c>
      <c r="D968" s="307" t="s">
        <v>859</v>
      </c>
      <c r="E968" s="307" t="s">
        <v>2819</v>
      </c>
      <c r="F968" s="307" t="s">
        <v>2820</v>
      </c>
      <c r="G968" s="307">
        <v>6</v>
      </c>
      <c r="H968" s="307" t="s">
        <v>858</v>
      </c>
      <c r="I968" s="307" t="str">
        <f>("1103160097")</f>
        <v>1103160097</v>
      </c>
    </row>
    <row r="969" spans="1:9" ht="13.5">
      <c r="A969" s="419" t="str">
        <f t="shared" si="15"/>
        <v>竹田直入ＦＣ_14</v>
      </c>
      <c r="B969" s="307" t="s">
        <v>2798</v>
      </c>
      <c r="C969" s="307" t="str">
        <f>("14")</f>
        <v>14</v>
      </c>
      <c r="D969" s="307" t="s">
        <v>862</v>
      </c>
      <c r="E969" s="307" t="s">
        <v>2821</v>
      </c>
      <c r="F969" s="307" t="s">
        <v>2822</v>
      </c>
      <c r="G969" s="307">
        <v>4</v>
      </c>
      <c r="H969" s="307" t="s">
        <v>858</v>
      </c>
      <c r="I969" s="307" t="str">
        <f>("1206130081")</f>
        <v>1206130081</v>
      </c>
    </row>
    <row r="970" spans="1:9" ht="13.5">
      <c r="A970" s="419" t="str">
        <f t="shared" si="15"/>
        <v>竹田直入ＦＣ_15</v>
      </c>
      <c r="B970" s="307" t="s">
        <v>2798</v>
      </c>
      <c r="C970" s="307" t="str">
        <f>("15")</f>
        <v>15</v>
      </c>
      <c r="D970" s="307" t="s">
        <v>862</v>
      </c>
      <c r="E970" s="307" t="s">
        <v>2823</v>
      </c>
      <c r="F970" s="307" t="s">
        <v>2824</v>
      </c>
      <c r="G970" s="307">
        <v>4</v>
      </c>
      <c r="H970" s="307" t="s">
        <v>858</v>
      </c>
      <c r="I970" s="307" t="str">
        <f>("1207170094")</f>
        <v>1207170094</v>
      </c>
    </row>
    <row r="971" spans="1:9" ht="13.5">
      <c r="A971" s="419" t="str">
        <f t="shared" si="15"/>
        <v>竹田直入ＦＣ_16</v>
      </c>
      <c r="B971" s="307" t="s">
        <v>2798</v>
      </c>
      <c r="C971" s="307" t="str">
        <f>("16")</f>
        <v>16</v>
      </c>
      <c r="D971" s="307" t="s">
        <v>884</v>
      </c>
      <c r="E971" s="307" t="s">
        <v>2825</v>
      </c>
      <c r="F971" s="307" t="s">
        <v>2826</v>
      </c>
      <c r="G971" s="307">
        <v>4</v>
      </c>
      <c r="H971" s="307" t="s">
        <v>869</v>
      </c>
      <c r="I971" s="307" t="str">
        <f>("1207310006")</f>
        <v>1207310006</v>
      </c>
    </row>
    <row r="972" spans="1:9" ht="13.5">
      <c r="A972" s="419" t="str">
        <f t="shared" si="15"/>
        <v>竹田直入ＦＣ_17</v>
      </c>
      <c r="B972" s="307" t="s">
        <v>2798</v>
      </c>
      <c r="C972" s="307" t="str">
        <f>("17")</f>
        <v>17</v>
      </c>
      <c r="D972" s="307" t="s">
        <v>884</v>
      </c>
      <c r="E972" s="307" t="s">
        <v>2827</v>
      </c>
      <c r="F972" s="307" t="s">
        <v>2828</v>
      </c>
      <c r="G972" s="307">
        <v>4</v>
      </c>
      <c r="H972" s="307" t="s">
        <v>858</v>
      </c>
      <c r="I972" s="307" t="str">
        <f>("1301230018")</f>
        <v>1301230018</v>
      </c>
    </row>
    <row r="973" spans="1:9" ht="13.5">
      <c r="A973" s="419" t="str">
        <f t="shared" si="15"/>
        <v>竹田直入ＦＣ_19</v>
      </c>
      <c r="B973" s="307" t="s">
        <v>2798</v>
      </c>
      <c r="C973" s="307" t="str">
        <f>("19")</f>
        <v>19</v>
      </c>
      <c r="D973" s="307" t="s">
        <v>884</v>
      </c>
      <c r="E973" s="307" t="s">
        <v>2829</v>
      </c>
      <c r="F973" s="307" t="s">
        <v>2830</v>
      </c>
      <c r="G973" s="307">
        <v>4</v>
      </c>
      <c r="H973" s="307" t="s">
        <v>858</v>
      </c>
      <c r="I973" s="307" t="str">
        <f>("1303300004")</f>
        <v>1303300004</v>
      </c>
    </row>
    <row r="974" spans="1:9" ht="13.5">
      <c r="A974" s="419" t="str">
        <f t="shared" si="15"/>
        <v>南立石サッカースポーツ少年団_1</v>
      </c>
      <c r="B974" s="307" t="s">
        <v>2831</v>
      </c>
      <c r="C974" s="307" t="str">
        <f>("1")</f>
        <v>1</v>
      </c>
      <c r="D974" s="307" t="s">
        <v>855</v>
      </c>
      <c r="E974" s="307" t="s">
        <v>2832</v>
      </c>
      <c r="F974" s="307" t="s">
        <v>2833</v>
      </c>
      <c r="G974" s="307">
        <v>5</v>
      </c>
      <c r="H974" s="307" t="s">
        <v>858</v>
      </c>
      <c r="I974" s="307" t="str">
        <f>("1110070103")</f>
        <v>1110070103</v>
      </c>
    </row>
    <row r="975" spans="1:10" ht="13.5">
      <c r="A975" s="419" t="str">
        <f t="shared" si="15"/>
        <v>南立石サッカースポーツ少年団_2</v>
      </c>
      <c r="B975" s="307" t="s">
        <v>2831</v>
      </c>
      <c r="C975" s="307" t="str">
        <f>("2")</f>
        <v>2</v>
      </c>
      <c r="D975" s="307" t="s">
        <v>859</v>
      </c>
      <c r="E975" s="307" t="s">
        <v>2834</v>
      </c>
      <c r="F975" s="307" t="s">
        <v>2835</v>
      </c>
      <c r="G975" s="307">
        <v>6</v>
      </c>
      <c r="H975" s="307" t="s">
        <v>858</v>
      </c>
      <c r="I975" s="307" t="str">
        <f>("1005110119")</f>
        <v>1005110119</v>
      </c>
      <c r="J975" s="307" t="s">
        <v>15</v>
      </c>
    </row>
    <row r="976" spans="1:9" ht="13.5">
      <c r="A976" s="419" t="str">
        <f t="shared" si="15"/>
        <v>南立石サッカースポーツ少年団_6</v>
      </c>
      <c r="B976" s="307" t="s">
        <v>2831</v>
      </c>
      <c r="C976" s="307" t="str">
        <f>("6")</f>
        <v>6</v>
      </c>
      <c r="D976" s="307" t="s">
        <v>862</v>
      </c>
      <c r="E976" s="307" t="s">
        <v>2836</v>
      </c>
      <c r="F976" s="307" t="s">
        <v>2837</v>
      </c>
      <c r="G976" s="307">
        <v>5</v>
      </c>
      <c r="H976" s="307" t="s">
        <v>858</v>
      </c>
      <c r="I976" s="307" t="str">
        <f>("1108170068")</f>
        <v>1108170068</v>
      </c>
    </row>
    <row r="977" spans="1:9" ht="13.5">
      <c r="A977" s="419" t="str">
        <f t="shared" si="15"/>
        <v>南立石サッカースポーツ少年団_7</v>
      </c>
      <c r="B977" s="307" t="s">
        <v>2831</v>
      </c>
      <c r="C977" s="307" t="str">
        <f>("7")</f>
        <v>7</v>
      </c>
      <c r="D977" s="307" t="s">
        <v>859</v>
      </c>
      <c r="E977" s="307" t="s">
        <v>2838</v>
      </c>
      <c r="F977" s="307" t="s">
        <v>2839</v>
      </c>
      <c r="G977" s="307">
        <v>5</v>
      </c>
      <c r="H977" s="307" t="s">
        <v>858</v>
      </c>
      <c r="I977" s="307" t="str">
        <f>("1112280055")</f>
        <v>1112280055</v>
      </c>
    </row>
    <row r="978" spans="1:9" ht="13.5">
      <c r="A978" s="419" t="str">
        <f t="shared" si="15"/>
        <v>南立石サッカースポーツ少年団_8</v>
      </c>
      <c r="B978" s="307" t="s">
        <v>2831</v>
      </c>
      <c r="C978" s="307" t="str">
        <f>("8")</f>
        <v>8</v>
      </c>
      <c r="D978" s="307" t="s">
        <v>859</v>
      </c>
      <c r="E978" s="307" t="s">
        <v>2840</v>
      </c>
      <c r="F978" s="307" t="s">
        <v>2841</v>
      </c>
      <c r="G978" s="307">
        <v>5</v>
      </c>
      <c r="H978" s="307" t="s">
        <v>869</v>
      </c>
      <c r="I978" s="307" t="str">
        <f>("1112210063")</f>
        <v>1112210063</v>
      </c>
    </row>
    <row r="979" spans="1:9" ht="13.5">
      <c r="A979" s="419" t="str">
        <f t="shared" si="15"/>
        <v>南立石サッカースポーツ少年団_9</v>
      </c>
      <c r="B979" s="307" t="s">
        <v>2831</v>
      </c>
      <c r="C979" s="307" t="str">
        <f>("9")</f>
        <v>9</v>
      </c>
      <c r="D979" s="307" t="s">
        <v>884</v>
      </c>
      <c r="E979" s="307" t="s">
        <v>2842</v>
      </c>
      <c r="F979" s="307" t="s">
        <v>2843</v>
      </c>
      <c r="G979" s="307">
        <v>5</v>
      </c>
      <c r="H979" s="307" t="s">
        <v>858</v>
      </c>
      <c r="I979" s="307" t="str">
        <f>("1108310196")</f>
        <v>1108310196</v>
      </c>
    </row>
    <row r="980" spans="1:9" ht="13.5">
      <c r="A980" s="419" t="str">
        <f t="shared" si="15"/>
        <v>南立石サッカースポーツ少年団_12</v>
      </c>
      <c r="B980" s="307" t="s">
        <v>2831</v>
      </c>
      <c r="C980" s="307" t="str">
        <f>("12")</f>
        <v>12</v>
      </c>
      <c r="D980" s="307" t="s">
        <v>862</v>
      </c>
      <c r="E980" s="307" t="s">
        <v>2844</v>
      </c>
      <c r="F980" s="307" t="s">
        <v>2845</v>
      </c>
      <c r="G980" s="307">
        <v>3</v>
      </c>
      <c r="H980" s="307" t="s">
        <v>858</v>
      </c>
      <c r="I980" s="307" t="str">
        <f>("1309190050")</f>
        <v>1309190050</v>
      </c>
    </row>
    <row r="981" spans="1:9" ht="13.5">
      <c r="A981" s="419" t="str">
        <f t="shared" si="15"/>
        <v>南立石サッカースポーツ少年団_13</v>
      </c>
      <c r="B981" s="307" t="s">
        <v>2831</v>
      </c>
      <c r="C981" s="307" t="str">
        <f>("13")</f>
        <v>13</v>
      </c>
      <c r="D981" s="307" t="s">
        <v>859</v>
      </c>
      <c r="E981" s="307" t="s">
        <v>2846</v>
      </c>
      <c r="F981" s="307" t="s">
        <v>2847</v>
      </c>
      <c r="G981" s="307">
        <v>3</v>
      </c>
      <c r="H981" s="307" t="s">
        <v>858</v>
      </c>
      <c r="I981" s="307" t="str">
        <f>("1309100020")</f>
        <v>1309100020</v>
      </c>
    </row>
    <row r="982" spans="1:9" ht="13.5">
      <c r="A982" s="419" t="str">
        <f t="shared" si="15"/>
        <v>南立石サッカースポーツ少年団_14</v>
      </c>
      <c r="B982" s="307" t="s">
        <v>2831</v>
      </c>
      <c r="C982" s="307" t="str">
        <f>("14")</f>
        <v>14</v>
      </c>
      <c r="D982" s="307" t="s">
        <v>859</v>
      </c>
      <c r="E982" s="307" t="s">
        <v>2848</v>
      </c>
      <c r="F982" s="307" t="s">
        <v>2849</v>
      </c>
      <c r="G982" s="307">
        <v>4</v>
      </c>
      <c r="H982" s="307" t="s">
        <v>858</v>
      </c>
      <c r="I982" s="307" t="str">
        <f>("1210300044")</f>
        <v>1210300044</v>
      </c>
    </row>
    <row r="983" spans="1:9" ht="13.5">
      <c r="A983" s="419" t="str">
        <f t="shared" si="15"/>
        <v>南立石サッカースポーツ少年団_15</v>
      </c>
      <c r="B983" s="307" t="s">
        <v>2831</v>
      </c>
      <c r="C983" s="307" t="str">
        <f>("15")</f>
        <v>15</v>
      </c>
      <c r="D983" s="307" t="s">
        <v>862</v>
      </c>
      <c r="E983" s="307" t="s">
        <v>2850</v>
      </c>
      <c r="F983" s="307" t="s">
        <v>2851</v>
      </c>
      <c r="G983" s="307">
        <v>4</v>
      </c>
      <c r="H983" s="307" t="s">
        <v>858</v>
      </c>
      <c r="I983" s="307" t="str">
        <f>("1210170049")</f>
        <v>1210170049</v>
      </c>
    </row>
    <row r="984" spans="1:9" ht="13.5">
      <c r="A984" s="419" t="str">
        <f t="shared" si="15"/>
        <v>南立石サッカースポーツ少年団_16</v>
      </c>
      <c r="B984" s="307" t="s">
        <v>2831</v>
      </c>
      <c r="C984" s="307" t="str">
        <f>("16")</f>
        <v>16</v>
      </c>
      <c r="D984" s="307" t="s">
        <v>859</v>
      </c>
      <c r="E984" s="307" t="s">
        <v>2852</v>
      </c>
      <c r="F984" s="307" t="s">
        <v>2853</v>
      </c>
      <c r="G984" s="307">
        <v>3</v>
      </c>
      <c r="H984" s="307" t="s">
        <v>858</v>
      </c>
      <c r="I984" s="307" t="str">
        <f>("1310280030")</f>
        <v>1310280030</v>
      </c>
    </row>
    <row r="985" spans="1:9" ht="13.5">
      <c r="A985" s="419" t="str">
        <f t="shared" si="15"/>
        <v>南立石サッカースポーツ少年団_17</v>
      </c>
      <c r="B985" s="307" t="s">
        <v>2831</v>
      </c>
      <c r="C985" s="307" t="str">
        <f>("17")</f>
        <v>17</v>
      </c>
      <c r="D985" s="307" t="s">
        <v>884</v>
      </c>
      <c r="E985" s="307" t="s">
        <v>2854</v>
      </c>
      <c r="F985" s="307" t="s">
        <v>2855</v>
      </c>
      <c r="G985" s="307">
        <v>3</v>
      </c>
      <c r="H985" s="307" t="s">
        <v>858</v>
      </c>
      <c r="I985" s="307" t="str">
        <f>("1310040018")</f>
        <v>1310040018</v>
      </c>
    </row>
    <row r="986" spans="1:9" ht="13.5">
      <c r="A986" s="419" t="str">
        <f t="shared" si="15"/>
        <v>南立石サッカースポーツ少年団_19</v>
      </c>
      <c r="B986" s="307" t="s">
        <v>2831</v>
      </c>
      <c r="C986" s="307" t="str">
        <f>("19")</f>
        <v>19</v>
      </c>
      <c r="D986" s="307" t="s">
        <v>859</v>
      </c>
      <c r="E986" s="307" t="s">
        <v>2856</v>
      </c>
      <c r="F986" s="307" t="s">
        <v>2857</v>
      </c>
      <c r="G986" s="307">
        <v>3</v>
      </c>
      <c r="H986" s="307" t="s">
        <v>858</v>
      </c>
      <c r="I986" s="307" t="str">
        <f>("1402210033")</f>
        <v>1402210033</v>
      </c>
    </row>
    <row r="987" spans="1:9" ht="13.5">
      <c r="A987" s="419" t="str">
        <f t="shared" si="15"/>
        <v>南立石サッカースポーツ少年団_21</v>
      </c>
      <c r="B987" s="307" t="s">
        <v>2831</v>
      </c>
      <c r="C987" s="307" t="str">
        <f>("21")</f>
        <v>21</v>
      </c>
      <c r="D987" s="307" t="s">
        <v>884</v>
      </c>
      <c r="E987" s="307" t="s">
        <v>2858</v>
      </c>
      <c r="F987" s="307" t="s">
        <v>2859</v>
      </c>
      <c r="G987" s="307">
        <v>3</v>
      </c>
      <c r="H987" s="307" t="s">
        <v>858</v>
      </c>
      <c r="I987" s="307" t="str">
        <f>("1312040015")</f>
        <v>1312040015</v>
      </c>
    </row>
    <row r="988" spans="1:9" ht="13.5">
      <c r="A988" s="419" t="str">
        <f t="shared" si="15"/>
        <v>南立石サッカースポーツ少年団_22</v>
      </c>
      <c r="B988" s="307" t="s">
        <v>2831</v>
      </c>
      <c r="C988" s="307" t="str">
        <f>("22")</f>
        <v>22</v>
      </c>
      <c r="D988" s="307" t="s">
        <v>862</v>
      </c>
      <c r="E988" s="307" t="s">
        <v>2860</v>
      </c>
      <c r="F988" s="307" t="s">
        <v>2861</v>
      </c>
      <c r="G988" s="307">
        <v>3</v>
      </c>
      <c r="H988" s="307" t="s">
        <v>858</v>
      </c>
      <c r="I988" s="307" t="str">
        <f>("1305210037")</f>
        <v>1305210037</v>
      </c>
    </row>
    <row r="989" spans="1:9" ht="13.5">
      <c r="A989" s="419" t="str">
        <f t="shared" si="15"/>
        <v>南立石サッカースポーツ少年団_29</v>
      </c>
      <c r="B989" s="307" t="s">
        <v>2831</v>
      </c>
      <c r="C989" s="307" t="str">
        <f>("29")</f>
        <v>29</v>
      </c>
      <c r="D989" s="307" t="s">
        <v>862</v>
      </c>
      <c r="E989" s="307" t="s">
        <v>2862</v>
      </c>
      <c r="F989" s="307" t="s">
        <v>2863</v>
      </c>
      <c r="G989" s="307">
        <v>3</v>
      </c>
      <c r="H989" s="307" t="s">
        <v>858</v>
      </c>
      <c r="I989" s="307" t="str">
        <f>("1308210042")</f>
        <v>1308210042</v>
      </c>
    </row>
    <row r="990" spans="1:9" ht="13.5">
      <c r="A990" s="419" t="str">
        <f t="shared" si="15"/>
        <v>ドリームキッズフットボールクラブ_1</v>
      </c>
      <c r="B990" s="307" t="s">
        <v>33</v>
      </c>
      <c r="C990" s="307" t="str">
        <f>("1")</f>
        <v>1</v>
      </c>
      <c r="D990" s="307" t="s">
        <v>855</v>
      </c>
      <c r="E990" s="307" t="s">
        <v>2864</v>
      </c>
      <c r="F990" s="307" t="s">
        <v>2865</v>
      </c>
      <c r="G990" s="307">
        <v>6</v>
      </c>
      <c r="H990" s="307" t="s">
        <v>858</v>
      </c>
      <c r="I990" s="307" t="str">
        <f>("1012090134")</f>
        <v>1012090134</v>
      </c>
    </row>
    <row r="991" spans="1:9" ht="13.5">
      <c r="A991" s="419" t="str">
        <f t="shared" si="15"/>
        <v>ドリームキッズフットボールクラブ_2</v>
      </c>
      <c r="B991" s="307" t="s">
        <v>33</v>
      </c>
      <c r="C991" s="307" t="str">
        <f>("2")</f>
        <v>2</v>
      </c>
      <c r="D991" s="307" t="s">
        <v>859</v>
      </c>
      <c r="E991" s="307" t="s">
        <v>2866</v>
      </c>
      <c r="F991" s="307" t="s">
        <v>2867</v>
      </c>
      <c r="G991" s="307">
        <v>6</v>
      </c>
      <c r="H991" s="307" t="s">
        <v>858</v>
      </c>
      <c r="I991" s="307" t="str">
        <f>("1101150105")</f>
        <v>1101150105</v>
      </c>
    </row>
    <row r="992" spans="1:9" ht="13.5">
      <c r="A992" s="419" t="str">
        <f t="shared" si="15"/>
        <v>ドリームキッズフットボールクラブ_3</v>
      </c>
      <c r="B992" s="307" t="s">
        <v>33</v>
      </c>
      <c r="C992" s="307" t="str">
        <f>("3")</f>
        <v>3</v>
      </c>
      <c r="D992" s="307" t="s">
        <v>862</v>
      </c>
      <c r="E992" s="307" t="s">
        <v>2868</v>
      </c>
      <c r="F992" s="307" t="s">
        <v>2869</v>
      </c>
      <c r="G992" s="307">
        <v>5</v>
      </c>
      <c r="H992" s="307" t="s">
        <v>858</v>
      </c>
      <c r="I992" s="307" t="str">
        <f>("1104220138")</f>
        <v>1104220138</v>
      </c>
    </row>
    <row r="993" spans="1:9" ht="13.5">
      <c r="A993" s="419" t="str">
        <f t="shared" si="15"/>
        <v>ドリームキッズフットボールクラブ_4</v>
      </c>
      <c r="B993" s="307" t="s">
        <v>33</v>
      </c>
      <c r="C993" s="307" t="str">
        <f>("4")</f>
        <v>4</v>
      </c>
      <c r="D993" s="307" t="s">
        <v>859</v>
      </c>
      <c r="E993" s="307" t="s">
        <v>2870</v>
      </c>
      <c r="F993" s="307" t="s">
        <v>2871</v>
      </c>
      <c r="G993" s="307">
        <v>6</v>
      </c>
      <c r="H993" s="307" t="s">
        <v>858</v>
      </c>
      <c r="I993" s="307" t="str">
        <f>("1010080156")</f>
        <v>1010080156</v>
      </c>
    </row>
    <row r="994" spans="1:9" ht="13.5">
      <c r="A994" s="419" t="str">
        <f t="shared" si="15"/>
        <v>ドリームキッズフットボールクラブ_5</v>
      </c>
      <c r="B994" s="307" t="s">
        <v>33</v>
      </c>
      <c r="C994" s="307" t="str">
        <f>("5")</f>
        <v>5</v>
      </c>
      <c r="D994" s="307" t="s">
        <v>859</v>
      </c>
      <c r="E994" s="307" t="s">
        <v>2872</v>
      </c>
      <c r="F994" s="307" t="s">
        <v>2873</v>
      </c>
      <c r="G994" s="307">
        <v>6</v>
      </c>
      <c r="H994" s="307" t="s">
        <v>858</v>
      </c>
      <c r="I994" s="307" t="str">
        <f>("1103010109")</f>
        <v>1103010109</v>
      </c>
    </row>
    <row r="995" spans="1:9" ht="13.5">
      <c r="A995" s="419" t="str">
        <f t="shared" si="15"/>
        <v>ドリームキッズフットボールクラブ_6</v>
      </c>
      <c r="B995" s="307" t="s">
        <v>33</v>
      </c>
      <c r="C995" s="307" t="str">
        <f>("6")</f>
        <v>6</v>
      </c>
      <c r="D995" s="307" t="s">
        <v>862</v>
      </c>
      <c r="E995" s="307" t="s">
        <v>2874</v>
      </c>
      <c r="F995" s="307" t="s">
        <v>2875</v>
      </c>
      <c r="G995" s="307">
        <v>5</v>
      </c>
      <c r="H995" s="307" t="s">
        <v>858</v>
      </c>
      <c r="I995" s="307" t="str">
        <f>("1106190089")</f>
        <v>1106190089</v>
      </c>
    </row>
    <row r="996" spans="1:10" ht="13.5">
      <c r="A996" s="419" t="str">
        <f t="shared" si="15"/>
        <v>ドリームキッズフットボールクラブ_7</v>
      </c>
      <c r="B996" s="307" t="s">
        <v>33</v>
      </c>
      <c r="C996" s="307" t="str">
        <f>("7")</f>
        <v>7</v>
      </c>
      <c r="D996" s="307" t="s">
        <v>859</v>
      </c>
      <c r="E996" s="307" t="s">
        <v>2876</v>
      </c>
      <c r="F996" s="307" t="s">
        <v>2877</v>
      </c>
      <c r="G996" s="307">
        <v>6</v>
      </c>
      <c r="H996" s="307" t="s">
        <v>858</v>
      </c>
      <c r="I996" s="307" t="str">
        <f>("1103290119")</f>
        <v>1103290119</v>
      </c>
      <c r="J996" s="307" t="s">
        <v>15</v>
      </c>
    </row>
    <row r="997" spans="1:9" ht="13.5">
      <c r="A997" s="419" t="str">
        <f t="shared" si="15"/>
        <v>ドリームキッズフットボールクラブ_9</v>
      </c>
      <c r="B997" s="307" t="s">
        <v>33</v>
      </c>
      <c r="C997" s="307" t="str">
        <f>("9")</f>
        <v>9</v>
      </c>
      <c r="D997" s="307" t="s">
        <v>859</v>
      </c>
      <c r="E997" s="307" t="s">
        <v>2878</v>
      </c>
      <c r="F997" s="307" t="s">
        <v>2879</v>
      </c>
      <c r="G997" s="307">
        <v>5</v>
      </c>
      <c r="H997" s="307" t="s">
        <v>858</v>
      </c>
      <c r="I997" s="307" t="str">
        <f>("1108190134")</f>
        <v>1108190134</v>
      </c>
    </row>
    <row r="998" spans="1:9" ht="13.5">
      <c r="A998" s="419" t="str">
        <f t="shared" si="15"/>
        <v>ドリームキッズフットボールクラブ_11</v>
      </c>
      <c r="B998" s="307" t="s">
        <v>33</v>
      </c>
      <c r="C998" s="307" t="str">
        <f>("11")</f>
        <v>11</v>
      </c>
      <c r="D998" s="307" t="s">
        <v>884</v>
      </c>
      <c r="E998" s="307" t="s">
        <v>2880</v>
      </c>
      <c r="F998" s="307" t="s">
        <v>2881</v>
      </c>
      <c r="G998" s="307">
        <v>5</v>
      </c>
      <c r="H998" s="307" t="s">
        <v>858</v>
      </c>
      <c r="I998" s="307" t="str">
        <f>("1106290150")</f>
        <v>1106290150</v>
      </c>
    </row>
    <row r="999" spans="1:9" ht="13.5">
      <c r="A999" s="419" t="str">
        <f t="shared" si="15"/>
        <v>ドリームキッズフットボールクラブ_12</v>
      </c>
      <c r="B999" s="307" t="s">
        <v>33</v>
      </c>
      <c r="C999" s="307" t="str">
        <f>("12")</f>
        <v>12</v>
      </c>
      <c r="D999" s="307" t="s">
        <v>862</v>
      </c>
      <c r="E999" s="307" t="s">
        <v>2882</v>
      </c>
      <c r="F999" s="307" t="s">
        <v>2883</v>
      </c>
      <c r="G999" s="307">
        <v>5</v>
      </c>
      <c r="H999" s="307" t="s">
        <v>858</v>
      </c>
      <c r="I999" s="307" t="str">
        <f>("1111080111")</f>
        <v>1111080111</v>
      </c>
    </row>
    <row r="1000" spans="1:9" ht="13.5">
      <c r="A1000" s="419" t="str">
        <f t="shared" si="15"/>
        <v>ドリームキッズフットボールクラブ_13</v>
      </c>
      <c r="B1000" s="307" t="s">
        <v>33</v>
      </c>
      <c r="C1000" s="307" t="str">
        <f>("13")</f>
        <v>13</v>
      </c>
      <c r="D1000" s="307" t="s">
        <v>884</v>
      </c>
      <c r="E1000" s="307" t="s">
        <v>2884</v>
      </c>
      <c r="F1000" s="307" t="s">
        <v>2885</v>
      </c>
      <c r="G1000" s="307">
        <v>5</v>
      </c>
      <c r="H1000" s="307" t="s">
        <v>858</v>
      </c>
      <c r="I1000" s="307" t="str">
        <f>("1104060144")</f>
        <v>1104060144</v>
      </c>
    </row>
    <row r="1001" spans="1:9" ht="13.5">
      <c r="A1001" s="419" t="str">
        <f t="shared" si="15"/>
        <v>ドリームキッズフットボールクラブ_14</v>
      </c>
      <c r="B1001" s="307" t="s">
        <v>33</v>
      </c>
      <c r="C1001" s="307" t="str">
        <f>("14")</f>
        <v>14</v>
      </c>
      <c r="D1001" s="307" t="s">
        <v>859</v>
      </c>
      <c r="E1001" s="307" t="s">
        <v>2886</v>
      </c>
      <c r="F1001" s="307" t="s">
        <v>2887</v>
      </c>
      <c r="G1001" s="307">
        <v>6</v>
      </c>
      <c r="H1001" s="307" t="s">
        <v>858</v>
      </c>
      <c r="I1001" s="307" t="str">
        <f>("1011210099")</f>
        <v>1011210099</v>
      </c>
    </row>
    <row r="1002" spans="1:9" ht="13.5">
      <c r="A1002" s="419" t="str">
        <f t="shared" si="15"/>
        <v>ドリームキッズフットボールクラブ_15</v>
      </c>
      <c r="B1002" s="307" t="s">
        <v>33</v>
      </c>
      <c r="C1002" s="307" t="str">
        <f>("15")</f>
        <v>15</v>
      </c>
      <c r="D1002" s="307" t="s">
        <v>859</v>
      </c>
      <c r="E1002" s="307" t="s">
        <v>2888</v>
      </c>
      <c r="F1002" s="307" t="s">
        <v>2889</v>
      </c>
      <c r="G1002" s="307">
        <v>5</v>
      </c>
      <c r="H1002" s="307" t="s">
        <v>858</v>
      </c>
      <c r="I1002" s="307" t="str">
        <f>("1108140093")</f>
        <v>1108140093</v>
      </c>
    </row>
    <row r="1003" spans="1:9" ht="13.5">
      <c r="A1003" s="419" t="str">
        <f t="shared" si="15"/>
        <v>ドリームキッズフットボールクラブ_16</v>
      </c>
      <c r="B1003" s="307" t="s">
        <v>33</v>
      </c>
      <c r="C1003" s="307" t="str">
        <f>("16")</f>
        <v>16</v>
      </c>
      <c r="D1003" s="307" t="s">
        <v>855</v>
      </c>
      <c r="E1003" s="307" t="s">
        <v>2890</v>
      </c>
      <c r="F1003" s="307" t="s">
        <v>2891</v>
      </c>
      <c r="G1003" s="307">
        <v>5</v>
      </c>
      <c r="H1003" s="307" t="s">
        <v>858</v>
      </c>
      <c r="I1003" s="307" t="str">
        <f>("1110150037")</f>
        <v>1110150037</v>
      </c>
    </row>
    <row r="1004" spans="1:9" ht="13.5">
      <c r="A1004" s="419" t="str">
        <f t="shared" si="15"/>
        <v>ドリームキッズフットボールクラブ_17</v>
      </c>
      <c r="B1004" s="307" t="s">
        <v>33</v>
      </c>
      <c r="C1004" s="307" t="str">
        <f>("17")</f>
        <v>17</v>
      </c>
      <c r="D1004" s="307" t="s">
        <v>859</v>
      </c>
      <c r="E1004" s="307" t="s">
        <v>2892</v>
      </c>
      <c r="F1004" s="307" t="s">
        <v>2893</v>
      </c>
      <c r="G1004" s="307">
        <v>5</v>
      </c>
      <c r="H1004" s="307" t="s">
        <v>858</v>
      </c>
      <c r="I1004" s="307" t="str">
        <f>("1105310151")</f>
        <v>1105310151</v>
      </c>
    </row>
    <row r="1005" spans="1:9" ht="13.5">
      <c r="A1005" s="419" t="str">
        <f t="shared" si="15"/>
        <v>ドリームキッズフットボールクラブ_18</v>
      </c>
      <c r="B1005" s="307" t="s">
        <v>33</v>
      </c>
      <c r="C1005" s="307" t="str">
        <f>("18")</f>
        <v>18</v>
      </c>
      <c r="D1005" s="307" t="s">
        <v>859</v>
      </c>
      <c r="E1005" s="307" t="s">
        <v>2894</v>
      </c>
      <c r="F1005" s="307" t="s">
        <v>2895</v>
      </c>
      <c r="G1005" s="307">
        <v>6</v>
      </c>
      <c r="H1005" s="307" t="s">
        <v>858</v>
      </c>
      <c r="I1005" s="307" t="str">
        <f>("1005120180")</f>
        <v>1005120180</v>
      </c>
    </row>
    <row r="1006" spans="1:9" ht="13.5">
      <c r="A1006" s="419" t="str">
        <f t="shared" si="15"/>
        <v>東陽フットボールクラブ_1</v>
      </c>
      <c r="B1006" s="307" t="s">
        <v>267</v>
      </c>
      <c r="C1006" s="307" t="str">
        <f>("1")</f>
        <v>1</v>
      </c>
      <c r="D1006" s="307" t="s">
        <v>855</v>
      </c>
      <c r="E1006" s="307" t="s">
        <v>2896</v>
      </c>
      <c r="F1006" s="307" t="s">
        <v>2897</v>
      </c>
      <c r="G1006" s="307">
        <v>6</v>
      </c>
      <c r="H1006" s="307" t="s">
        <v>858</v>
      </c>
      <c r="I1006" s="307" t="str">
        <f>("1010070173")</f>
        <v>1010070173</v>
      </c>
    </row>
    <row r="1007" spans="1:9" ht="13.5">
      <c r="A1007" s="419" t="str">
        <f t="shared" si="15"/>
        <v>東陽フットボールクラブ_3</v>
      </c>
      <c r="B1007" s="307" t="s">
        <v>267</v>
      </c>
      <c r="C1007" s="307" t="str">
        <f>("3")</f>
        <v>3</v>
      </c>
      <c r="D1007" s="307" t="s">
        <v>859</v>
      </c>
      <c r="E1007" s="307" t="s">
        <v>2898</v>
      </c>
      <c r="F1007" s="307" t="s">
        <v>2899</v>
      </c>
      <c r="G1007" s="307">
        <v>6</v>
      </c>
      <c r="H1007" s="307" t="s">
        <v>858</v>
      </c>
      <c r="I1007" s="307" t="str">
        <f>("1011080173")</f>
        <v>1011080173</v>
      </c>
    </row>
    <row r="1008" spans="1:9" ht="13.5">
      <c r="A1008" s="419" t="str">
        <f t="shared" si="15"/>
        <v>東陽フットボールクラブ_4</v>
      </c>
      <c r="B1008" s="307" t="s">
        <v>267</v>
      </c>
      <c r="C1008" s="307" t="str">
        <f>("4")</f>
        <v>4</v>
      </c>
      <c r="D1008" s="307" t="s">
        <v>859</v>
      </c>
      <c r="E1008" s="307" t="s">
        <v>2900</v>
      </c>
      <c r="F1008" s="307" t="s">
        <v>2901</v>
      </c>
      <c r="G1008" s="307">
        <v>6</v>
      </c>
      <c r="H1008" s="307" t="s">
        <v>858</v>
      </c>
      <c r="I1008" s="307" t="str">
        <f>("1102100146")</f>
        <v>1102100146</v>
      </c>
    </row>
    <row r="1009" spans="1:9" ht="13.5">
      <c r="A1009" s="419" t="str">
        <f t="shared" si="15"/>
        <v>東陽フットボールクラブ_5</v>
      </c>
      <c r="B1009" s="307" t="s">
        <v>267</v>
      </c>
      <c r="C1009" s="307" t="str">
        <f>("5")</f>
        <v>5</v>
      </c>
      <c r="D1009" s="307" t="s">
        <v>859</v>
      </c>
      <c r="E1009" s="307" t="s">
        <v>2902</v>
      </c>
      <c r="F1009" s="307" t="s">
        <v>2903</v>
      </c>
      <c r="G1009" s="307">
        <v>6</v>
      </c>
      <c r="H1009" s="307" t="s">
        <v>858</v>
      </c>
      <c r="I1009" s="307" t="str">
        <f>("1011040175")</f>
        <v>1011040175</v>
      </c>
    </row>
    <row r="1010" spans="1:9" ht="13.5">
      <c r="A1010" s="419" t="str">
        <f t="shared" si="15"/>
        <v>東陽フットボールクラブ_6</v>
      </c>
      <c r="B1010" s="307" t="s">
        <v>267</v>
      </c>
      <c r="C1010" s="307" t="str">
        <f>("6")</f>
        <v>6</v>
      </c>
      <c r="D1010" s="307" t="s">
        <v>859</v>
      </c>
      <c r="E1010" s="307" t="s">
        <v>2904</v>
      </c>
      <c r="F1010" s="307" t="s">
        <v>2905</v>
      </c>
      <c r="G1010" s="307">
        <v>6</v>
      </c>
      <c r="H1010" s="307" t="s">
        <v>869</v>
      </c>
      <c r="I1010" s="307" t="str">
        <f>("1011060141")</f>
        <v>1011060141</v>
      </c>
    </row>
    <row r="1011" spans="1:9" ht="13.5">
      <c r="A1011" s="419" t="str">
        <f t="shared" si="15"/>
        <v>東陽フットボールクラブ_7</v>
      </c>
      <c r="B1011" s="307" t="s">
        <v>267</v>
      </c>
      <c r="C1011" s="307" t="str">
        <f>("7")</f>
        <v>7</v>
      </c>
      <c r="D1011" s="307" t="s">
        <v>862</v>
      </c>
      <c r="E1011" s="307" t="s">
        <v>2906</v>
      </c>
      <c r="F1011" s="307" t="s">
        <v>2907</v>
      </c>
      <c r="G1011" s="307">
        <v>5</v>
      </c>
      <c r="H1011" s="307" t="s">
        <v>858</v>
      </c>
      <c r="I1011" s="307" t="str">
        <f>("1108090125")</f>
        <v>1108090125</v>
      </c>
    </row>
    <row r="1012" spans="1:9" ht="13.5">
      <c r="A1012" s="419" t="str">
        <f t="shared" si="15"/>
        <v>東陽フットボールクラブ_8</v>
      </c>
      <c r="B1012" s="307" t="s">
        <v>267</v>
      </c>
      <c r="C1012" s="307" t="str">
        <f>("8")</f>
        <v>8</v>
      </c>
      <c r="D1012" s="307" t="s">
        <v>862</v>
      </c>
      <c r="E1012" s="307" t="s">
        <v>2908</v>
      </c>
      <c r="F1012" s="307" t="s">
        <v>2909</v>
      </c>
      <c r="G1012" s="307">
        <v>6</v>
      </c>
      <c r="H1012" s="307" t="s">
        <v>858</v>
      </c>
      <c r="I1012" s="307" t="str">
        <f>("1006210180")</f>
        <v>1006210180</v>
      </c>
    </row>
    <row r="1013" spans="1:9" ht="13.5">
      <c r="A1013" s="419" t="str">
        <f t="shared" si="15"/>
        <v>東陽フットボールクラブ_9</v>
      </c>
      <c r="B1013" s="307" t="s">
        <v>267</v>
      </c>
      <c r="C1013" s="307" t="str">
        <f>("9")</f>
        <v>9</v>
      </c>
      <c r="D1013" s="307" t="s">
        <v>884</v>
      </c>
      <c r="E1013" s="307" t="s">
        <v>2910</v>
      </c>
      <c r="F1013" s="307" t="s">
        <v>2911</v>
      </c>
      <c r="G1013" s="307">
        <v>6</v>
      </c>
      <c r="H1013" s="307" t="s">
        <v>858</v>
      </c>
      <c r="I1013" s="307" t="str">
        <f>("1006300142")</f>
        <v>1006300142</v>
      </c>
    </row>
    <row r="1014" spans="1:10" ht="13.5">
      <c r="A1014" s="419" t="str">
        <f t="shared" si="15"/>
        <v>東陽フットボールクラブ_10</v>
      </c>
      <c r="B1014" s="307" t="s">
        <v>267</v>
      </c>
      <c r="C1014" s="307" t="str">
        <f>("10")</f>
        <v>10</v>
      </c>
      <c r="D1014" s="307" t="s">
        <v>862</v>
      </c>
      <c r="E1014" s="307" t="s">
        <v>2912</v>
      </c>
      <c r="F1014" s="307" t="s">
        <v>2913</v>
      </c>
      <c r="G1014" s="307">
        <v>6</v>
      </c>
      <c r="H1014" s="307" t="s">
        <v>858</v>
      </c>
      <c r="I1014" s="307" t="str">
        <f>("1008180122")</f>
        <v>1008180122</v>
      </c>
      <c r="J1014" s="307" t="s">
        <v>15</v>
      </c>
    </row>
    <row r="1015" spans="1:9" ht="13.5">
      <c r="A1015" s="419" t="str">
        <f t="shared" si="15"/>
        <v>東陽フットボールクラブ_11</v>
      </c>
      <c r="B1015" s="307" t="s">
        <v>267</v>
      </c>
      <c r="C1015" s="307" t="str">
        <f>("11")</f>
        <v>11</v>
      </c>
      <c r="D1015" s="307" t="s">
        <v>862</v>
      </c>
      <c r="E1015" s="307" t="s">
        <v>2914</v>
      </c>
      <c r="F1015" s="307" t="s">
        <v>2915</v>
      </c>
      <c r="G1015" s="307">
        <v>6</v>
      </c>
      <c r="H1015" s="307" t="s">
        <v>858</v>
      </c>
      <c r="I1015" s="307" t="str">
        <f>("1006210181")</f>
        <v>1006210181</v>
      </c>
    </row>
    <row r="1016" spans="1:9" ht="13.5">
      <c r="A1016" s="419" t="str">
        <f t="shared" si="15"/>
        <v>東陽フットボールクラブ_12</v>
      </c>
      <c r="B1016" s="307" t="s">
        <v>267</v>
      </c>
      <c r="C1016" s="307" t="str">
        <f>("12")</f>
        <v>12</v>
      </c>
      <c r="D1016" s="307" t="s">
        <v>859</v>
      </c>
      <c r="E1016" s="307" t="s">
        <v>2916</v>
      </c>
      <c r="F1016" s="307" t="s">
        <v>2917</v>
      </c>
      <c r="G1016" s="307">
        <v>5</v>
      </c>
      <c r="H1016" s="307" t="s">
        <v>858</v>
      </c>
      <c r="I1016" s="307" t="str">
        <f>("1106230117")</f>
        <v>1106230117</v>
      </c>
    </row>
    <row r="1017" spans="1:9" ht="13.5">
      <c r="A1017" s="419" t="str">
        <f t="shared" si="15"/>
        <v>東陽フットボールクラブ_13</v>
      </c>
      <c r="B1017" s="307" t="s">
        <v>267</v>
      </c>
      <c r="C1017" s="307" t="str">
        <f>("13")</f>
        <v>13</v>
      </c>
      <c r="D1017" s="307" t="s">
        <v>862</v>
      </c>
      <c r="E1017" s="307" t="s">
        <v>2918</v>
      </c>
      <c r="F1017" s="307" t="s">
        <v>2919</v>
      </c>
      <c r="G1017" s="307">
        <v>3</v>
      </c>
      <c r="H1017" s="307" t="s">
        <v>858</v>
      </c>
      <c r="I1017" s="307" t="str">
        <f>("1305030032")</f>
        <v>1305030032</v>
      </c>
    </row>
    <row r="1018" spans="1:9" ht="13.5">
      <c r="A1018" s="419" t="str">
        <f t="shared" si="15"/>
        <v>東陽フットボールクラブ_14</v>
      </c>
      <c r="B1018" s="307" t="s">
        <v>267</v>
      </c>
      <c r="C1018" s="307" t="str">
        <f>("14")</f>
        <v>14</v>
      </c>
      <c r="D1018" s="307" t="s">
        <v>884</v>
      </c>
      <c r="E1018" s="307" t="s">
        <v>2920</v>
      </c>
      <c r="F1018" s="307" t="s">
        <v>2921</v>
      </c>
      <c r="G1018" s="307">
        <v>3</v>
      </c>
      <c r="H1018" s="307" t="s">
        <v>858</v>
      </c>
      <c r="I1018" s="307" t="str">
        <f>("1310310034")</f>
        <v>1310310034</v>
      </c>
    </row>
    <row r="1019" spans="1:9" ht="13.5">
      <c r="A1019" s="419" t="str">
        <f t="shared" si="15"/>
        <v>東陽フットボールクラブ_15</v>
      </c>
      <c r="B1019" s="307" t="s">
        <v>267</v>
      </c>
      <c r="C1019" s="307" t="str">
        <f>("15")</f>
        <v>15</v>
      </c>
      <c r="D1019" s="307" t="s">
        <v>855</v>
      </c>
      <c r="E1019" s="307" t="s">
        <v>2922</v>
      </c>
      <c r="F1019" s="307" t="s">
        <v>2923</v>
      </c>
      <c r="G1019" s="307">
        <v>3</v>
      </c>
      <c r="H1019" s="307" t="s">
        <v>858</v>
      </c>
      <c r="I1019" s="307" t="str">
        <f>("1304060022")</f>
        <v>1304060022</v>
      </c>
    </row>
    <row r="1020" spans="1:9" ht="13.5">
      <c r="A1020" s="419" t="str">
        <f t="shared" si="15"/>
        <v>東陽フットボールクラブ_16</v>
      </c>
      <c r="B1020" s="307" t="s">
        <v>267</v>
      </c>
      <c r="C1020" s="307" t="str">
        <f>("16")</f>
        <v>16</v>
      </c>
      <c r="D1020" s="307" t="s">
        <v>859</v>
      </c>
      <c r="E1020" s="307" t="s">
        <v>2924</v>
      </c>
      <c r="F1020" s="307" t="s">
        <v>2925</v>
      </c>
      <c r="G1020" s="307">
        <v>3</v>
      </c>
      <c r="H1020" s="307" t="s">
        <v>858</v>
      </c>
      <c r="I1020" s="307" t="str">
        <f>("1403250018")</f>
        <v>1403250018</v>
      </c>
    </row>
    <row r="1021" spans="1:9" ht="13.5">
      <c r="A1021" s="419" t="str">
        <f t="shared" si="15"/>
        <v>東陽フットボールクラブ_17</v>
      </c>
      <c r="B1021" s="307" t="s">
        <v>267</v>
      </c>
      <c r="C1021" s="307" t="str">
        <f>("17")</f>
        <v>17</v>
      </c>
      <c r="D1021" s="307" t="s">
        <v>859</v>
      </c>
      <c r="E1021" s="307" t="s">
        <v>2926</v>
      </c>
      <c r="F1021" s="307" t="s">
        <v>2927</v>
      </c>
      <c r="G1021" s="307">
        <v>3</v>
      </c>
      <c r="H1021" s="307" t="s">
        <v>858</v>
      </c>
      <c r="I1021" s="307" t="str">
        <f>("1311210035")</f>
        <v>1311210035</v>
      </c>
    </row>
    <row r="1022" spans="1:9" ht="13.5">
      <c r="A1022" s="419" t="str">
        <f t="shared" si="15"/>
        <v>ＯＫＹ山香サッカークラブ_1</v>
      </c>
      <c r="B1022" s="307" t="s">
        <v>25</v>
      </c>
      <c r="C1022" s="307" t="str">
        <f>("1")</f>
        <v>1</v>
      </c>
      <c r="D1022" s="307" t="s">
        <v>855</v>
      </c>
      <c r="E1022" s="307" t="s">
        <v>2928</v>
      </c>
      <c r="F1022" s="307" t="s">
        <v>2929</v>
      </c>
      <c r="G1022" s="307">
        <v>5</v>
      </c>
      <c r="H1022" s="307" t="s">
        <v>858</v>
      </c>
      <c r="I1022" s="307" t="str">
        <f>("1110190078")</f>
        <v>1110190078</v>
      </c>
    </row>
    <row r="1023" spans="1:9" ht="13.5">
      <c r="A1023" s="419" t="str">
        <f t="shared" si="15"/>
        <v>ＯＫＹ山香サッカークラブ_2</v>
      </c>
      <c r="B1023" s="307" t="s">
        <v>25</v>
      </c>
      <c r="C1023" s="307" t="str">
        <f>("2")</f>
        <v>2</v>
      </c>
      <c r="D1023" s="307" t="s">
        <v>859</v>
      </c>
      <c r="E1023" s="307" t="s">
        <v>2930</v>
      </c>
      <c r="F1023" s="307" t="s">
        <v>2931</v>
      </c>
      <c r="G1023" s="307">
        <v>6</v>
      </c>
      <c r="H1023" s="307" t="s">
        <v>869</v>
      </c>
      <c r="I1023" s="307" t="str">
        <f>("1007060108")</f>
        <v>1007060108</v>
      </c>
    </row>
    <row r="1024" spans="1:9" ht="13.5">
      <c r="A1024" s="419" t="str">
        <f t="shared" si="15"/>
        <v>ＯＫＹ山香サッカークラブ_3</v>
      </c>
      <c r="B1024" s="307" t="s">
        <v>25</v>
      </c>
      <c r="C1024" s="307" t="str">
        <f>("3")</f>
        <v>3</v>
      </c>
      <c r="D1024" s="307" t="s">
        <v>859</v>
      </c>
      <c r="E1024" s="307" t="s">
        <v>2932</v>
      </c>
      <c r="F1024" s="307" t="s">
        <v>2933</v>
      </c>
      <c r="G1024" s="307">
        <v>6</v>
      </c>
      <c r="H1024" s="307" t="s">
        <v>869</v>
      </c>
      <c r="I1024" s="307" t="str">
        <f>("1007160132")</f>
        <v>1007160132</v>
      </c>
    </row>
    <row r="1025" spans="1:9" ht="13.5">
      <c r="A1025" s="419" t="str">
        <f aca="true" t="shared" si="16" ref="A1025:A1088">CONCATENATE(B1025,"_",C1025)</f>
        <v>ＯＫＹ山香サッカークラブ_4</v>
      </c>
      <c r="B1025" s="307" t="s">
        <v>25</v>
      </c>
      <c r="C1025" s="307" t="str">
        <f>("4")</f>
        <v>4</v>
      </c>
      <c r="D1025" s="307" t="s">
        <v>862</v>
      </c>
      <c r="E1025" s="307" t="s">
        <v>2934</v>
      </c>
      <c r="F1025" s="307" t="s">
        <v>2935</v>
      </c>
      <c r="G1025" s="307">
        <v>6</v>
      </c>
      <c r="H1025" s="307" t="s">
        <v>869</v>
      </c>
      <c r="I1025" s="307" t="str">
        <f>("1005180087")</f>
        <v>1005180087</v>
      </c>
    </row>
    <row r="1026" spans="1:9" ht="13.5">
      <c r="A1026" s="419" t="str">
        <f t="shared" si="16"/>
        <v>ＯＫＹ山香サッカークラブ_5</v>
      </c>
      <c r="B1026" s="307" t="s">
        <v>25</v>
      </c>
      <c r="C1026" s="307" t="str">
        <f>("5")</f>
        <v>5</v>
      </c>
      <c r="D1026" s="307" t="s">
        <v>862</v>
      </c>
      <c r="E1026" s="307" t="s">
        <v>2936</v>
      </c>
      <c r="F1026" s="307" t="s">
        <v>2937</v>
      </c>
      <c r="G1026" s="307">
        <v>5</v>
      </c>
      <c r="H1026" s="307" t="s">
        <v>858</v>
      </c>
      <c r="I1026" s="307" t="str">
        <f>("1110220059")</f>
        <v>1110220059</v>
      </c>
    </row>
    <row r="1027" spans="1:9" ht="13.5">
      <c r="A1027" s="419" t="str">
        <f t="shared" si="16"/>
        <v>ＯＫＹ山香サッカークラブ_6</v>
      </c>
      <c r="B1027" s="307" t="s">
        <v>25</v>
      </c>
      <c r="C1027" s="307" t="str">
        <f>("6")</f>
        <v>6</v>
      </c>
      <c r="D1027" s="307" t="s">
        <v>859</v>
      </c>
      <c r="E1027" s="307" t="s">
        <v>2938</v>
      </c>
      <c r="F1027" s="307" t="s">
        <v>2939</v>
      </c>
      <c r="G1027" s="307">
        <v>5</v>
      </c>
      <c r="H1027" s="307" t="s">
        <v>858</v>
      </c>
      <c r="I1027" s="307" t="str">
        <f>("1107140100")</f>
        <v>1107140100</v>
      </c>
    </row>
    <row r="1028" spans="1:9" ht="13.5">
      <c r="A1028" s="419" t="str">
        <f t="shared" si="16"/>
        <v>ＯＫＹ山香サッカークラブ_7</v>
      </c>
      <c r="B1028" s="307" t="s">
        <v>25</v>
      </c>
      <c r="C1028" s="307" t="str">
        <f>("7")</f>
        <v>7</v>
      </c>
      <c r="D1028" s="307" t="s">
        <v>862</v>
      </c>
      <c r="E1028" s="307" t="s">
        <v>2940</v>
      </c>
      <c r="F1028" s="307" t="s">
        <v>2941</v>
      </c>
      <c r="G1028" s="307">
        <v>5</v>
      </c>
      <c r="H1028" s="307" t="s">
        <v>858</v>
      </c>
      <c r="I1028" s="307" t="str">
        <f>("1201280078")</f>
        <v>1201280078</v>
      </c>
    </row>
    <row r="1029" spans="1:9" ht="13.5">
      <c r="A1029" s="419" t="str">
        <f t="shared" si="16"/>
        <v>ＯＫＹ山香サッカークラブ_8</v>
      </c>
      <c r="B1029" s="307" t="s">
        <v>25</v>
      </c>
      <c r="C1029" s="307" t="str">
        <f>("8")</f>
        <v>8</v>
      </c>
      <c r="D1029" s="307" t="s">
        <v>859</v>
      </c>
      <c r="E1029" s="307" t="s">
        <v>2942</v>
      </c>
      <c r="F1029" s="307" t="s">
        <v>2943</v>
      </c>
      <c r="G1029" s="307">
        <v>4</v>
      </c>
      <c r="H1029" s="307" t="s">
        <v>858</v>
      </c>
      <c r="I1029" s="307" t="str">
        <f>("1209190066")</f>
        <v>1209190066</v>
      </c>
    </row>
    <row r="1030" spans="1:9" ht="13.5">
      <c r="A1030" s="419" t="str">
        <f t="shared" si="16"/>
        <v>ＯＫＹ山香サッカークラブ_9</v>
      </c>
      <c r="B1030" s="307" t="s">
        <v>25</v>
      </c>
      <c r="C1030" s="307" t="str">
        <f>("9")</f>
        <v>9</v>
      </c>
      <c r="D1030" s="307" t="s">
        <v>884</v>
      </c>
      <c r="E1030" s="307" t="s">
        <v>2944</v>
      </c>
      <c r="F1030" s="307" t="s">
        <v>2945</v>
      </c>
      <c r="G1030" s="307">
        <v>4</v>
      </c>
      <c r="H1030" s="307" t="s">
        <v>858</v>
      </c>
      <c r="I1030" s="307" t="str">
        <f>("1206150081")</f>
        <v>1206150081</v>
      </c>
    </row>
    <row r="1031" spans="1:10" ht="13.5">
      <c r="A1031" s="419" t="str">
        <f t="shared" si="16"/>
        <v>ＯＫＹ山香サッカークラブ_10</v>
      </c>
      <c r="B1031" s="307" t="s">
        <v>25</v>
      </c>
      <c r="C1031" s="307" t="str">
        <f>("10")</f>
        <v>10</v>
      </c>
      <c r="D1031" s="307" t="s">
        <v>862</v>
      </c>
      <c r="E1031" s="307" t="s">
        <v>2946</v>
      </c>
      <c r="F1031" s="307" t="s">
        <v>2947</v>
      </c>
      <c r="G1031" s="307">
        <v>6</v>
      </c>
      <c r="H1031" s="307" t="s">
        <v>858</v>
      </c>
      <c r="I1031" s="307" t="str">
        <f>("1011280050")</f>
        <v>1011280050</v>
      </c>
      <c r="J1031" s="307" t="s">
        <v>15</v>
      </c>
    </row>
    <row r="1032" spans="1:9" ht="13.5">
      <c r="A1032" s="419" t="str">
        <f t="shared" si="16"/>
        <v>ＯＫＹ山香サッカークラブ_11</v>
      </c>
      <c r="B1032" s="307" t="s">
        <v>25</v>
      </c>
      <c r="C1032" s="307" t="str">
        <f>("11")</f>
        <v>11</v>
      </c>
      <c r="D1032" s="307" t="s">
        <v>884</v>
      </c>
      <c r="E1032" s="307" t="s">
        <v>2948</v>
      </c>
      <c r="F1032" s="307" t="s">
        <v>2949</v>
      </c>
      <c r="G1032" s="307">
        <v>4</v>
      </c>
      <c r="H1032" s="307" t="s">
        <v>858</v>
      </c>
      <c r="I1032" s="307" t="str">
        <f>("1204120067")</f>
        <v>1204120067</v>
      </c>
    </row>
    <row r="1033" spans="1:9" ht="13.5">
      <c r="A1033" s="419" t="str">
        <f t="shared" si="16"/>
        <v>ＯＫＹ山香サッカークラブ_12</v>
      </c>
      <c r="B1033" s="307" t="s">
        <v>25</v>
      </c>
      <c r="C1033" s="307" t="str">
        <f>("12")</f>
        <v>12</v>
      </c>
      <c r="D1033" s="307" t="s">
        <v>862</v>
      </c>
      <c r="E1033" s="307" t="s">
        <v>2950</v>
      </c>
      <c r="F1033" s="307" t="s">
        <v>2951</v>
      </c>
      <c r="G1033" s="307">
        <v>4</v>
      </c>
      <c r="H1033" s="307" t="s">
        <v>858</v>
      </c>
      <c r="I1033" s="307" t="str">
        <f>("1210130049")</f>
        <v>1210130049</v>
      </c>
    </row>
    <row r="1034" spans="1:9" ht="13.5">
      <c r="A1034" s="419" t="str">
        <f t="shared" si="16"/>
        <v>ＯＫＹ山香サッカークラブ_13</v>
      </c>
      <c r="B1034" s="307" t="s">
        <v>25</v>
      </c>
      <c r="C1034" s="307" t="str">
        <f>("13")</f>
        <v>13</v>
      </c>
      <c r="D1034" s="307" t="s">
        <v>862</v>
      </c>
      <c r="E1034" s="307" t="s">
        <v>2952</v>
      </c>
      <c r="F1034" s="307" t="s">
        <v>2953</v>
      </c>
      <c r="G1034" s="307">
        <v>4</v>
      </c>
      <c r="H1034" s="307" t="s">
        <v>858</v>
      </c>
      <c r="I1034" s="307" t="str">
        <f>("1212020058")</f>
        <v>1212020058</v>
      </c>
    </row>
    <row r="1035" spans="1:9" ht="13.5">
      <c r="A1035" s="419" t="str">
        <f t="shared" si="16"/>
        <v>ＯＫＹ山香サッカークラブ_14</v>
      </c>
      <c r="B1035" s="307" t="s">
        <v>25</v>
      </c>
      <c r="C1035" s="307" t="str">
        <f>("14")</f>
        <v>14</v>
      </c>
      <c r="D1035" s="307" t="s">
        <v>884</v>
      </c>
      <c r="E1035" s="307" t="s">
        <v>2954</v>
      </c>
      <c r="F1035" s="307" t="s">
        <v>2955</v>
      </c>
      <c r="G1035" s="307">
        <v>4</v>
      </c>
      <c r="H1035" s="307" t="s">
        <v>858</v>
      </c>
      <c r="I1035" s="307" t="str">
        <f>("1302020047")</f>
        <v>1302020047</v>
      </c>
    </row>
    <row r="1036" spans="1:9" ht="13.5">
      <c r="A1036" s="419" t="str">
        <f t="shared" si="16"/>
        <v>ＯＫＹ山香サッカークラブ_15</v>
      </c>
      <c r="B1036" s="307" t="s">
        <v>25</v>
      </c>
      <c r="C1036" s="307" t="str">
        <f>("15")</f>
        <v>15</v>
      </c>
      <c r="D1036" s="307" t="s">
        <v>862</v>
      </c>
      <c r="E1036" s="307" t="s">
        <v>2956</v>
      </c>
      <c r="F1036" s="307" t="s">
        <v>2957</v>
      </c>
      <c r="G1036" s="307">
        <v>4</v>
      </c>
      <c r="H1036" s="307" t="s">
        <v>858</v>
      </c>
      <c r="I1036" s="307" t="str">
        <f>("1303140054")</f>
        <v>1303140054</v>
      </c>
    </row>
    <row r="1037" spans="1:9" ht="13.5">
      <c r="A1037" s="419" t="str">
        <f t="shared" si="16"/>
        <v>ＯＫＹ山香サッカークラブ_16</v>
      </c>
      <c r="B1037" s="307" t="s">
        <v>25</v>
      </c>
      <c r="C1037" s="307" t="str">
        <f>("16")</f>
        <v>16</v>
      </c>
      <c r="D1037" s="307" t="s">
        <v>855</v>
      </c>
      <c r="E1037" s="307" t="s">
        <v>2958</v>
      </c>
      <c r="F1037" s="307" t="s">
        <v>2959</v>
      </c>
      <c r="G1037" s="307">
        <v>5</v>
      </c>
      <c r="H1037" s="307" t="s">
        <v>858</v>
      </c>
      <c r="I1037" s="307" t="str">
        <f>("1108210075")</f>
        <v>1108210075</v>
      </c>
    </row>
    <row r="1038" spans="1:9" ht="13.5">
      <c r="A1038" s="419" t="str">
        <f t="shared" si="16"/>
        <v>臼杵ＳＳＳ_1</v>
      </c>
      <c r="B1038" s="307" t="s">
        <v>2960</v>
      </c>
      <c r="C1038" s="307" t="str">
        <f>("1")</f>
        <v>1</v>
      </c>
      <c r="D1038" s="307" t="s">
        <v>855</v>
      </c>
      <c r="E1038" s="307" t="s">
        <v>2961</v>
      </c>
      <c r="F1038" s="307" t="s">
        <v>2962</v>
      </c>
      <c r="G1038" s="307">
        <v>6</v>
      </c>
      <c r="H1038" s="307" t="s">
        <v>858</v>
      </c>
      <c r="I1038" s="307" t="str">
        <f>("1005060185")</f>
        <v>1005060185</v>
      </c>
    </row>
    <row r="1039" spans="1:9" ht="13.5">
      <c r="A1039" s="419" t="str">
        <f t="shared" si="16"/>
        <v>臼杵ＳＳＳ_2</v>
      </c>
      <c r="B1039" s="307" t="s">
        <v>2960</v>
      </c>
      <c r="C1039" s="307" t="str">
        <f>("2")</f>
        <v>2</v>
      </c>
      <c r="D1039" s="307" t="s">
        <v>859</v>
      </c>
      <c r="E1039" s="307" t="s">
        <v>2963</v>
      </c>
      <c r="F1039" s="307" t="s">
        <v>2964</v>
      </c>
      <c r="G1039" s="307">
        <v>6</v>
      </c>
      <c r="H1039" s="307" t="s">
        <v>858</v>
      </c>
      <c r="I1039" s="307" t="str">
        <f>("1006040221")</f>
        <v>1006040221</v>
      </c>
    </row>
    <row r="1040" spans="1:9" ht="13.5">
      <c r="A1040" s="419" t="str">
        <f t="shared" si="16"/>
        <v>臼杵ＳＳＳ_3</v>
      </c>
      <c r="B1040" s="307" t="s">
        <v>2960</v>
      </c>
      <c r="C1040" s="307" t="str">
        <f>("3")</f>
        <v>3</v>
      </c>
      <c r="D1040" s="307" t="s">
        <v>862</v>
      </c>
      <c r="E1040" s="307" t="s">
        <v>2965</v>
      </c>
      <c r="F1040" s="307" t="s">
        <v>2966</v>
      </c>
      <c r="G1040" s="307">
        <v>5</v>
      </c>
      <c r="H1040" s="307" t="s">
        <v>858</v>
      </c>
      <c r="I1040" s="307" t="str">
        <f>("1104150146")</f>
        <v>1104150146</v>
      </c>
    </row>
    <row r="1041" spans="1:9" ht="13.5">
      <c r="A1041" s="419" t="str">
        <f t="shared" si="16"/>
        <v>臼杵ＳＳＳ_4</v>
      </c>
      <c r="B1041" s="307" t="s">
        <v>2960</v>
      </c>
      <c r="C1041" s="307" t="str">
        <f>("4")</f>
        <v>4</v>
      </c>
      <c r="D1041" s="307" t="s">
        <v>859</v>
      </c>
      <c r="E1041" s="307" t="s">
        <v>2967</v>
      </c>
      <c r="F1041" s="307" t="s">
        <v>2968</v>
      </c>
      <c r="G1041" s="307">
        <v>6</v>
      </c>
      <c r="H1041" s="307" t="s">
        <v>858</v>
      </c>
      <c r="I1041" s="307" t="str">
        <f>("1011090193")</f>
        <v>1011090193</v>
      </c>
    </row>
    <row r="1042" spans="1:9" ht="13.5">
      <c r="A1042" s="419" t="str">
        <f t="shared" si="16"/>
        <v>臼杵ＳＳＳ_5</v>
      </c>
      <c r="B1042" s="307" t="s">
        <v>2960</v>
      </c>
      <c r="C1042" s="307" t="str">
        <f>("5")</f>
        <v>5</v>
      </c>
      <c r="D1042" s="307" t="s">
        <v>859</v>
      </c>
      <c r="E1042" s="307" t="s">
        <v>2969</v>
      </c>
      <c r="F1042" s="307" t="s">
        <v>2970</v>
      </c>
      <c r="G1042" s="307">
        <v>5</v>
      </c>
      <c r="H1042" s="307" t="s">
        <v>858</v>
      </c>
      <c r="I1042" s="307" t="str">
        <f>("1104200162")</f>
        <v>1104200162</v>
      </c>
    </row>
    <row r="1043" spans="1:9" ht="13.5">
      <c r="A1043" s="419" t="str">
        <f t="shared" si="16"/>
        <v>臼杵ＳＳＳ_6</v>
      </c>
      <c r="B1043" s="307" t="s">
        <v>2960</v>
      </c>
      <c r="C1043" s="307" t="str">
        <f>("6")</f>
        <v>6</v>
      </c>
      <c r="D1043" s="307" t="s">
        <v>862</v>
      </c>
      <c r="E1043" s="307" t="s">
        <v>2971</v>
      </c>
      <c r="F1043" s="307" t="s">
        <v>2972</v>
      </c>
      <c r="G1043" s="307">
        <v>6</v>
      </c>
      <c r="H1043" s="307" t="s">
        <v>858</v>
      </c>
      <c r="I1043" s="307" t="str">
        <f>("1103150167")</f>
        <v>1103150167</v>
      </c>
    </row>
    <row r="1044" spans="1:9" ht="13.5">
      <c r="A1044" s="419" t="str">
        <f t="shared" si="16"/>
        <v>臼杵ＳＳＳ_7</v>
      </c>
      <c r="B1044" s="307" t="s">
        <v>2960</v>
      </c>
      <c r="C1044" s="307" t="str">
        <f>("7")</f>
        <v>7</v>
      </c>
      <c r="D1044" s="307" t="s">
        <v>859</v>
      </c>
      <c r="E1044" s="307" t="s">
        <v>2973</v>
      </c>
      <c r="F1044" s="307" t="s">
        <v>2974</v>
      </c>
      <c r="G1044" s="307">
        <v>6</v>
      </c>
      <c r="H1044" s="307" t="s">
        <v>858</v>
      </c>
      <c r="I1044" s="307" t="str">
        <f>("1101010079")</f>
        <v>1101010079</v>
      </c>
    </row>
    <row r="1045" spans="1:10" ht="13.5">
      <c r="A1045" s="419" t="str">
        <f t="shared" si="16"/>
        <v>臼杵ＳＳＳ_8</v>
      </c>
      <c r="B1045" s="307" t="s">
        <v>2960</v>
      </c>
      <c r="C1045" s="307" t="str">
        <f>("8")</f>
        <v>8</v>
      </c>
      <c r="D1045" s="307" t="s">
        <v>859</v>
      </c>
      <c r="E1045" s="307" t="s">
        <v>2975</v>
      </c>
      <c r="F1045" s="307" t="s">
        <v>2976</v>
      </c>
      <c r="G1045" s="307">
        <v>6</v>
      </c>
      <c r="H1045" s="307" t="s">
        <v>858</v>
      </c>
      <c r="I1045" s="307" t="str">
        <f>("1007070226")</f>
        <v>1007070226</v>
      </c>
      <c r="J1045" s="307" t="s">
        <v>15</v>
      </c>
    </row>
    <row r="1046" spans="1:9" ht="13.5">
      <c r="A1046" s="419" t="str">
        <f t="shared" si="16"/>
        <v>臼杵ＳＳＳ_9</v>
      </c>
      <c r="B1046" s="307" t="s">
        <v>2960</v>
      </c>
      <c r="C1046" s="307" t="str">
        <f>("9")</f>
        <v>9</v>
      </c>
      <c r="D1046" s="307" t="s">
        <v>862</v>
      </c>
      <c r="E1046" s="307" t="s">
        <v>2977</v>
      </c>
      <c r="F1046" s="307" t="s">
        <v>2978</v>
      </c>
      <c r="G1046" s="307">
        <v>5</v>
      </c>
      <c r="H1046" s="307" t="s">
        <v>858</v>
      </c>
      <c r="I1046" s="307" t="str">
        <f>("1201250128")</f>
        <v>1201250128</v>
      </c>
    </row>
    <row r="1047" spans="1:9" ht="13.5">
      <c r="A1047" s="419" t="str">
        <f t="shared" si="16"/>
        <v>臼杵ＳＳＳ_10</v>
      </c>
      <c r="B1047" s="307" t="s">
        <v>2960</v>
      </c>
      <c r="C1047" s="307" t="str">
        <f>("10")</f>
        <v>10</v>
      </c>
      <c r="D1047" s="307" t="s">
        <v>862</v>
      </c>
      <c r="E1047" s="307" t="s">
        <v>2979</v>
      </c>
      <c r="F1047" s="307" t="s">
        <v>2980</v>
      </c>
      <c r="G1047" s="307">
        <v>6</v>
      </c>
      <c r="H1047" s="307" t="s">
        <v>858</v>
      </c>
      <c r="I1047" s="307" t="str">
        <f>("1008100193")</f>
        <v>1008100193</v>
      </c>
    </row>
    <row r="1048" spans="1:9" ht="13.5">
      <c r="A1048" s="419" t="str">
        <f t="shared" si="16"/>
        <v>臼杵ＳＳＳ_11</v>
      </c>
      <c r="B1048" s="307" t="s">
        <v>2960</v>
      </c>
      <c r="C1048" s="307" t="str">
        <f>("11")</f>
        <v>11</v>
      </c>
      <c r="D1048" s="307" t="s">
        <v>884</v>
      </c>
      <c r="E1048" s="307" t="s">
        <v>2981</v>
      </c>
      <c r="F1048" s="307" t="s">
        <v>2982</v>
      </c>
      <c r="G1048" s="307">
        <v>6</v>
      </c>
      <c r="H1048" s="307" t="s">
        <v>858</v>
      </c>
      <c r="I1048" s="307" t="str">
        <f>("1012190147")</f>
        <v>1012190147</v>
      </c>
    </row>
    <row r="1049" spans="1:9" ht="13.5">
      <c r="A1049" s="419" t="str">
        <f t="shared" si="16"/>
        <v>臼杵ＳＳＳ_13</v>
      </c>
      <c r="B1049" s="307" t="s">
        <v>2960</v>
      </c>
      <c r="C1049" s="307" t="str">
        <f>("13")</f>
        <v>13</v>
      </c>
      <c r="D1049" s="307" t="s">
        <v>884</v>
      </c>
      <c r="E1049" s="307" t="s">
        <v>2983</v>
      </c>
      <c r="F1049" s="307" t="s">
        <v>2984</v>
      </c>
      <c r="G1049" s="307">
        <v>5</v>
      </c>
      <c r="H1049" s="307" t="s">
        <v>858</v>
      </c>
      <c r="I1049" s="307" t="str">
        <f>("1201170204")</f>
        <v>1201170204</v>
      </c>
    </row>
    <row r="1050" spans="1:9" ht="13.5">
      <c r="A1050" s="419" t="str">
        <f t="shared" si="16"/>
        <v>臼杵ＳＳＳ_14</v>
      </c>
      <c r="B1050" s="307" t="s">
        <v>2960</v>
      </c>
      <c r="C1050" s="307" t="str">
        <f>("14")</f>
        <v>14</v>
      </c>
      <c r="D1050" s="307" t="s">
        <v>859</v>
      </c>
      <c r="E1050" s="307" t="s">
        <v>2985</v>
      </c>
      <c r="F1050" s="307" t="s">
        <v>2986</v>
      </c>
      <c r="G1050" s="307">
        <v>5</v>
      </c>
      <c r="H1050" s="307" t="s">
        <v>858</v>
      </c>
      <c r="I1050" s="307" t="str">
        <f>("1111210201")</f>
        <v>1111210201</v>
      </c>
    </row>
    <row r="1051" spans="1:9" ht="13.5">
      <c r="A1051" s="419" t="str">
        <f t="shared" si="16"/>
        <v>臼杵ＳＳＳ_15</v>
      </c>
      <c r="B1051" s="307" t="s">
        <v>2960</v>
      </c>
      <c r="C1051" s="307" t="str">
        <f>("15")</f>
        <v>15</v>
      </c>
      <c r="D1051" s="307" t="s">
        <v>884</v>
      </c>
      <c r="E1051" s="307" t="s">
        <v>2987</v>
      </c>
      <c r="F1051" s="307" t="s">
        <v>2988</v>
      </c>
      <c r="G1051" s="307">
        <v>5</v>
      </c>
      <c r="H1051" s="307" t="s">
        <v>858</v>
      </c>
      <c r="I1051" s="307" t="str">
        <f>("1104140176")</f>
        <v>1104140176</v>
      </c>
    </row>
    <row r="1052" spans="1:9" ht="13.5">
      <c r="A1052" s="419" t="str">
        <f t="shared" si="16"/>
        <v>臼杵ＳＳＳ_16</v>
      </c>
      <c r="B1052" s="307" t="s">
        <v>2960</v>
      </c>
      <c r="C1052" s="307" t="str">
        <f>("16")</f>
        <v>16</v>
      </c>
      <c r="D1052" s="307" t="s">
        <v>859</v>
      </c>
      <c r="E1052" s="307" t="s">
        <v>2989</v>
      </c>
      <c r="F1052" s="307" t="s">
        <v>2990</v>
      </c>
      <c r="G1052" s="307">
        <v>5</v>
      </c>
      <c r="H1052" s="307" t="s">
        <v>858</v>
      </c>
      <c r="I1052" s="307" t="str">
        <f>("1107080150")</f>
        <v>1107080150</v>
      </c>
    </row>
    <row r="1053" spans="1:9" ht="13.5">
      <c r="A1053" s="419" t="str">
        <f t="shared" si="16"/>
        <v>挾間ＪＦＣ_1</v>
      </c>
      <c r="B1053" s="307" t="s">
        <v>269</v>
      </c>
      <c r="C1053" s="307" t="str">
        <f>("1")</f>
        <v>1</v>
      </c>
      <c r="D1053" s="307" t="s">
        <v>855</v>
      </c>
      <c r="E1053" s="307" t="s">
        <v>2991</v>
      </c>
      <c r="F1053" s="307" t="s">
        <v>2992</v>
      </c>
      <c r="G1053" s="307">
        <v>6</v>
      </c>
      <c r="H1053" s="307" t="s">
        <v>858</v>
      </c>
      <c r="I1053" s="307" t="str">
        <f>("1103260103")</f>
        <v>1103260103</v>
      </c>
    </row>
    <row r="1054" spans="1:9" ht="13.5">
      <c r="A1054" s="419" t="str">
        <f t="shared" si="16"/>
        <v>挾間ＪＦＣ_2</v>
      </c>
      <c r="B1054" s="307" t="s">
        <v>269</v>
      </c>
      <c r="C1054" s="307" t="str">
        <f>("2")</f>
        <v>2</v>
      </c>
      <c r="D1054" s="307" t="s">
        <v>859</v>
      </c>
      <c r="E1054" s="307" t="s">
        <v>2993</v>
      </c>
      <c r="F1054" s="307" t="s">
        <v>2994</v>
      </c>
      <c r="G1054" s="307">
        <v>5</v>
      </c>
      <c r="H1054" s="307" t="s">
        <v>858</v>
      </c>
      <c r="I1054" s="307" t="str">
        <f>("1112280099")</f>
        <v>1112280099</v>
      </c>
    </row>
    <row r="1055" spans="1:9" ht="13.5">
      <c r="A1055" s="419" t="str">
        <f t="shared" si="16"/>
        <v>挾間ＪＦＣ_3</v>
      </c>
      <c r="B1055" s="307" t="s">
        <v>269</v>
      </c>
      <c r="C1055" s="307" t="str">
        <f>("3")</f>
        <v>3</v>
      </c>
      <c r="D1055" s="307" t="s">
        <v>859</v>
      </c>
      <c r="E1055" s="307" t="s">
        <v>2995</v>
      </c>
      <c r="F1055" s="307" t="s">
        <v>2996</v>
      </c>
      <c r="G1055" s="307">
        <v>6</v>
      </c>
      <c r="H1055" s="307" t="s">
        <v>858</v>
      </c>
      <c r="I1055" s="307" t="str">
        <f>("1103010134")</f>
        <v>1103010134</v>
      </c>
    </row>
    <row r="1056" spans="1:9" ht="13.5">
      <c r="A1056" s="419" t="str">
        <f t="shared" si="16"/>
        <v>挾間ＪＦＣ_4</v>
      </c>
      <c r="B1056" s="307" t="s">
        <v>269</v>
      </c>
      <c r="C1056" s="307" t="str">
        <f>("4")</f>
        <v>4</v>
      </c>
      <c r="D1056" s="307" t="s">
        <v>862</v>
      </c>
      <c r="E1056" s="307" t="s">
        <v>2997</v>
      </c>
      <c r="F1056" s="307" t="s">
        <v>2998</v>
      </c>
      <c r="G1056" s="307">
        <v>6</v>
      </c>
      <c r="H1056" s="307" t="s">
        <v>858</v>
      </c>
      <c r="I1056" s="307" t="str">
        <f>("1103010135")</f>
        <v>1103010135</v>
      </c>
    </row>
    <row r="1057" spans="1:9" ht="13.5">
      <c r="A1057" s="419" t="str">
        <f t="shared" si="16"/>
        <v>挾間ＪＦＣ_5</v>
      </c>
      <c r="B1057" s="307" t="s">
        <v>269</v>
      </c>
      <c r="C1057" s="307" t="str">
        <f>("5")</f>
        <v>5</v>
      </c>
      <c r="D1057" s="307" t="s">
        <v>862</v>
      </c>
      <c r="E1057" s="307" t="s">
        <v>2999</v>
      </c>
      <c r="F1057" s="307" t="s">
        <v>3000</v>
      </c>
      <c r="G1057" s="307">
        <v>5</v>
      </c>
      <c r="H1057" s="307" t="s">
        <v>858</v>
      </c>
      <c r="I1057" s="307" t="str">
        <f>("1107240181")</f>
        <v>1107240181</v>
      </c>
    </row>
    <row r="1058" spans="1:9" ht="13.5">
      <c r="A1058" s="419" t="str">
        <f t="shared" si="16"/>
        <v>挾間ＪＦＣ_6</v>
      </c>
      <c r="B1058" s="307" t="s">
        <v>269</v>
      </c>
      <c r="C1058" s="307" t="str">
        <f>("6")</f>
        <v>6</v>
      </c>
      <c r="D1058" s="307" t="s">
        <v>862</v>
      </c>
      <c r="E1058" s="307" t="s">
        <v>3001</v>
      </c>
      <c r="F1058" s="307" t="s">
        <v>3002</v>
      </c>
      <c r="G1058" s="307">
        <v>6</v>
      </c>
      <c r="H1058" s="307" t="s">
        <v>858</v>
      </c>
      <c r="I1058" s="307" t="str">
        <f>("1010050222")</f>
        <v>1010050222</v>
      </c>
    </row>
    <row r="1059" spans="1:10" ht="13.5">
      <c r="A1059" s="419" t="str">
        <f t="shared" si="16"/>
        <v>挾間ＪＦＣ_7</v>
      </c>
      <c r="B1059" s="307" t="s">
        <v>269</v>
      </c>
      <c r="C1059" s="307" t="str">
        <f>("7")</f>
        <v>7</v>
      </c>
      <c r="D1059" s="307" t="s">
        <v>859</v>
      </c>
      <c r="E1059" s="307" t="s">
        <v>3003</v>
      </c>
      <c r="F1059" s="307" t="s">
        <v>3004</v>
      </c>
      <c r="G1059" s="307">
        <v>6</v>
      </c>
      <c r="H1059" s="307" t="s">
        <v>858</v>
      </c>
      <c r="I1059" s="307" t="str">
        <f>("1012310061")</f>
        <v>1012310061</v>
      </c>
      <c r="J1059" s="307" t="s">
        <v>15</v>
      </c>
    </row>
    <row r="1060" spans="1:9" ht="13.5">
      <c r="A1060" s="419" t="str">
        <f t="shared" si="16"/>
        <v>挾間ＪＦＣ_8</v>
      </c>
      <c r="B1060" s="307" t="s">
        <v>269</v>
      </c>
      <c r="C1060" s="307" t="str">
        <f>("8")</f>
        <v>8</v>
      </c>
      <c r="D1060" s="307" t="s">
        <v>862</v>
      </c>
      <c r="E1060" s="307" t="s">
        <v>3005</v>
      </c>
      <c r="F1060" s="307" t="s">
        <v>3006</v>
      </c>
      <c r="G1060" s="307">
        <v>5</v>
      </c>
      <c r="H1060" s="307" t="s">
        <v>858</v>
      </c>
      <c r="I1060" s="307" t="str">
        <f>("1104240077")</f>
        <v>1104240077</v>
      </c>
    </row>
    <row r="1061" spans="1:9" ht="13.5">
      <c r="A1061" s="419" t="str">
        <f t="shared" si="16"/>
        <v>挾間ＪＦＣ_9</v>
      </c>
      <c r="B1061" s="307" t="s">
        <v>269</v>
      </c>
      <c r="C1061" s="307" t="str">
        <f>("9")</f>
        <v>9</v>
      </c>
      <c r="D1061" s="307" t="s">
        <v>884</v>
      </c>
      <c r="E1061" s="307" t="s">
        <v>3007</v>
      </c>
      <c r="F1061" s="307" t="s">
        <v>3008</v>
      </c>
      <c r="G1061" s="307">
        <v>6</v>
      </c>
      <c r="H1061" s="307" t="s">
        <v>858</v>
      </c>
      <c r="I1061" s="307" t="str">
        <f>("1010120114")</f>
        <v>1010120114</v>
      </c>
    </row>
    <row r="1062" spans="1:9" ht="13.5">
      <c r="A1062" s="419" t="str">
        <f t="shared" si="16"/>
        <v>挾間ＪＦＣ_10</v>
      </c>
      <c r="B1062" s="307" t="s">
        <v>269</v>
      </c>
      <c r="C1062" s="307" t="str">
        <f>("10")</f>
        <v>10</v>
      </c>
      <c r="D1062" s="307" t="s">
        <v>862</v>
      </c>
      <c r="E1062" s="307" t="s">
        <v>3009</v>
      </c>
      <c r="F1062" s="307" t="s">
        <v>3010</v>
      </c>
      <c r="G1062" s="307">
        <v>5</v>
      </c>
      <c r="H1062" s="307" t="s">
        <v>858</v>
      </c>
      <c r="I1062" s="307" t="str">
        <f>("1005110163")</f>
        <v>1005110163</v>
      </c>
    </row>
    <row r="1063" spans="1:9" ht="13.5">
      <c r="A1063" s="419" t="str">
        <f t="shared" si="16"/>
        <v>挾間ＪＦＣ_11</v>
      </c>
      <c r="B1063" s="307" t="s">
        <v>269</v>
      </c>
      <c r="C1063" s="307" t="str">
        <f>("11")</f>
        <v>11</v>
      </c>
      <c r="D1063" s="307" t="s">
        <v>862</v>
      </c>
      <c r="E1063" s="307" t="s">
        <v>3011</v>
      </c>
      <c r="F1063" s="307" t="s">
        <v>3012</v>
      </c>
      <c r="G1063" s="307">
        <v>6</v>
      </c>
      <c r="H1063" s="307" t="s">
        <v>858</v>
      </c>
      <c r="I1063" s="307" t="str">
        <f>("1004200120")</f>
        <v>1004200120</v>
      </c>
    </row>
    <row r="1064" spans="1:9" ht="13.5">
      <c r="A1064" s="419" t="str">
        <f t="shared" si="16"/>
        <v>挾間ＪＦＣ_12</v>
      </c>
      <c r="B1064" s="307" t="s">
        <v>269</v>
      </c>
      <c r="C1064" s="307" t="str">
        <f>("12")</f>
        <v>12</v>
      </c>
      <c r="D1064" s="307" t="s">
        <v>884</v>
      </c>
      <c r="E1064" s="307" t="s">
        <v>3013</v>
      </c>
      <c r="F1064" s="307" t="s">
        <v>3014</v>
      </c>
      <c r="G1064" s="307">
        <v>4</v>
      </c>
      <c r="H1064" s="307" t="s">
        <v>858</v>
      </c>
      <c r="I1064" s="307" t="str">
        <f>("1303040027")</f>
        <v>1303040027</v>
      </c>
    </row>
    <row r="1065" spans="1:9" ht="13.5">
      <c r="A1065" s="419" t="str">
        <f t="shared" si="16"/>
        <v>挾間ＪＦＣ_13</v>
      </c>
      <c r="B1065" s="307" t="s">
        <v>269</v>
      </c>
      <c r="C1065" s="307" t="str">
        <f>("13")</f>
        <v>13</v>
      </c>
      <c r="D1065" s="307" t="s">
        <v>862</v>
      </c>
      <c r="E1065" s="307" t="s">
        <v>3015</v>
      </c>
      <c r="F1065" s="307" t="s">
        <v>3016</v>
      </c>
      <c r="G1065" s="307">
        <v>4</v>
      </c>
      <c r="H1065" s="307" t="s">
        <v>858</v>
      </c>
      <c r="I1065" s="307" t="str">
        <f>("1212050032")</f>
        <v>1212050032</v>
      </c>
    </row>
    <row r="1066" spans="1:9" ht="13.5">
      <c r="A1066" s="419" t="str">
        <f t="shared" si="16"/>
        <v>挾間ＪＦＣ_21</v>
      </c>
      <c r="B1066" s="307" t="s">
        <v>269</v>
      </c>
      <c r="C1066" s="307" t="str">
        <f>("21")</f>
        <v>21</v>
      </c>
      <c r="D1066" s="307" t="s">
        <v>859</v>
      </c>
      <c r="E1066" s="307" t="s">
        <v>3017</v>
      </c>
      <c r="F1066" s="307" t="s">
        <v>3018</v>
      </c>
      <c r="G1066" s="307">
        <v>6</v>
      </c>
      <c r="H1066" s="307" t="s">
        <v>858</v>
      </c>
      <c r="I1066" s="307" t="str">
        <f>("1102050162")</f>
        <v>1102050162</v>
      </c>
    </row>
    <row r="1067" spans="1:9" ht="13.5">
      <c r="A1067" s="419" t="str">
        <f t="shared" si="16"/>
        <v>ＦＣ安岐_1</v>
      </c>
      <c r="B1067" s="307" t="s">
        <v>3019</v>
      </c>
      <c r="C1067" s="307" t="str">
        <f>("1")</f>
        <v>1</v>
      </c>
      <c r="D1067" s="307" t="s">
        <v>855</v>
      </c>
      <c r="E1067" s="307" t="s">
        <v>3020</v>
      </c>
      <c r="F1067" s="307" t="s">
        <v>3021</v>
      </c>
      <c r="G1067" s="307">
        <v>5</v>
      </c>
      <c r="H1067" s="307" t="s">
        <v>858</v>
      </c>
      <c r="I1067" s="307" t="str">
        <f>("1201080053")</f>
        <v>1201080053</v>
      </c>
    </row>
    <row r="1068" spans="1:9" ht="13.5">
      <c r="A1068" s="419" t="str">
        <f t="shared" si="16"/>
        <v>ＦＣ安岐_2</v>
      </c>
      <c r="B1068" s="307" t="s">
        <v>3019</v>
      </c>
      <c r="C1068" s="307" t="str">
        <f>("2")</f>
        <v>2</v>
      </c>
      <c r="D1068" s="307" t="s">
        <v>859</v>
      </c>
      <c r="E1068" s="307" t="s">
        <v>3022</v>
      </c>
      <c r="F1068" s="307" t="s">
        <v>3023</v>
      </c>
      <c r="G1068" s="307">
        <v>5</v>
      </c>
      <c r="H1068" s="307" t="s">
        <v>858</v>
      </c>
      <c r="I1068" s="307" t="str">
        <f>("1110310038")</f>
        <v>1110310038</v>
      </c>
    </row>
    <row r="1069" spans="1:9" ht="13.5">
      <c r="A1069" s="419" t="str">
        <f t="shared" si="16"/>
        <v>ＦＣ安岐_3</v>
      </c>
      <c r="B1069" s="307" t="s">
        <v>3019</v>
      </c>
      <c r="C1069" s="307" t="str">
        <f>("3")</f>
        <v>3</v>
      </c>
      <c r="D1069" s="307" t="s">
        <v>862</v>
      </c>
      <c r="E1069" s="307" t="s">
        <v>3024</v>
      </c>
      <c r="F1069" s="307" t="s">
        <v>3025</v>
      </c>
      <c r="G1069" s="307">
        <v>5</v>
      </c>
      <c r="H1069" s="307" t="s">
        <v>858</v>
      </c>
      <c r="I1069" s="307" t="str">
        <f>("1108210040")</f>
        <v>1108210040</v>
      </c>
    </row>
    <row r="1070" spans="1:9" ht="13.5">
      <c r="A1070" s="419" t="str">
        <f t="shared" si="16"/>
        <v>ＦＣ安岐_4</v>
      </c>
      <c r="B1070" s="307" t="s">
        <v>3019</v>
      </c>
      <c r="C1070" s="307" t="str">
        <f>("4")</f>
        <v>4</v>
      </c>
      <c r="D1070" s="307" t="s">
        <v>884</v>
      </c>
      <c r="E1070" s="307" t="s">
        <v>3026</v>
      </c>
      <c r="F1070" s="307" t="s">
        <v>3027</v>
      </c>
      <c r="G1070" s="307">
        <v>6</v>
      </c>
      <c r="H1070" s="307" t="s">
        <v>858</v>
      </c>
      <c r="I1070" s="307" t="str">
        <f>("1101310161")</f>
        <v>1101310161</v>
      </c>
    </row>
    <row r="1071" spans="1:9" ht="13.5">
      <c r="A1071" s="419" t="str">
        <f t="shared" si="16"/>
        <v>ＦＣ安岐_5</v>
      </c>
      <c r="B1071" s="307" t="s">
        <v>3019</v>
      </c>
      <c r="C1071" s="307" t="str">
        <f>("5")</f>
        <v>5</v>
      </c>
      <c r="D1071" s="307" t="s">
        <v>859</v>
      </c>
      <c r="E1071" s="307" t="s">
        <v>3028</v>
      </c>
      <c r="F1071" s="307" t="s">
        <v>3029</v>
      </c>
      <c r="G1071" s="307">
        <v>6</v>
      </c>
      <c r="H1071" s="307" t="s">
        <v>858</v>
      </c>
      <c r="I1071" s="307" t="str">
        <f>("1008020141")</f>
        <v>1008020141</v>
      </c>
    </row>
    <row r="1072" spans="1:9" ht="13.5">
      <c r="A1072" s="419" t="str">
        <f t="shared" si="16"/>
        <v>ＦＣ安岐_6</v>
      </c>
      <c r="B1072" s="307" t="s">
        <v>3019</v>
      </c>
      <c r="C1072" s="307" t="str">
        <f>("6")</f>
        <v>6</v>
      </c>
      <c r="D1072" s="307" t="s">
        <v>859</v>
      </c>
      <c r="E1072" s="307" t="s">
        <v>3030</v>
      </c>
      <c r="F1072" s="307" t="s">
        <v>3031</v>
      </c>
      <c r="G1072" s="307">
        <v>6</v>
      </c>
      <c r="H1072" s="307" t="s">
        <v>858</v>
      </c>
      <c r="I1072" s="307" t="str">
        <f>("1006120032")</f>
        <v>1006120032</v>
      </c>
    </row>
    <row r="1073" spans="1:9" ht="13.5">
      <c r="A1073" s="419" t="str">
        <f t="shared" si="16"/>
        <v>ＦＣ安岐_7</v>
      </c>
      <c r="B1073" s="307" t="s">
        <v>3019</v>
      </c>
      <c r="C1073" s="307" t="str">
        <f>("7")</f>
        <v>7</v>
      </c>
      <c r="D1073" s="307" t="s">
        <v>859</v>
      </c>
      <c r="E1073" s="307" t="s">
        <v>3032</v>
      </c>
      <c r="F1073" s="307" t="s">
        <v>3033</v>
      </c>
      <c r="G1073" s="307">
        <v>6</v>
      </c>
      <c r="H1073" s="307" t="s">
        <v>858</v>
      </c>
      <c r="I1073" s="307" t="str">
        <f>("1008090037")</f>
        <v>1008090037</v>
      </c>
    </row>
    <row r="1074" spans="1:10" ht="13.5">
      <c r="A1074" s="419" t="str">
        <f t="shared" si="16"/>
        <v>ＦＣ安岐_8</v>
      </c>
      <c r="B1074" s="307" t="s">
        <v>3019</v>
      </c>
      <c r="C1074" s="307" t="str">
        <f>("8")</f>
        <v>8</v>
      </c>
      <c r="D1074" s="307" t="s">
        <v>862</v>
      </c>
      <c r="E1074" s="307" t="s">
        <v>3034</v>
      </c>
      <c r="F1074" s="307" t="s">
        <v>3035</v>
      </c>
      <c r="G1074" s="307">
        <v>6</v>
      </c>
      <c r="H1074" s="307" t="s">
        <v>869</v>
      </c>
      <c r="I1074" s="307" t="str">
        <f>("1008070037")</f>
        <v>1008070037</v>
      </c>
      <c r="J1074" s="307" t="s">
        <v>15</v>
      </c>
    </row>
    <row r="1075" spans="1:9" ht="13.5">
      <c r="A1075" s="419" t="str">
        <f t="shared" si="16"/>
        <v>ＦＣ安岐_9</v>
      </c>
      <c r="B1075" s="307" t="s">
        <v>3019</v>
      </c>
      <c r="C1075" s="307" t="str">
        <f>("9")</f>
        <v>9</v>
      </c>
      <c r="D1075" s="307" t="s">
        <v>884</v>
      </c>
      <c r="E1075" s="307" t="s">
        <v>3036</v>
      </c>
      <c r="F1075" s="307" t="s">
        <v>3037</v>
      </c>
      <c r="G1075" s="307">
        <v>5</v>
      </c>
      <c r="H1075" s="307" t="s">
        <v>858</v>
      </c>
      <c r="I1075" s="307" t="str">
        <f>("1202080041")</f>
        <v>1202080041</v>
      </c>
    </row>
    <row r="1076" spans="1:9" ht="13.5">
      <c r="A1076" s="419" t="str">
        <f t="shared" si="16"/>
        <v>ＦＣ安岐_10</v>
      </c>
      <c r="B1076" s="307" t="s">
        <v>3019</v>
      </c>
      <c r="C1076" s="307" t="str">
        <f>("10")</f>
        <v>10</v>
      </c>
      <c r="D1076" s="307" t="s">
        <v>862</v>
      </c>
      <c r="E1076" s="307" t="s">
        <v>3038</v>
      </c>
      <c r="F1076" s="307" t="s">
        <v>3039</v>
      </c>
      <c r="G1076" s="307">
        <v>6</v>
      </c>
      <c r="H1076" s="307" t="s">
        <v>858</v>
      </c>
      <c r="I1076" s="307" t="str">
        <f>("1103270066")</f>
        <v>1103270066</v>
      </c>
    </row>
    <row r="1077" spans="1:9" ht="13.5">
      <c r="A1077" s="419" t="str">
        <f t="shared" si="16"/>
        <v>ＦＣ安岐_11</v>
      </c>
      <c r="B1077" s="307" t="s">
        <v>3019</v>
      </c>
      <c r="C1077" s="307" t="str">
        <f>("11")</f>
        <v>11</v>
      </c>
      <c r="D1077" s="307" t="s">
        <v>884</v>
      </c>
      <c r="E1077" s="307" t="s">
        <v>3040</v>
      </c>
      <c r="F1077" s="307" t="s">
        <v>3041</v>
      </c>
      <c r="G1077" s="307">
        <v>4</v>
      </c>
      <c r="H1077" s="307" t="s">
        <v>858</v>
      </c>
      <c r="I1077" s="307" t="str">
        <f>("1208220047")</f>
        <v>1208220047</v>
      </c>
    </row>
    <row r="1078" spans="1:9" ht="13.5">
      <c r="A1078" s="419" t="str">
        <f t="shared" si="16"/>
        <v>ＦＣ安岐_12</v>
      </c>
      <c r="B1078" s="307" t="s">
        <v>3019</v>
      </c>
      <c r="C1078" s="307" t="str">
        <f>("12")</f>
        <v>12</v>
      </c>
      <c r="D1078" s="307" t="s">
        <v>862</v>
      </c>
      <c r="E1078" s="307" t="s">
        <v>3042</v>
      </c>
      <c r="F1078" s="307" t="s">
        <v>3043</v>
      </c>
      <c r="G1078" s="307">
        <v>4</v>
      </c>
      <c r="H1078" s="307" t="s">
        <v>858</v>
      </c>
      <c r="I1078" s="307" t="str">
        <f>("1207210079")</f>
        <v>1207210079</v>
      </c>
    </row>
    <row r="1079" spans="1:9" ht="13.5">
      <c r="A1079" s="419" t="str">
        <f t="shared" si="16"/>
        <v>ＦＣ安岐_13</v>
      </c>
      <c r="B1079" s="307" t="s">
        <v>3019</v>
      </c>
      <c r="C1079" s="307" t="str">
        <f>("13")</f>
        <v>13</v>
      </c>
      <c r="D1079" s="307" t="s">
        <v>859</v>
      </c>
      <c r="E1079" s="307" t="s">
        <v>3044</v>
      </c>
      <c r="F1079" s="307" t="s">
        <v>3045</v>
      </c>
      <c r="G1079" s="307">
        <v>5</v>
      </c>
      <c r="H1079" s="307" t="s">
        <v>858</v>
      </c>
      <c r="I1079" s="307" t="str">
        <f>("1108280125")</f>
        <v>1108280125</v>
      </c>
    </row>
    <row r="1080" spans="1:9" ht="13.5">
      <c r="A1080" s="419" t="str">
        <f t="shared" si="16"/>
        <v>ＦＣ安岐_14</v>
      </c>
      <c r="B1080" s="307" t="s">
        <v>3019</v>
      </c>
      <c r="C1080" s="307" t="str">
        <f>("14")</f>
        <v>14</v>
      </c>
      <c r="D1080" s="307" t="s">
        <v>884</v>
      </c>
      <c r="E1080" s="307" t="s">
        <v>3046</v>
      </c>
      <c r="F1080" s="307" t="s">
        <v>3047</v>
      </c>
      <c r="G1080" s="307">
        <v>5</v>
      </c>
      <c r="H1080" s="307" t="s">
        <v>869</v>
      </c>
      <c r="I1080" s="307" t="str">
        <f>("1111210097")</f>
        <v>1111210097</v>
      </c>
    </row>
    <row r="1081" spans="1:9" ht="13.5">
      <c r="A1081" s="419" t="str">
        <f t="shared" si="16"/>
        <v>ＦＣ安岐_16</v>
      </c>
      <c r="B1081" s="307" t="s">
        <v>3019</v>
      </c>
      <c r="C1081" s="307" t="str">
        <f>("16")</f>
        <v>16</v>
      </c>
      <c r="D1081" s="307" t="s">
        <v>855</v>
      </c>
      <c r="E1081" s="307" t="s">
        <v>3048</v>
      </c>
      <c r="F1081" s="307" t="s">
        <v>3049</v>
      </c>
      <c r="G1081" s="307">
        <v>4</v>
      </c>
      <c r="H1081" s="307" t="s">
        <v>858</v>
      </c>
      <c r="I1081" s="307" t="str">
        <f>("1212230001")</f>
        <v>1212230001</v>
      </c>
    </row>
    <row r="1082" spans="1:9" ht="13.5">
      <c r="A1082" s="419" t="str">
        <f t="shared" si="16"/>
        <v>スマイス・セレソン_1</v>
      </c>
      <c r="B1082" s="307" t="s">
        <v>30</v>
      </c>
      <c r="C1082" s="307" t="str">
        <f>("1")</f>
        <v>1</v>
      </c>
      <c r="D1082" s="307" t="s">
        <v>855</v>
      </c>
      <c r="E1082" s="307" t="s">
        <v>3050</v>
      </c>
      <c r="F1082" s="307" t="s">
        <v>3051</v>
      </c>
      <c r="G1082" s="307">
        <v>6</v>
      </c>
      <c r="H1082" s="307" t="s">
        <v>858</v>
      </c>
      <c r="I1082" s="307" t="str">
        <f>("1009020206")</f>
        <v>1009020206</v>
      </c>
    </row>
    <row r="1083" spans="1:9" ht="13.5">
      <c r="A1083" s="419" t="str">
        <f t="shared" si="16"/>
        <v>スマイス・セレソン_2</v>
      </c>
      <c r="B1083" s="307" t="s">
        <v>30</v>
      </c>
      <c r="C1083" s="307" t="str">
        <f>("2")</f>
        <v>2</v>
      </c>
      <c r="D1083" s="307" t="s">
        <v>862</v>
      </c>
      <c r="E1083" s="307" t="s">
        <v>3052</v>
      </c>
      <c r="F1083" s="307" t="s">
        <v>3053</v>
      </c>
      <c r="G1083" s="307">
        <v>6</v>
      </c>
      <c r="H1083" s="307" t="s">
        <v>858</v>
      </c>
      <c r="I1083" s="307" t="str">
        <f>("1010220109")</f>
        <v>1010220109</v>
      </c>
    </row>
    <row r="1084" spans="1:9" ht="13.5">
      <c r="A1084" s="419" t="str">
        <f t="shared" si="16"/>
        <v>スマイス・セレソン_3</v>
      </c>
      <c r="B1084" s="307" t="s">
        <v>30</v>
      </c>
      <c r="C1084" s="307" t="str">
        <f>("3")</f>
        <v>3</v>
      </c>
      <c r="D1084" s="307" t="s">
        <v>859</v>
      </c>
      <c r="E1084" s="307" t="s">
        <v>3054</v>
      </c>
      <c r="F1084" s="307" t="s">
        <v>3055</v>
      </c>
      <c r="G1084" s="307">
        <v>6</v>
      </c>
      <c r="H1084" s="307" t="s">
        <v>858</v>
      </c>
      <c r="I1084" s="307" t="str">
        <f>("1008170167")</f>
        <v>1008170167</v>
      </c>
    </row>
    <row r="1085" spans="1:9" ht="13.5">
      <c r="A1085" s="419" t="str">
        <f t="shared" si="16"/>
        <v>スマイス・セレソン_4</v>
      </c>
      <c r="B1085" s="307" t="s">
        <v>30</v>
      </c>
      <c r="C1085" s="307" t="str">
        <f>("4")</f>
        <v>4</v>
      </c>
      <c r="D1085" s="307" t="s">
        <v>884</v>
      </c>
      <c r="E1085" s="307" t="s">
        <v>3056</v>
      </c>
      <c r="F1085" s="307" t="s">
        <v>3057</v>
      </c>
      <c r="G1085" s="307">
        <v>6</v>
      </c>
      <c r="H1085" s="307" t="s">
        <v>858</v>
      </c>
      <c r="I1085" s="307" t="str">
        <f>("1012240124")</f>
        <v>1012240124</v>
      </c>
    </row>
    <row r="1086" spans="1:9" ht="13.5">
      <c r="A1086" s="419" t="str">
        <f t="shared" si="16"/>
        <v>スマイス・セレソン_5</v>
      </c>
      <c r="B1086" s="307" t="s">
        <v>30</v>
      </c>
      <c r="C1086" s="307" t="str">
        <f>("5")</f>
        <v>5</v>
      </c>
      <c r="D1086" s="307" t="s">
        <v>862</v>
      </c>
      <c r="E1086" s="307" t="s">
        <v>3058</v>
      </c>
      <c r="F1086" s="307" t="s">
        <v>3059</v>
      </c>
      <c r="G1086" s="307">
        <v>6</v>
      </c>
      <c r="H1086" s="307" t="s">
        <v>858</v>
      </c>
      <c r="I1086" s="307" t="str">
        <f>("1102240155")</f>
        <v>1102240155</v>
      </c>
    </row>
    <row r="1087" spans="1:9" ht="13.5">
      <c r="A1087" s="419" t="str">
        <f t="shared" si="16"/>
        <v>スマイス・セレソン_6</v>
      </c>
      <c r="B1087" s="307" t="s">
        <v>30</v>
      </c>
      <c r="C1087" s="307" t="str">
        <f>("6")</f>
        <v>6</v>
      </c>
      <c r="D1087" s="307" t="s">
        <v>884</v>
      </c>
      <c r="E1087" s="307" t="s">
        <v>3060</v>
      </c>
      <c r="F1087" s="307" t="s">
        <v>3061</v>
      </c>
      <c r="G1087" s="307">
        <v>6</v>
      </c>
      <c r="H1087" s="307" t="s">
        <v>858</v>
      </c>
      <c r="I1087" s="307" t="str">
        <f>("1101260126")</f>
        <v>1101260126</v>
      </c>
    </row>
    <row r="1088" spans="1:9" ht="13.5">
      <c r="A1088" s="419" t="str">
        <f t="shared" si="16"/>
        <v>スマイス・セレソン_7</v>
      </c>
      <c r="B1088" s="307" t="s">
        <v>30</v>
      </c>
      <c r="C1088" s="307" t="str">
        <f>("7")</f>
        <v>7</v>
      </c>
      <c r="D1088" s="307" t="s">
        <v>862</v>
      </c>
      <c r="E1088" s="307" t="s">
        <v>3062</v>
      </c>
      <c r="F1088" s="307" t="s">
        <v>3063</v>
      </c>
      <c r="G1088" s="307">
        <v>6</v>
      </c>
      <c r="H1088" s="307" t="s">
        <v>858</v>
      </c>
      <c r="I1088" s="307" t="str">
        <f>("1103260081")</f>
        <v>1103260081</v>
      </c>
    </row>
    <row r="1089" spans="1:9" ht="13.5">
      <c r="A1089" s="419" t="str">
        <f aca="true" t="shared" si="17" ref="A1089:A1152">CONCATENATE(B1089,"_",C1089)</f>
        <v>スマイス・セレソン_8</v>
      </c>
      <c r="B1089" s="307" t="s">
        <v>30</v>
      </c>
      <c r="C1089" s="307" t="str">
        <f>("8")</f>
        <v>8</v>
      </c>
      <c r="D1089" s="307" t="s">
        <v>862</v>
      </c>
      <c r="E1089" s="307" t="s">
        <v>3064</v>
      </c>
      <c r="F1089" s="307" t="s">
        <v>3065</v>
      </c>
      <c r="G1089" s="307">
        <v>6</v>
      </c>
      <c r="H1089" s="307" t="s">
        <v>858</v>
      </c>
      <c r="I1089" s="307" t="str">
        <f>("1011010204")</f>
        <v>1011010204</v>
      </c>
    </row>
    <row r="1090" spans="1:9" ht="13.5">
      <c r="A1090" s="419" t="str">
        <f t="shared" si="17"/>
        <v>スマイス・セレソン_9</v>
      </c>
      <c r="B1090" s="307" t="s">
        <v>30</v>
      </c>
      <c r="C1090" s="307" t="str">
        <f>("9")</f>
        <v>9</v>
      </c>
      <c r="D1090" s="307" t="s">
        <v>859</v>
      </c>
      <c r="E1090" s="307" t="s">
        <v>3066</v>
      </c>
      <c r="F1090" s="307" t="s">
        <v>3067</v>
      </c>
      <c r="G1090" s="307">
        <v>6</v>
      </c>
      <c r="H1090" s="307" t="s">
        <v>858</v>
      </c>
      <c r="I1090" s="307" t="str">
        <f>("1010080177")</f>
        <v>1010080177</v>
      </c>
    </row>
    <row r="1091" spans="1:10" ht="13.5">
      <c r="A1091" s="419" t="str">
        <f t="shared" si="17"/>
        <v>スマイス・セレソン_10</v>
      </c>
      <c r="B1091" s="307" t="s">
        <v>30</v>
      </c>
      <c r="C1091" s="307" t="str">
        <f>("10")</f>
        <v>10</v>
      </c>
      <c r="D1091" s="307" t="s">
        <v>862</v>
      </c>
      <c r="E1091" s="307" t="s">
        <v>3068</v>
      </c>
      <c r="F1091" s="307" t="s">
        <v>3069</v>
      </c>
      <c r="G1091" s="307">
        <v>6</v>
      </c>
      <c r="H1091" s="307" t="s">
        <v>858</v>
      </c>
      <c r="I1091" s="307" t="str">
        <f>("1006070197")</f>
        <v>1006070197</v>
      </c>
      <c r="J1091" s="307" t="s">
        <v>15</v>
      </c>
    </row>
    <row r="1092" spans="1:9" ht="13.5">
      <c r="A1092" s="419" t="str">
        <f t="shared" si="17"/>
        <v>スマイス・セレソン_11</v>
      </c>
      <c r="B1092" s="307" t="s">
        <v>30</v>
      </c>
      <c r="C1092" s="307" t="str">
        <f>("11")</f>
        <v>11</v>
      </c>
      <c r="D1092" s="307" t="s">
        <v>884</v>
      </c>
      <c r="E1092" s="307" t="s">
        <v>3070</v>
      </c>
      <c r="F1092" s="307" t="s">
        <v>3071</v>
      </c>
      <c r="G1092" s="307">
        <v>5</v>
      </c>
      <c r="H1092" s="307" t="s">
        <v>858</v>
      </c>
      <c r="I1092" s="307" t="str">
        <f>("1104170089")</f>
        <v>1104170089</v>
      </c>
    </row>
    <row r="1093" spans="1:9" ht="13.5">
      <c r="A1093" s="419" t="str">
        <f t="shared" si="17"/>
        <v>スマイス・セレソン_12</v>
      </c>
      <c r="B1093" s="307" t="s">
        <v>30</v>
      </c>
      <c r="C1093" s="307" t="str">
        <f>("12")</f>
        <v>12</v>
      </c>
      <c r="D1093" s="307" t="s">
        <v>862</v>
      </c>
      <c r="E1093" s="307" t="s">
        <v>3072</v>
      </c>
      <c r="F1093" s="307" t="s">
        <v>3073</v>
      </c>
      <c r="G1093" s="307">
        <v>6</v>
      </c>
      <c r="H1093" s="307" t="s">
        <v>858</v>
      </c>
      <c r="I1093" s="307" t="str">
        <f>("1004180162")</f>
        <v>1004180162</v>
      </c>
    </row>
    <row r="1094" spans="1:9" ht="13.5">
      <c r="A1094" s="419" t="str">
        <f t="shared" si="17"/>
        <v>スマイス・セレソン_13</v>
      </c>
      <c r="B1094" s="307" t="s">
        <v>30</v>
      </c>
      <c r="C1094" s="307" t="str">
        <f>("13")</f>
        <v>13</v>
      </c>
      <c r="D1094" s="307" t="s">
        <v>859</v>
      </c>
      <c r="E1094" s="307" t="s">
        <v>3074</v>
      </c>
      <c r="F1094" s="307" t="s">
        <v>3075</v>
      </c>
      <c r="G1094" s="307">
        <v>6</v>
      </c>
      <c r="H1094" s="307" t="s">
        <v>858</v>
      </c>
      <c r="I1094" s="307" t="str">
        <f>("1006240189")</f>
        <v>1006240189</v>
      </c>
    </row>
    <row r="1095" spans="1:9" ht="13.5">
      <c r="A1095" s="419" t="str">
        <f t="shared" si="17"/>
        <v>スマイス・セレソン_14</v>
      </c>
      <c r="B1095" s="307" t="s">
        <v>30</v>
      </c>
      <c r="C1095" s="307" t="str">
        <f>("14")</f>
        <v>14</v>
      </c>
      <c r="D1095" s="307" t="s">
        <v>862</v>
      </c>
      <c r="E1095" s="307" t="s">
        <v>3076</v>
      </c>
      <c r="F1095" s="307" t="s">
        <v>3077</v>
      </c>
      <c r="G1095" s="307">
        <v>6</v>
      </c>
      <c r="H1095" s="307" t="s">
        <v>858</v>
      </c>
      <c r="I1095" s="307" t="str">
        <f>("1007090169")</f>
        <v>1007090169</v>
      </c>
    </row>
    <row r="1096" spans="1:9" ht="13.5">
      <c r="A1096" s="419" t="str">
        <f t="shared" si="17"/>
        <v>スマイス・セレソン_15</v>
      </c>
      <c r="B1096" s="307" t="s">
        <v>30</v>
      </c>
      <c r="C1096" s="307" t="str">
        <f>("15")</f>
        <v>15</v>
      </c>
      <c r="D1096" s="307" t="s">
        <v>859</v>
      </c>
      <c r="E1096" s="307" t="s">
        <v>3078</v>
      </c>
      <c r="F1096" s="307" t="s">
        <v>3079</v>
      </c>
      <c r="G1096" s="307">
        <v>6</v>
      </c>
      <c r="H1096" s="307" t="s">
        <v>858</v>
      </c>
      <c r="I1096" s="307" t="str">
        <f>("1102060047")</f>
        <v>1102060047</v>
      </c>
    </row>
    <row r="1097" spans="1:9" ht="13.5">
      <c r="A1097" s="419" t="str">
        <f t="shared" si="17"/>
        <v>スマイス・セレソン_16</v>
      </c>
      <c r="B1097" s="307" t="s">
        <v>30</v>
      </c>
      <c r="C1097" s="307" t="str">
        <f>("16")</f>
        <v>16</v>
      </c>
      <c r="D1097" s="307" t="s">
        <v>855</v>
      </c>
      <c r="E1097" s="307" t="s">
        <v>3080</v>
      </c>
      <c r="F1097" s="307" t="s">
        <v>3081</v>
      </c>
      <c r="G1097" s="307">
        <v>6</v>
      </c>
      <c r="H1097" s="307" t="s">
        <v>858</v>
      </c>
      <c r="I1097" s="307" t="str">
        <f>("1007020180")</f>
        <v>1007020180</v>
      </c>
    </row>
    <row r="1098" spans="1:9" ht="13.5">
      <c r="A1098" s="419" t="str">
        <f t="shared" si="17"/>
        <v>カティオーラフットボールクラブＵ－１２_1</v>
      </c>
      <c r="B1098" s="307" t="s">
        <v>252</v>
      </c>
      <c r="C1098" s="307" t="str">
        <f>("1")</f>
        <v>1</v>
      </c>
      <c r="D1098" s="307" t="s">
        <v>855</v>
      </c>
      <c r="E1098" s="307" t="s">
        <v>3082</v>
      </c>
      <c r="F1098" s="307" t="s">
        <v>3083</v>
      </c>
      <c r="G1098" s="307">
        <v>6</v>
      </c>
      <c r="H1098" s="307" t="s">
        <v>858</v>
      </c>
      <c r="I1098" s="307" t="str">
        <f>("1004300068")</f>
        <v>1004300068</v>
      </c>
    </row>
    <row r="1099" spans="1:9" ht="13.5">
      <c r="A1099" s="419" t="str">
        <f t="shared" si="17"/>
        <v>カティオーラフットボールクラブＵ－１２_2</v>
      </c>
      <c r="B1099" s="307" t="s">
        <v>252</v>
      </c>
      <c r="C1099" s="307" t="str">
        <f>("2")</f>
        <v>2</v>
      </c>
      <c r="D1099" s="307" t="s">
        <v>859</v>
      </c>
      <c r="E1099" s="307" t="s">
        <v>3084</v>
      </c>
      <c r="F1099" s="307" t="s">
        <v>3085</v>
      </c>
      <c r="G1099" s="307">
        <v>6</v>
      </c>
      <c r="H1099" s="307" t="s">
        <v>858</v>
      </c>
      <c r="I1099" s="307" t="str">
        <f>("1010120159")</f>
        <v>1010120159</v>
      </c>
    </row>
    <row r="1100" spans="1:9" ht="13.5">
      <c r="A1100" s="419" t="str">
        <f t="shared" si="17"/>
        <v>カティオーラフットボールクラブＵ－１２_3</v>
      </c>
      <c r="B1100" s="307" t="s">
        <v>252</v>
      </c>
      <c r="C1100" s="307" t="str">
        <f>("3")</f>
        <v>3</v>
      </c>
      <c r="D1100" s="307" t="s">
        <v>859</v>
      </c>
      <c r="E1100" s="307" t="s">
        <v>3086</v>
      </c>
      <c r="F1100" s="307" t="s">
        <v>3087</v>
      </c>
      <c r="G1100" s="307">
        <v>6</v>
      </c>
      <c r="H1100" s="307" t="s">
        <v>858</v>
      </c>
      <c r="I1100" s="307" t="str">
        <f>("1005180156")</f>
        <v>1005180156</v>
      </c>
    </row>
    <row r="1101" spans="1:9" ht="13.5">
      <c r="A1101" s="419" t="str">
        <f t="shared" si="17"/>
        <v>カティオーラフットボールクラブＵ－１２_4</v>
      </c>
      <c r="B1101" s="307" t="s">
        <v>252</v>
      </c>
      <c r="C1101" s="307" t="str">
        <f>("4")</f>
        <v>4</v>
      </c>
      <c r="D1101" s="307" t="s">
        <v>862</v>
      </c>
      <c r="E1101" s="307" t="s">
        <v>3088</v>
      </c>
      <c r="F1101" s="307" t="s">
        <v>3089</v>
      </c>
      <c r="G1101" s="307">
        <v>6</v>
      </c>
      <c r="H1101" s="307" t="s">
        <v>858</v>
      </c>
      <c r="I1101" s="307" t="str">
        <f>("1103250111")</f>
        <v>1103250111</v>
      </c>
    </row>
    <row r="1102" spans="1:9" ht="13.5">
      <c r="A1102" s="419" t="str">
        <f t="shared" si="17"/>
        <v>カティオーラフットボールクラブＵ－１２_5</v>
      </c>
      <c r="B1102" s="307" t="s">
        <v>252</v>
      </c>
      <c r="C1102" s="307" t="str">
        <f>("5")</f>
        <v>5</v>
      </c>
      <c r="D1102" s="307" t="s">
        <v>862</v>
      </c>
      <c r="E1102" s="307" t="s">
        <v>3090</v>
      </c>
      <c r="F1102" s="307" t="s">
        <v>3091</v>
      </c>
      <c r="G1102" s="307">
        <v>6</v>
      </c>
      <c r="H1102" s="307" t="s">
        <v>858</v>
      </c>
      <c r="I1102" s="307" t="str">
        <f>("1005170168")</f>
        <v>1005170168</v>
      </c>
    </row>
    <row r="1103" spans="1:9" ht="13.5">
      <c r="A1103" s="419" t="str">
        <f t="shared" si="17"/>
        <v>カティオーラフットボールクラブＵ－１２_6</v>
      </c>
      <c r="B1103" s="307" t="s">
        <v>252</v>
      </c>
      <c r="C1103" s="307" t="str">
        <f>("6")</f>
        <v>6</v>
      </c>
      <c r="D1103" s="307" t="s">
        <v>862</v>
      </c>
      <c r="E1103" s="307" t="s">
        <v>3092</v>
      </c>
      <c r="F1103" s="307" t="s">
        <v>3093</v>
      </c>
      <c r="G1103" s="307">
        <v>5</v>
      </c>
      <c r="H1103" s="307" t="s">
        <v>858</v>
      </c>
      <c r="I1103" s="307" t="str">
        <f>("1202200153")</f>
        <v>1202200153</v>
      </c>
    </row>
    <row r="1104" spans="1:9" ht="13.5">
      <c r="A1104" s="419" t="str">
        <f t="shared" si="17"/>
        <v>カティオーラフットボールクラブＵ－１２_7</v>
      </c>
      <c r="B1104" s="307" t="s">
        <v>252</v>
      </c>
      <c r="C1104" s="307" t="str">
        <f>("7")</f>
        <v>7</v>
      </c>
      <c r="D1104" s="307" t="s">
        <v>859</v>
      </c>
      <c r="E1104" s="307" t="s">
        <v>3094</v>
      </c>
      <c r="F1104" s="307" t="s">
        <v>3095</v>
      </c>
      <c r="G1104" s="307">
        <v>6</v>
      </c>
      <c r="H1104" s="307" t="s">
        <v>858</v>
      </c>
      <c r="I1104" s="307" t="str">
        <f>("1004120175")</f>
        <v>1004120175</v>
      </c>
    </row>
    <row r="1105" spans="1:9" ht="13.5">
      <c r="A1105" s="419" t="str">
        <f t="shared" si="17"/>
        <v>カティオーラフットボールクラブＵ－１２_8</v>
      </c>
      <c r="B1105" s="307" t="s">
        <v>252</v>
      </c>
      <c r="C1105" s="307" t="str">
        <f>("8")</f>
        <v>8</v>
      </c>
      <c r="D1105" s="307" t="s">
        <v>859</v>
      </c>
      <c r="E1105" s="307" t="s">
        <v>3096</v>
      </c>
      <c r="F1105" s="307" t="s">
        <v>3097</v>
      </c>
      <c r="G1105" s="307">
        <v>6</v>
      </c>
      <c r="H1105" s="307" t="s">
        <v>858</v>
      </c>
      <c r="I1105" s="307" t="str">
        <f>("1101160098")</f>
        <v>1101160098</v>
      </c>
    </row>
    <row r="1106" spans="1:9" ht="13.5">
      <c r="A1106" s="419" t="str">
        <f t="shared" si="17"/>
        <v>カティオーラフットボールクラブＵ－１２_9</v>
      </c>
      <c r="B1106" s="307" t="s">
        <v>252</v>
      </c>
      <c r="C1106" s="307" t="str">
        <f>("9")</f>
        <v>9</v>
      </c>
      <c r="D1106" s="307" t="s">
        <v>862</v>
      </c>
      <c r="E1106" s="307" t="s">
        <v>3098</v>
      </c>
      <c r="F1106" s="307" t="s">
        <v>3099</v>
      </c>
      <c r="G1106" s="307">
        <v>6</v>
      </c>
      <c r="H1106" s="307" t="s">
        <v>858</v>
      </c>
      <c r="I1106" s="307" t="str">
        <f>("1005310105")</f>
        <v>1005310105</v>
      </c>
    </row>
    <row r="1107" spans="1:10" ht="13.5">
      <c r="A1107" s="419" t="str">
        <f t="shared" si="17"/>
        <v>カティオーラフットボールクラブＵ－１２_10</v>
      </c>
      <c r="B1107" s="307" t="s">
        <v>252</v>
      </c>
      <c r="C1107" s="307" t="str">
        <f>("10")</f>
        <v>10</v>
      </c>
      <c r="D1107" s="307" t="s">
        <v>862</v>
      </c>
      <c r="E1107" s="307" t="s">
        <v>3100</v>
      </c>
      <c r="F1107" s="307" t="s">
        <v>3101</v>
      </c>
      <c r="G1107" s="307">
        <v>6</v>
      </c>
      <c r="H1107" s="307" t="s">
        <v>858</v>
      </c>
      <c r="I1107" s="307" t="str">
        <f>("1008210017")</f>
        <v>1008210017</v>
      </c>
      <c r="J1107" s="307" t="s">
        <v>15</v>
      </c>
    </row>
    <row r="1108" spans="1:9" ht="13.5">
      <c r="A1108" s="419" t="str">
        <f t="shared" si="17"/>
        <v>カティオーラフットボールクラブＵ－１２_11</v>
      </c>
      <c r="B1108" s="307" t="s">
        <v>252</v>
      </c>
      <c r="C1108" s="307" t="str">
        <f>("11")</f>
        <v>11</v>
      </c>
      <c r="D1108" s="307" t="s">
        <v>862</v>
      </c>
      <c r="E1108" s="307" t="s">
        <v>3102</v>
      </c>
      <c r="F1108" s="307" t="s">
        <v>3103</v>
      </c>
      <c r="G1108" s="307">
        <v>6</v>
      </c>
      <c r="H1108" s="307" t="s">
        <v>858</v>
      </c>
      <c r="I1108" s="307" t="str">
        <f>("1004300203")</f>
        <v>1004300203</v>
      </c>
    </row>
    <row r="1109" spans="1:9" ht="13.5">
      <c r="A1109" s="419" t="str">
        <f t="shared" si="17"/>
        <v>カティオーラフットボールクラブＵ－１２_12</v>
      </c>
      <c r="B1109" s="307" t="s">
        <v>252</v>
      </c>
      <c r="C1109" s="307" t="str">
        <f>("12")</f>
        <v>12</v>
      </c>
      <c r="D1109" s="307" t="s">
        <v>862</v>
      </c>
      <c r="E1109" s="307" t="s">
        <v>3104</v>
      </c>
      <c r="F1109" s="307" t="s">
        <v>3105</v>
      </c>
      <c r="G1109" s="307">
        <v>4</v>
      </c>
      <c r="H1109" s="307" t="s">
        <v>858</v>
      </c>
      <c r="I1109" s="307" t="str">
        <f>("1209070099")</f>
        <v>1209070099</v>
      </c>
    </row>
    <row r="1110" spans="1:9" ht="13.5">
      <c r="A1110" s="419" t="str">
        <f t="shared" si="17"/>
        <v>カティオーラフットボールクラブＵ－１２_13</v>
      </c>
      <c r="B1110" s="307" t="s">
        <v>252</v>
      </c>
      <c r="C1110" s="307" t="str">
        <f>("13")</f>
        <v>13</v>
      </c>
      <c r="D1110" s="307" t="s">
        <v>862</v>
      </c>
      <c r="E1110" s="307" t="s">
        <v>3106</v>
      </c>
      <c r="F1110" s="307" t="s">
        <v>1863</v>
      </c>
      <c r="G1110" s="307">
        <v>5</v>
      </c>
      <c r="H1110" s="307" t="s">
        <v>858</v>
      </c>
      <c r="I1110" s="307" t="str">
        <f>("1106060177")</f>
        <v>1106060177</v>
      </c>
    </row>
    <row r="1111" spans="1:9" ht="13.5">
      <c r="A1111" s="419" t="str">
        <f t="shared" si="17"/>
        <v>カティオーラフットボールクラブＵ－１２_14</v>
      </c>
      <c r="B1111" s="307" t="s">
        <v>252</v>
      </c>
      <c r="C1111" s="307" t="str">
        <f>("14")</f>
        <v>14</v>
      </c>
      <c r="D1111" s="307" t="s">
        <v>859</v>
      </c>
      <c r="E1111" s="307" t="s">
        <v>3107</v>
      </c>
      <c r="F1111" s="307" t="s">
        <v>3108</v>
      </c>
      <c r="G1111" s="307">
        <v>5</v>
      </c>
      <c r="H1111" s="307" t="s">
        <v>858</v>
      </c>
      <c r="I1111" s="307" t="str">
        <f>("1105110213")</f>
        <v>1105110213</v>
      </c>
    </row>
    <row r="1112" spans="1:9" ht="13.5">
      <c r="A1112" s="419" t="str">
        <f t="shared" si="17"/>
        <v>カティオーラフットボールクラブＵ－１２_15</v>
      </c>
      <c r="B1112" s="307" t="s">
        <v>252</v>
      </c>
      <c r="C1112" s="307" t="str">
        <f>("15")</f>
        <v>15</v>
      </c>
      <c r="D1112" s="307" t="s">
        <v>884</v>
      </c>
      <c r="E1112" s="307" t="s">
        <v>3109</v>
      </c>
      <c r="F1112" s="307" t="s">
        <v>3110</v>
      </c>
      <c r="G1112" s="307">
        <v>5</v>
      </c>
      <c r="H1112" s="307" t="s">
        <v>858</v>
      </c>
      <c r="I1112" s="307" t="str">
        <f>("1107280172")</f>
        <v>1107280172</v>
      </c>
    </row>
    <row r="1113" spans="1:9" ht="13.5">
      <c r="A1113" s="419" t="str">
        <f t="shared" si="17"/>
        <v>カティオーラフットボールクラブＵ－１２_16</v>
      </c>
      <c r="B1113" s="307" t="s">
        <v>252</v>
      </c>
      <c r="C1113" s="307" t="str">
        <f>("16")</f>
        <v>16</v>
      </c>
      <c r="D1113" s="307" t="s">
        <v>884</v>
      </c>
      <c r="E1113" s="307" t="s">
        <v>3111</v>
      </c>
      <c r="F1113" s="307" t="s">
        <v>3112</v>
      </c>
      <c r="G1113" s="307">
        <v>4</v>
      </c>
      <c r="H1113" s="307" t="s">
        <v>858</v>
      </c>
      <c r="I1113" s="307" t="str">
        <f>("1302070091")</f>
        <v>1302070091</v>
      </c>
    </row>
    <row r="1114" spans="1:9" ht="13.5">
      <c r="A1114" s="419" t="str">
        <f t="shared" si="17"/>
        <v>カティオーラフットボールクラブＵ－１２　Ｎｅｘｔ_1</v>
      </c>
      <c r="B1114" s="307" t="s">
        <v>3113</v>
      </c>
      <c r="C1114" s="307" t="str">
        <f>("1")</f>
        <v>1</v>
      </c>
      <c r="D1114" s="307" t="s">
        <v>855</v>
      </c>
      <c r="E1114" s="307" t="s">
        <v>3114</v>
      </c>
      <c r="F1114" s="307" t="s">
        <v>3115</v>
      </c>
      <c r="G1114" s="307">
        <v>6</v>
      </c>
      <c r="H1114" s="307" t="s">
        <v>858</v>
      </c>
      <c r="I1114" s="307" t="str">
        <f>("1012050075")</f>
        <v>1012050075</v>
      </c>
    </row>
    <row r="1115" spans="1:9" ht="13.5">
      <c r="A1115" s="419" t="str">
        <f t="shared" si="17"/>
        <v>カティオーラフットボールクラブＵ－１２　Ｎｅｘｔ_2</v>
      </c>
      <c r="B1115" s="307" t="s">
        <v>3113</v>
      </c>
      <c r="C1115" s="307" t="str">
        <f>("2")</f>
        <v>2</v>
      </c>
      <c r="D1115" s="307" t="s">
        <v>859</v>
      </c>
      <c r="E1115" s="307" t="s">
        <v>3116</v>
      </c>
      <c r="F1115" s="307" t="s">
        <v>3117</v>
      </c>
      <c r="G1115" s="307">
        <v>6</v>
      </c>
      <c r="H1115" s="307" t="s">
        <v>869</v>
      </c>
      <c r="I1115" s="307" t="str">
        <f>("1011240019")</f>
        <v>1011240019</v>
      </c>
    </row>
    <row r="1116" spans="1:9" ht="13.5">
      <c r="A1116" s="419" t="str">
        <f t="shared" si="17"/>
        <v>カティオーラフットボールクラブＵ－１２　Ｎｅｘｔ_3</v>
      </c>
      <c r="B1116" s="307" t="s">
        <v>3113</v>
      </c>
      <c r="C1116" s="307" t="str">
        <f>("3")</f>
        <v>3</v>
      </c>
      <c r="D1116" s="307" t="s">
        <v>859</v>
      </c>
      <c r="E1116" s="307" t="s">
        <v>3118</v>
      </c>
      <c r="F1116" s="307" t="s">
        <v>3119</v>
      </c>
      <c r="G1116" s="307">
        <v>6</v>
      </c>
      <c r="H1116" s="307" t="s">
        <v>858</v>
      </c>
      <c r="I1116" s="307" t="str">
        <f>("1008070123")</f>
        <v>1008070123</v>
      </c>
    </row>
    <row r="1117" spans="1:9" ht="13.5">
      <c r="A1117" s="419" t="str">
        <f t="shared" si="17"/>
        <v>カティオーラフットボールクラブＵ－１２　Ｎｅｘｔ_4</v>
      </c>
      <c r="B1117" s="307" t="s">
        <v>3113</v>
      </c>
      <c r="C1117" s="307" t="str">
        <f>("4")</f>
        <v>4</v>
      </c>
      <c r="D1117" s="307" t="s">
        <v>862</v>
      </c>
      <c r="E1117" s="307" t="s">
        <v>3120</v>
      </c>
      <c r="F1117" s="307" t="s">
        <v>3121</v>
      </c>
      <c r="G1117" s="307">
        <v>5</v>
      </c>
      <c r="H1117" s="307" t="s">
        <v>858</v>
      </c>
      <c r="I1117" s="307" t="str">
        <f>("1109270125")</f>
        <v>1109270125</v>
      </c>
    </row>
    <row r="1118" spans="1:9" ht="13.5">
      <c r="A1118" s="419" t="str">
        <f t="shared" si="17"/>
        <v>カティオーラフットボールクラブＵ－１２　Ｎｅｘｔ_5</v>
      </c>
      <c r="B1118" s="307" t="s">
        <v>3113</v>
      </c>
      <c r="C1118" s="307" t="str">
        <f>("5")</f>
        <v>5</v>
      </c>
      <c r="D1118" s="307" t="s">
        <v>859</v>
      </c>
      <c r="E1118" s="307" t="s">
        <v>3122</v>
      </c>
      <c r="F1118" s="307" t="s">
        <v>3123</v>
      </c>
      <c r="G1118" s="307">
        <v>6</v>
      </c>
      <c r="H1118" s="307" t="s">
        <v>858</v>
      </c>
      <c r="I1118" s="307" t="str">
        <f>("1006030151")</f>
        <v>1006030151</v>
      </c>
    </row>
    <row r="1119" spans="1:9" ht="13.5">
      <c r="A1119" s="419" t="str">
        <f t="shared" si="17"/>
        <v>カティオーラフットボールクラブＵ－１２　Ｎｅｘｔ_6</v>
      </c>
      <c r="B1119" s="307" t="s">
        <v>3113</v>
      </c>
      <c r="C1119" s="307" t="str">
        <f>("6")</f>
        <v>6</v>
      </c>
      <c r="D1119" s="307" t="s">
        <v>862</v>
      </c>
      <c r="E1119" s="307" t="s">
        <v>3124</v>
      </c>
      <c r="F1119" s="307" t="s">
        <v>3125</v>
      </c>
      <c r="G1119" s="307">
        <v>6</v>
      </c>
      <c r="H1119" s="307" t="s">
        <v>869</v>
      </c>
      <c r="I1119" s="307" t="str">
        <f>("1007070286")</f>
        <v>1007070286</v>
      </c>
    </row>
    <row r="1120" spans="1:9" ht="13.5">
      <c r="A1120" s="419" t="str">
        <f t="shared" si="17"/>
        <v>カティオーラフットボールクラブＵ－１２　Ｎｅｘｔ_7</v>
      </c>
      <c r="B1120" s="307" t="s">
        <v>3113</v>
      </c>
      <c r="C1120" s="307" t="str">
        <f>("7")</f>
        <v>7</v>
      </c>
      <c r="D1120" s="307" t="s">
        <v>862</v>
      </c>
      <c r="E1120" s="307" t="s">
        <v>3126</v>
      </c>
      <c r="F1120" s="307" t="s">
        <v>3127</v>
      </c>
      <c r="G1120" s="307">
        <v>6</v>
      </c>
      <c r="H1120" s="307" t="s">
        <v>858</v>
      </c>
      <c r="I1120" s="307" t="str">
        <f>("1101280126")</f>
        <v>1101280126</v>
      </c>
    </row>
    <row r="1121" spans="1:9" ht="13.5">
      <c r="A1121" s="419" t="str">
        <f t="shared" si="17"/>
        <v>カティオーラフットボールクラブＵ－１２　Ｎｅｘｔ_8</v>
      </c>
      <c r="B1121" s="307" t="s">
        <v>3113</v>
      </c>
      <c r="C1121" s="307" t="str">
        <f>("8")</f>
        <v>8</v>
      </c>
      <c r="D1121" s="307" t="s">
        <v>859</v>
      </c>
      <c r="E1121" s="307" t="s">
        <v>3128</v>
      </c>
      <c r="F1121" s="307" t="s">
        <v>3129</v>
      </c>
      <c r="G1121" s="307">
        <v>6</v>
      </c>
      <c r="H1121" s="307" t="s">
        <v>858</v>
      </c>
      <c r="I1121" s="307" t="str">
        <f>("1011120214")</f>
        <v>1011120214</v>
      </c>
    </row>
    <row r="1122" spans="1:9" ht="13.5">
      <c r="A1122" s="419" t="str">
        <f t="shared" si="17"/>
        <v>カティオーラフットボールクラブＵ－１２　Ｎｅｘｔ_9</v>
      </c>
      <c r="B1122" s="307" t="s">
        <v>3113</v>
      </c>
      <c r="C1122" s="307" t="str">
        <f>("9")</f>
        <v>9</v>
      </c>
      <c r="D1122" s="307" t="s">
        <v>884</v>
      </c>
      <c r="E1122" s="307" t="s">
        <v>3130</v>
      </c>
      <c r="F1122" s="307" t="s">
        <v>3131</v>
      </c>
      <c r="G1122" s="307">
        <v>6</v>
      </c>
      <c r="H1122" s="307" t="s">
        <v>869</v>
      </c>
      <c r="I1122" s="307" t="str">
        <f>("1004260255")</f>
        <v>1004260255</v>
      </c>
    </row>
    <row r="1123" spans="1:10" ht="13.5">
      <c r="A1123" s="419" t="str">
        <f t="shared" si="17"/>
        <v>カティオーラフットボールクラブＵ－１２　Ｎｅｘｔ_10</v>
      </c>
      <c r="B1123" s="307" t="s">
        <v>3113</v>
      </c>
      <c r="C1123" s="307" t="str">
        <f>("10")</f>
        <v>10</v>
      </c>
      <c r="D1123" s="307" t="s">
        <v>862</v>
      </c>
      <c r="E1123" s="307" t="s">
        <v>3132</v>
      </c>
      <c r="F1123" s="307" t="s">
        <v>3133</v>
      </c>
      <c r="G1123" s="307">
        <v>6</v>
      </c>
      <c r="H1123" s="307" t="s">
        <v>858</v>
      </c>
      <c r="I1123" s="307" t="str">
        <f>("1004260011")</f>
        <v>1004260011</v>
      </c>
      <c r="J1123" s="307" t="s">
        <v>15</v>
      </c>
    </row>
    <row r="1124" spans="1:9" ht="13.5">
      <c r="A1124" s="419" t="str">
        <f t="shared" si="17"/>
        <v>カティオーラフットボールクラブＵ－１２　Ｎｅｘｔ_11</v>
      </c>
      <c r="B1124" s="307" t="s">
        <v>3113</v>
      </c>
      <c r="C1124" s="307" t="str">
        <f>("11")</f>
        <v>11</v>
      </c>
      <c r="D1124" s="307" t="s">
        <v>859</v>
      </c>
      <c r="E1124" s="307" t="s">
        <v>3134</v>
      </c>
      <c r="F1124" s="307" t="s">
        <v>3135</v>
      </c>
      <c r="G1124" s="307">
        <v>6</v>
      </c>
      <c r="H1124" s="307" t="s">
        <v>858</v>
      </c>
      <c r="I1124" s="307" t="str">
        <f>("1005150125")</f>
        <v>1005150125</v>
      </c>
    </row>
    <row r="1125" spans="1:9" ht="13.5">
      <c r="A1125" s="419" t="str">
        <f t="shared" si="17"/>
        <v>カティオーラフットボールクラブＵ－１２　Ｎｅｘｔ_12</v>
      </c>
      <c r="B1125" s="307" t="s">
        <v>3113</v>
      </c>
      <c r="C1125" s="307" t="str">
        <f>("12")</f>
        <v>12</v>
      </c>
      <c r="D1125" s="307" t="s">
        <v>884</v>
      </c>
      <c r="E1125" s="307" t="s">
        <v>3136</v>
      </c>
      <c r="F1125" s="307" t="s">
        <v>3137</v>
      </c>
      <c r="G1125" s="307">
        <v>6</v>
      </c>
      <c r="H1125" s="307" t="s">
        <v>858</v>
      </c>
      <c r="I1125" s="307" t="str">
        <f>("1007310145")</f>
        <v>1007310145</v>
      </c>
    </row>
    <row r="1126" spans="1:10" ht="13.5">
      <c r="A1126" s="419" t="str">
        <f t="shared" si="17"/>
        <v>カティオーラフットボールクラブＵ－１２　Ｆｕｔｕｒｅ_1</v>
      </c>
      <c r="B1126" s="307" t="s">
        <v>3138</v>
      </c>
      <c r="C1126" s="307" t="str">
        <f>("1")</f>
        <v>1</v>
      </c>
      <c r="D1126" s="307" t="s">
        <v>855</v>
      </c>
      <c r="E1126" s="307" t="s">
        <v>3139</v>
      </c>
      <c r="F1126" s="307" t="s">
        <v>3140</v>
      </c>
      <c r="G1126" s="307">
        <v>6</v>
      </c>
      <c r="H1126" s="307" t="s">
        <v>858</v>
      </c>
      <c r="I1126" s="307" t="str">
        <f>("1009180115")</f>
        <v>1009180115</v>
      </c>
      <c r="J1126" s="307" t="s">
        <v>15</v>
      </c>
    </row>
    <row r="1127" spans="1:9" ht="13.5">
      <c r="A1127" s="419" t="str">
        <f t="shared" si="17"/>
        <v>カティオーラフットボールクラブＵ－１２　Ｆｕｔｕｒｅ_2</v>
      </c>
      <c r="B1127" s="307" t="s">
        <v>3138</v>
      </c>
      <c r="C1127" s="307" t="str">
        <f>("2")</f>
        <v>2</v>
      </c>
      <c r="D1127" s="307" t="s">
        <v>859</v>
      </c>
      <c r="E1127" s="307" t="s">
        <v>3141</v>
      </c>
      <c r="F1127" s="307" t="s">
        <v>3142</v>
      </c>
      <c r="G1127" s="307">
        <v>6</v>
      </c>
      <c r="H1127" s="307" t="s">
        <v>858</v>
      </c>
      <c r="I1127" s="307" t="str">
        <f>("1103080122")</f>
        <v>1103080122</v>
      </c>
    </row>
    <row r="1128" spans="1:9" ht="13.5">
      <c r="A1128" s="419" t="str">
        <f t="shared" si="17"/>
        <v>カティオーラフットボールクラブＵ－１２　Ｆｕｔｕｒｅ_3</v>
      </c>
      <c r="B1128" s="307" t="s">
        <v>3138</v>
      </c>
      <c r="C1128" s="307" t="str">
        <f>("3")</f>
        <v>3</v>
      </c>
      <c r="D1128" s="307" t="s">
        <v>859</v>
      </c>
      <c r="E1128" s="307" t="s">
        <v>3143</v>
      </c>
      <c r="F1128" s="307" t="s">
        <v>3144</v>
      </c>
      <c r="G1128" s="307">
        <v>6</v>
      </c>
      <c r="H1128" s="307" t="s">
        <v>858</v>
      </c>
      <c r="I1128" s="307" t="str">
        <f>("1011220227")</f>
        <v>1011220227</v>
      </c>
    </row>
    <row r="1129" spans="1:9" ht="13.5">
      <c r="A1129" s="419" t="str">
        <f t="shared" si="17"/>
        <v>カティオーラフットボールクラブＵ－１２　Ｆｕｔｕｒｅ_4</v>
      </c>
      <c r="B1129" s="307" t="s">
        <v>3138</v>
      </c>
      <c r="C1129" s="307" t="str">
        <f>("4")</f>
        <v>4</v>
      </c>
      <c r="D1129" s="307" t="s">
        <v>884</v>
      </c>
      <c r="E1129" s="307" t="s">
        <v>3145</v>
      </c>
      <c r="F1129" s="307" t="s">
        <v>3146</v>
      </c>
      <c r="G1129" s="307">
        <v>6</v>
      </c>
      <c r="H1129" s="307" t="s">
        <v>858</v>
      </c>
      <c r="I1129" s="307" t="str">
        <f>("1009250220")</f>
        <v>1009250220</v>
      </c>
    </row>
    <row r="1130" spans="1:9" ht="13.5">
      <c r="A1130" s="419" t="str">
        <f t="shared" si="17"/>
        <v>カティオーラフットボールクラブＵ－１２　Ｆｕｔｕｒｅ_5</v>
      </c>
      <c r="B1130" s="307" t="s">
        <v>3138</v>
      </c>
      <c r="C1130" s="307" t="str">
        <f>("5")</f>
        <v>5</v>
      </c>
      <c r="D1130" s="307" t="s">
        <v>862</v>
      </c>
      <c r="E1130" s="307" t="s">
        <v>3147</v>
      </c>
      <c r="F1130" s="307" t="s">
        <v>3148</v>
      </c>
      <c r="G1130" s="307">
        <v>6</v>
      </c>
      <c r="H1130" s="307" t="s">
        <v>869</v>
      </c>
      <c r="I1130" s="307" t="str">
        <f>("1103200137")</f>
        <v>1103200137</v>
      </c>
    </row>
    <row r="1131" spans="1:9" ht="13.5">
      <c r="A1131" s="419" t="str">
        <f t="shared" si="17"/>
        <v>カティオーラフットボールクラブＵ－１２　Ｆｕｔｕｒｅ_6</v>
      </c>
      <c r="B1131" s="307" t="s">
        <v>3138</v>
      </c>
      <c r="C1131" s="307" t="str">
        <f>("6")</f>
        <v>6</v>
      </c>
      <c r="D1131" s="307" t="s">
        <v>859</v>
      </c>
      <c r="E1131" s="307" t="s">
        <v>3149</v>
      </c>
      <c r="F1131" s="307" t="s">
        <v>3150</v>
      </c>
      <c r="G1131" s="307">
        <v>6</v>
      </c>
      <c r="H1131" s="307" t="s">
        <v>858</v>
      </c>
      <c r="I1131" s="307" t="str">
        <f>("1008210102")</f>
        <v>1008210102</v>
      </c>
    </row>
    <row r="1132" spans="1:9" ht="13.5">
      <c r="A1132" s="419" t="str">
        <f t="shared" si="17"/>
        <v>カティオーラフットボールクラブＵ－１２　Ｆｕｔｕｒｅ_7</v>
      </c>
      <c r="B1132" s="307" t="s">
        <v>3138</v>
      </c>
      <c r="C1132" s="307" t="str">
        <f>("7")</f>
        <v>7</v>
      </c>
      <c r="D1132" s="307" t="s">
        <v>862</v>
      </c>
      <c r="E1132" s="307" t="s">
        <v>3151</v>
      </c>
      <c r="F1132" s="307" t="s">
        <v>3152</v>
      </c>
      <c r="G1132" s="307">
        <v>6</v>
      </c>
      <c r="H1132" s="307" t="s">
        <v>858</v>
      </c>
      <c r="I1132" s="307" t="str">
        <f>("1011060130")</f>
        <v>1011060130</v>
      </c>
    </row>
    <row r="1133" spans="1:9" ht="13.5">
      <c r="A1133" s="419" t="str">
        <f t="shared" si="17"/>
        <v>カティオーラフットボールクラブＵ－１２　Ｆｕｔｕｒｅ_8</v>
      </c>
      <c r="B1133" s="307" t="s">
        <v>3138</v>
      </c>
      <c r="C1133" s="307" t="str">
        <f>("8")</f>
        <v>8</v>
      </c>
      <c r="D1133" s="307" t="s">
        <v>862</v>
      </c>
      <c r="E1133" s="307" t="s">
        <v>3153</v>
      </c>
      <c r="F1133" s="307" t="s">
        <v>1154</v>
      </c>
      <c r="G1133" s="307">
        <v>6</v>
      </c>
      <c r="H1133" s="307" t="s">
        <v>858</v>
      </c>
      <c r="I1133" s="307" t="str">
        <f>("1008210103")</f>
        <v>1008210103</v>
      </c>
    </row>
    <row r="1134" spans="1:9" ht="13.5">
      <c r="A1134" s="419" t="str">
        <f t="shared" si="17"/>
        <v>カティオーラフットボールクラブＵ－１２　Ｆｕｔｕｒｅ_9</v>
      </c>
      <c r="B1134" s="307" t="s">
        <v>3138</v>
      </c>
      <c r="C1134" s="307" t="str">
        <f>("9")</f>
        <v>9</v>
      </c>
      <c r="D1134" s="307" t="s">
        <v>862</v>
      </c>
      <c r="E1134" s="307" t="s">
        <v>3154</v>
      </c>
      <c r="F1134" s="307" t="s">
        <v>3155</v>
      </c>
      <c r="G1134" s="307">
        <v>6</v>
      </c>
      <c r="H1134" s="307" t="s">
        <v>858</v>
      </c>
      <c r="I1134" s="307" t="str">
        <f>("1011260148")</f>
        <v>1011260148</v>
      </c>
    </row>
    <row r="1135" spans="1:9" ht="13.5">
      <c r="A1135" s="419" t="str">
        <f t="shared" si="17"/>
        <v>カティオーラフットボールクラブＵ－１２　Ｆｕｔｕｒｅ_10</v>
      </c>
      <c r="B1135" s="307" t="s">
        <v>3138</v>
      </c>
      <c r="C1135" s="307" t="str">
        <f>("10")</f>
        <v>10</v>
      </c>
      <c r="D1135" s="307" t="s">
        <v>862</v>
      </c>
      <c r="E1135" s="307" t="s">
        <v>3156</v>
      </c>
      <c r="F1135" s="307" t="s">
        <v>3157</v>
      </c>
      <c r="G1135" s="307">
        <v>6</v>
      </c>
      <c r="H1135" s="307" t="s">
        <v>858</v>
      </c>
      <c r="I1135" s="307" t="str">
        <f>("1101220108")</f>
        <v>1101220108</v>
      </c>
    </row>
    <row r="1136" spans="1:9" ht="13.5">
      <c r="A1136" s="419" t="str">
        <f t="shared" si="17"/>
        <v>カティオーラフットボールクラブＵ－１２　Ｆｕｔｕｒｅ_11</v>
      </c>
      <c r="B1136" s="307" t="s">
        <v>3138</v>
      </c>
      <c r="C1136" s="307" t="str">
        <f>("11")</f>
        <v>11</v>
      </c>
      <c r="D1136" s="307" t="s">
        <v>884</v>
      </c>
      <c r="E1136" s="307" t="s">
        <v>3158</v>
      </c>
      <c r="F1136" s="307" t="s">
        <v>3159</v>
      </c>
      <c r="G1136" s="307">
        <v>6</v>
      </c>
      <c r="H1136" s="307" t="s">
        <v>858</v>
      </c>
      <c r="I1136" s="307" t="str">
        <f>("1009030212")</f>
        <v>1009030212</v>
      </c>
    </row>
    <row r="1137" spans="1:9" ht="13.5">
      <c r="A1137" s="419" t="str">
        <f t="shared" si="17"/>
        <v>カティオーラフットボールクラブＵ－１２　Ｆｕｔｕｒｅ_12</v>
      </c>
      <c r="B1137" s="307" t="s">
        <v>3138</v>
      </c>
      <c r="C1137" s="307" t="str">
        <f>("12")</f>
        <v>12</v>
      </c>
      <c r="D1137" s="307" t="s">
        <v>859</v>
      </c>
      <c r="E1137" s="307" t="s">
        <v>3160</v>
      </c>
      <c r="F1137" s="307" t="s">
        <v>3161</v>
      </c>
      <c r="G1137" s="307">
        <v>6</v>
      </c>
      <c r="H1137" s="307" t="s">
        <v>858</v>
      </c>
      <c r="I1137" s="307" t="str">
        <f>("1009290138")</f>
        <v>1009290138</v>
      </c>
    </row>
    <row r="1138" spans="1:9" ht="13.5">
      <c r="A1138" s="419" t="str">
        <f t="shared" si="17"/>
        <v>カティオーラフットボールクラブＵ－１２　Ｆｕｔｕｒｅ_13</v>
      </c>
      <c r="B1138" s="307" t="s">
        <v>3138</v>
      </c>
      <c r="C1138" s="307" t="str">
        <f>("13")</f>
        <v>13</v>
      </c>
      <c r="D1138" s="307" t="s">
        <v>862</v>
      </c>
      <c r="E1138" s="307" t="s">
        <v>3162</v>
      </c>
      <c r="F1138" s="307" t="s">
        <v>3163</v>
      </c>
      <c r="G1138" s="307">
        <v>5</v>
      </c>
      <c r="H1138" s="307" t="s">
        <v>858</v>
      </c>
      <c r="I1138" s="307" t="str">
        <f>("1104040180")</f>
        <v>1104040180</v>
      </c>
    </row>
    <row r="1139" spans="1:9" ht="13.5">
      <c r="A1139" s="419" t="str">
        <f t="shared" si="17"/>
        <v>森岡サッカースポーツ少年団_1</v>
      </c>
      <c r="B1139" s="307" t="s">
        <v>282</v>
      </c>
      <c r="C1139" s="307" t="str">
        <f>("1")</f>
        <v>1</v>
      </c>
      <c r="D1139" s="307" t="s">
        <v>855</v>
      </c>
      <c r="E1139" s="307" t="s">
        <v>3164</v>
      </c>
      <c r="F1139" s="307" t="s">
        <v>3165</v>
      </c>
      <c r="G1139" s="307">
        <v>5</v>
      </c>
      <c r="H1139" s="307" t="s">
        <v>858</v>
      </c>
      <c r="I1139" s="307" t="str">
        <f>("1201210028")</f>
        <v>1201210028</v>
      </c>
    </row>
    <row r="1140" spans="1:9" ht="13.5">
      <c r="A1140" s="419" t="str">
        <f t="shared" si="17"/>
        <v>森岡サッカースポーツ少年団_2</v>
      </c>
      <c r="B1140" s="307" t="s">
        <v>282</v>
      </c>
      <c r="C1140" s="307" t="str">
        <f>("2")</f>
        <v>2</v>
      </c>
      <c r="D1140" s="307" t="s">
        <v>862</v>
      </c>
      <c r="E1140" s="307" t="s">
        <v>3166</v>
      </c>
      <c r="F1140" s="307" t="s">
        <v>3167</v>
      </c>
      <c r="G1140" s="307">
        <v>4</v>
      </c>
      <c r="H1140" s="307" t="s">
        <v>858</v>
      </c>
      <c r="I1140" s="307" t="str">
        <f>("1303210079")</f>
        <v>1303210079</v>
      </c>
    </row>
    <row r="1141" spans="1:9" ht="13.5">
      <c r="A1141" s="419" t="str">
        <f t="shared" si="17"/>
        <v>森岡サッカースポーツ少年団_3</v>
      </c>
      <c r="B1141" s="307" t="s">
        <v>282</v>
      </c>
      <c r="C1141" s="307" t="str">
        <f>("3")</f>
        <v>3</v>
      </c>
      <c r="D1141" s="307" t="s">
        <v>862</v>
      </c>
      <c r="E1141" s="307" t="s">
        <v>3168</v>
      </c>
      <c r="F1141" s="307" t="s">
        <v>2696</v>
      </c>
      <c r="G1141" s="307">
        <v>5</v>
      </c>
      <c r="H1141" s="307" t="s">
        <v>858</v>
      </c>
      <c r="I1141" s="307" t="str">
        <f>("1111040039")</f>
        <v>1111040039</v>
      </c>
    </row>
    <row r="1142" spans="1:9" ht="13.5">
      <c r="A1142" s="419" t="str">
        <f t="shared" si="17"/>
        <v>森岡サッカースポーツ少年団_4</v>
      </c>
      <c r="B1142" s="307" t="s">
        <v>282</v>
      </c>
      <c r="C1142" s="307" t="str">
        <f>("4")</f>
        <v>4</v>
      </c>
      <c r="D1142" s="307" t="s">
        <v>884</v>
      </c>
      <c r="E1142" s="307" t="s">
        <v>3169</v>
      </c>
      <c r="F1142" s="307" t="s">
        <v>3170</v>
      </c>
      <c r="G1142" s="307">
        <v>4</v>
      </c>
      <c r="H1142" s="307" t="s">
        <v>858</v>
      </c>
      <c r="I1142" s="307" t="str">
        <f>("1302270020")</f>
        <v>1302270020</v>
      </c>
    </row>
    <row r="1143" spans="1:9" ht="13.5">
      <c r="A1143" s="419" t="str">
        <f t="shared" si="17"/>
        <v>森岡サッカースポーツ少年団_5</v>
      </c>
      <c r="B1143" s="307" t="s">
        <v>282</v>
      </c>
      <c r="C1143" s="307" t="str">
        <f>("5")</f>
        <v>5</v>
      </c>
      <c r="D1143" s="307" t="s">
        <v>862</v>
      </c>
      <c r="E1143" s="307" t="s">
        <v>3171</v>
      </c>
      <c r="F1143" s="307" t="s">
        <v>3172</v>
      </c>
      <c r="G1143" s="307">
        <v>5</v>
      </c>
      <c r="H1143" s="307" t="s">
        <v>858</v>
      </c>
      <c r="I1143" s="307" t="str">
        <f>("1106040028")</f>
        <v>1106040028</v>
      </c>
    </row>
    <row r="1144" spans="1:9" ht="13.5">
      <c r="A1144" s="419" t="str">
        <f t="shared" si="17"/>
        <v>森岡サッカースポーツ少年団_6</v>
      </c>
      <c r="B1144" s="307" t="s">
        <v>282</v>
      </c>
      <c r="C1144" s="307" t="str">
        <f>("6")</f>
        <v>6</v>
      </c>
      <c r="D1144" s="307" t="s">
        <v>859</v>
      </c>
      <c r="E1144" s="307" t="s">
        <v>3173</v>
      </c>
      <c r="F1144" s="307" t="s">
        <v>3174</v>
      </c>
      <c r="G1144" s="307">
        <v>5</v>
      </c>
      <c r="H1144" s="307" t="s">
        <v>858</v>
      </c>
      <c r="I1144" s="307" t="str">
        <f>("1108230040")</f>
        <v>1108230040</v>
      </c>
    </row>
    <row r="1145" spans="1:9" ht="13.5">
      <c r="A1145" s="419" t="str">
        <f t="shared" si="17"/>
        <v>森岡サッカースポーツ少年団_7</v>
      </c>
      <c r="B1145" s="307" t="s">
        <v>282</v>
      </c>
      <c r="C1145" s="307" t="str">
        <f>("7")</f>
        <v>7</v>
      </c>
      <c r="D1145" s="307" t="s">
        <v>884</v>
      </c>
      <c r="E1145" s="307" t="s">
        <v>3175</v>
      </c>
      <c r="F1145" s="307" t="s">
        <v>3176</v>
      </c>
      <c r="G1145" s="307">
        <v>5</v>
      </c>
      <c r="H1145" s="307" t="s">
        <v>858</v>
      </c>
      <c r="I1145" s="307" t="str">
        <f>("1111210194")</f>
        <v>1111210194</v>
      </c>
    </row>
    <row r="1146" spans="1:9" ht="13.5">
      <c r="A1146" s="419" t="str">
        <f t="shared" si="17"/>
        <v>森岡サッカースポーツ少年団_8</v>
      </c>
      <c r="B1146" s="307" t="s">
        <v>282</v>
      </c>
      <c r="C1146" s="307" t="str">
        <f>("8")</f>
        <v>8</v>
      </c>
      <c r="D1146" s="307" t="s">
        <v>859</v>
      </c>
      <c r="E1146" s="307" t="s">
        <v>3177</v>
      </c>
      <c r="F1146" s="307" t="s">
        <v>3178</v>
      </c>
      <c r="G1146" s="307">
        <v>5</v>
      </c>
      <c r="H1146" s="307" t="s">
        <v>858</v>
      </c>
      <c r="I1146" s="307" t="str">
        <f>("1107280035")</f>
        <v>1107280035</v>
      </c>
    </row>
    <row r="1147" spans="1:9" ht="13.5">
      <c r="A1147" s="419" t="str">
        <f t="shared" si="17"/>
        <v>森岡サッカースポーツ少年団_9</v>
      </c>
      <c r="B1147" s="307" t="s">
        <v>282</v>
      </c>
      <c r="C1147" s="307" t="str">
        <f>("9")</f>
        <v>9</v>
      </c>
      <c r="D1147" s="307" t="s">
        <v>862</v>
      </c>
      <c r="E1147" s="307" t="s">
        <v>3179</v>
      </c>
      <c r="F1147" s="307" t="s">
        <v>3180</v>
      </c>
      <c r="G1147" s="307">
        <v>5</v>
      </c>
      <c r="H1147" s="307" t="s">
        <v>858</v>
      </c>
      <c r="I1147" s="307" t="str">
        <f>("1112030027")</f>
        <v>1112030027</v>
      </c>
    </row>
    <row r="1148" spans="1:10" ht="13.5">
      <c r="A1148" s="419" t="str">
        <f t="shared" si="17"/>
        <v>森岡サッカースポーツ少年団_10</v>
      </c>
      <c r="B1148" s="307" t="s">
        <v>282</v>
      </c>
      <c r="C1148" s="307" t="str">
        <f>("10")</f>
        <v>10</v>
      </c>
      <c r="D1148" s="307" t="s">
        <v>859</v>
      </c>
      <c r="E1148" s="307" t="s">
        <v>3181</v>
      </c>
      <c r="F1148" s="307" t="s">
        <v>3182</v>
      </c>
      <c r="G1148" s="307">
        <v>6</v>
      </c>
      <c r="H1148" s="307" t="s">
        <v>858</v>
      </c>
      <c r="I1148" s="307" t="str">
        <f>("1009190150")</f>
        <v>1009190150</v>
      </c>
      <c r="J1148" s="307" t="s">
        <v>15</v>
      </c>
    </row>
    <row r="1149" spans="1:9" ht="13.5">
      <c r="A1149" s="419" t="str">
        <f t="shared" si="17"/>
        <v>森岡サッカースポーツ少年団_11</v>
      </c>
      <c r="B1149" s="307" t="s">
        <v>282</v>
      </c>
      <c r="C1149" s="307" t="str">
        <f>("11")</f>
        <v>11</v>
      </c>
      <c r="D1149" s="307" t="s">
        <v>884</v>
      </c>
      <c r="E1149" s="307" t="s">
        <v>3183</v>
      </c>
      <c r="F1149" s="307" t="s">
        <v>3184</v>
      </c>
      <c r="G1149" s="307">
        <v>4</v>
      </c>
      <c r="H1149" s="307" t="s">
        <v>858</v>
      </c>
      <c r="I1149" s="307" t="str">
        <f>("1208240177")</f>
        <v>1208240177</v>
      </c>
    </row>
    <row r="1150" spans="1:9" ht="13.5">
      <c r="A1150" s="419" t="str">
        <f t="shared" si="17"/>
        <v>由布川サッカースポーツ少年団_1</v>
      </c>
      <c r="B1150" s="307" t="s">
        <v>284</v>
      </c>
      <c r="C1150" s="307" t="str">
        <f>("1")</f>
        <v>1</v>
      </c>
      <c r="D1150" s="307" t="s">
        <v>855</v>
      </c>
      <c r="E1150" s="307" t="s">
        <v>3185</v>
      </c>
      <c r="F1150" s="307" t="s">
        <v>3186</v>
      </c>
      <c r="G1150" s="307">
        <v>4</v>
      </c>
      <c r="H1150" s="307" t="s">
        <v>858</v>
      </c>
      <c r="I1150" s="307" t="str">
        <f>("1206170070")</f>
        <v>1206170070</v>
      </c>
    </row>
    <row r="1151" spans="1:10" ht="13.5">
      <c r="A1151" s="419" t="str">
        <f t="shared" si="17"/>
        <v>由布川サッカースポーツ少年団_2</v>
      </c>
      <c r="B1151" s="307" t="s">
        <v>284</v>
      </c>
      <c r="C1151" s="307" t="str">
        <f>("2")</f>
        <v>2</v>
      </c>
      <c r="D1151" s="307" t="s">
        <v>859</v>
      </c>
      <c r="E1151" s="307" t="s">
        <v>3187</v>
      </c>
      <c r="F1151" s="307" t="s">
        <v>3188</v>
      </c>
      <c r="G1151" s="307">
        <v>6</v>
      </c>
      <c r="H1151" s="307" t="s">
        <v>858</v>
      </c>
      <c r="I1151" s="307" t="str">
        <f>("1004120043")</f>
        <v>1004120043</v>
      </c>
      <c r="J1151" s="307" t="s">
        <v>15</v>
      </c>
    </row>
    <row r="1152" spans="1:9" ht="13.5">
      <c r="A1152" s="419" t="str">
        <f t="shared" si="17"/>
        <v>由布川サッカースポーツ少年団_3</v>
      </c>
      <c r="B1152" s="307" t="s">
        <v>284</v>
      </c>
      <c r="C1152" s="307" t="str">
        <f>("3")</f>
        <v>3</v>
      </c>
      <c r="D1152" s="307" t="s">
        <v>862</v>
      </c>
      <c r="E1152" s="307" t="s">
        <v>3189</v>
      </c>
      <c r="F1152" s="307" t="s">
        <v>3190</v>
      </c>
      <c r="G1152" s="307">
        <v>4</v>
      </c>
      <c r="H1152" s="307" t="s">
        <v>858</v>
      </c>
      <c r="I1152" s="307" t="str">
        <f>("1205180133")</f>
        <v>1205180133</v>
      </c>
    </row>
    <row r="1153" spans="1:9" ht="13.5">
      <c r="A1153" s="419" t="str">
        <f aca="true" t="shared" si="18" ref="A1153:A1216">CONCATENATE(B1153,"_",C1153)</f>
        <v>由布川サッカースポーツ少年団_4</v>
      </c>
      <c r="B1153" s="307" t="s">
        <v>284</v>
      </c>
      <c r="C1153" s="307" t="str">
        <f>("4")</f>
        <v>4</v>
      </c>
      <c r="D1153" s="307" t="s">
        <v>862</v>
      </c>
      <c r="E1153" s="307" t="s">
        <v>3191</v>
      </c>
      <c r="F1153" s="307" t="s">
        <v>3192</v>
      </c>
      <c r="G1153" s="307">
        <v>5</v>
      </c>
      <c r="H1153" s="307" t="s">
        <v>858</v>
      </c>
      <c r="I1153" s="307" t="str">
        <f>("1112010102")</f>
        <v>1112010102</v>
      </c>
    </row>
    <row r="1154" spans="1:9" ht="13.5">
      <c r="A1154" s="419" t="str">
        <f t="shared" si="18"/>
        <v>由布川サッカースポーツ少年団_5</v>
      </c>
      <c r="B1154" s="307" t="s">
        <v>284</v>
      </c>
      <c r="C1154" s="307" t="str">
        <f>("5")</f>
        <v>5</v>
      </c>
      <c r="D1154" s="307" t="s">
        <v>862</v>
      </c>
      <c r="E1154" s="307" t="s">
        <v>3193</v>
      </c>
      <c r="F1154" s="307" t="s">
        <v>3194</v>
      </c>
      <c r="G1154" s="307">
        <v>4</v>
      </c>
      <c r="H1154" s="307" t="s">
        <v>858</v>
      </c>
      <c r="I1154" s="307" t="str">
        <f>("1206280123")</f>
        <v>1206280123</v>
      </c>
    </row>
    <row r="1155" spans="1:9" ht="13.5">
      <c r="A1155" s="419" t="str">
        <f t="shared" si="18"/>
        <v>由布川サッカースポーツ少年団_6</v>
      </c>
      <c r="B1155" s="307" t="s">
        <v>284</v>
      </c>
      <c r="C1155" s="307" t="str">
        <f>("6")</f>
        <v>6</v>
      </c>
      <c r="D1155" s="307" t="s">
        <v>884</v>
      </c>
      <c r="E1155" s="307" t="s">
        <v>3195</v>
      </c>
      <c r="F1155" s="307" t="s">
        <v>1348</v>
      </c>
      <c r="G1155" s="307">
        <v>6</v>
      </c>
      <c r="H1155" s="307" t="s">
        <v>869</v>
      </c>
      <c r="I1155" s="307" t="str">
        <f>("1009040031")</f>
        <v>1009040031</v>
      </c>
    </row>
    <row r="1156" spans="1:9" ht="13.5">
      <c r="A1156" s="419" t="str">
        <f t="shared" si="18"/>
        <v>由布川サッカースポーツ少年団_7</v>
      </c>
      <c r="B1156" s="307" t="s">
        <v>284</v>
      </c>
      <c r="C1156" s="307" t="str">
        <f>("7")</f>
        <v>7</v>
      </c>
      <c r="D1156" s="307" t="s">
        <v>884</v>
      </c>
      <c r="E1156" s="307" t="s">
        <v>3196</v>
      </c>
      <c r="F1156" s="307" t="s">
        <v>1199</v>
      </c>
      <c r="G1156" s="307">
        <v>6</v>
      </c>
      <c r="H1156" s="307" t="s">
        <v>858</v>
      </c>
      <c r="I1156" s="307" t="str">
        <f>("1103180022")</f>
        <v>1103180022</v>
      </c>
    </row>
    <row r="1157" spans="1:9" ht="13.5">
      <c r="A1157" s="419" t="str">
        <f t="shared" si="18"/>
        <v>由布川サッカースポーツ少年団_8</v>
      </c>
      <c r="B1157" s="307" t="s">
        <v>284</v>
      </c>
      <c r="C1157" s="307" t="str">
        <f>("8")</f>
        <v>8</v>
      </c>
      <c r="D1157" s="307" t="s">
        <v>884</v>
      </c>
      <c r="E1157" s="307" t="s">
        <v>3197</v>
      </c>
      <c r="F1157" s="307" t="s">
        <v>3198</v>
      </c>
      <c r="G1157" s="307">
        <v>5</v>
      </c>
      <c r="H1157" s="307" t="s">
        <v>858</v>
      </c>
      <c r="I1157" s="307" t="str">
        <f>("1107090115")</f>
        <v>1107090115</v>
      </c>
    </row>
    <row r="1158" spans="1:9" ht="13.5">
      <c r="A1158" s="419" t="str">
        <f t="shared" si="18"/>
        <v>由布川サッカースポーツ少年団_9</v>
      </c>
      <c r="B1158" s="307" t="s">
        <v>284</v>
      </c>
      <c r="C1158" s="307" t="str">
        <f>("9")</f>
        <v>9</v>
      </c>
      <c r="D1158" s="307" t="s">
        <v>862</v>
      </c>
      <c r="E1158" s="307" t="s">
        <v>3199</v>
      </c>
      <c r="F1158" s="307" t="s">
        <v>3200</v>
      </c>
      <c r="G1158" s="307">
        <v>4</v>
      </c>
      <c r="H1158" s="307" t="s">
        <v>858</v>
      </c>
      <c r="I1158" s="307" t="str">
        <f>("1302220082")</f>
        <v>1302220082</v>
      </c>
    </row>
    <row r="1159" spans="1:9" ht="13.5">
      <c r="A1159" s="419" t="str">
        <f t="shared" si="18"/>
        <v>由布川サッカースポーツ少年団_10</v>
      </c>
      <c r="B1159" s="307" t="s">
        <v>284</v>
      </c>
      <c r="C1159" s="307" t="str">
        <f>("10")</f>
        <v>10</v>
      </c>
      <c r="D1159" s="307" t="s">
        <v>859</v>
      </c>
      <c r="E1159" s="307" t="s">
        <v>3201</v>
      </c>
      <c r="F1159" s="307" t="s">
        <v>3202</v>
      </c>
      <c r="G1159" s="307">
        <v>4</v>
      </c>
      <c r="H1159" s="307" t="s">
        <v>858</v>
      </c>
      <c r="I1159" s="307" t="str">
        <f>("1302250094")</f>
        <v>1302250094</v>
      </c>
    </row>
    <row r="1160" spans="1:9" ht="13.5">
      <c r="A1160" s="419" t="str">
        <f t="shared" si="18"/>
        <v>由布川サッカースポーツ少年団_11</v>
      </c>
      <c r="B1160" s="307" t="s">
        <v>284</v>
      </c>
      <c r="C1160" s="307" t="str">
        <f>("11")</f>
        <v>11</v>
      </c>
      <c r="D1160" s="307" t="s">
        <v>862</v>
      </c>
      <c r="E1160" s="307" t="s">
        <v>3203</v>
      </c>
      <c r="F1160" s="307" t="s">
        <v>3204</v>
      </c>
      <c r="G1160" s="307">
        <v>6</v>
      </c>
      <c r="H1160" s="307" t="s">
        <v>858</v>
      </c>
      <c r="I1160" s="307" t="str">
        <f>("1102010046")</f>
        <v>1102010046</v>
      </c>
    </row>
    <row r="1161" spans="1:9" ht="13.5">
      <c r="A1161" s="419" t="str">
        <f t="shared" si="18"/>
        <v>由布川サッカースポーツ少年団_16</v>
      </c>
      <c r="B1161" s="307" t="s">
        <v>284</v>
      </c>
      <c r="C1161" s="307" t="str">
        <f>("16")</f>
        <v>16</v>
      </c>
      <c r="D1161" s="307" t="s">
        <v>855</v>
      </c>
      <c r="E1161" s="307" t="s">
        <v>3205</v>
      </c>
      <c r="F1161" s="307" t="s">
        <v>3206</v>
      </c>
      <c r="G1161" s="307">
        <v>4</v>
      </c>
      <c r="H1161" s="307" t="s">
        <v>858</v>
      </c>
      <c r="I1161" s="307" t="str">
        <f>("1210110147")</f>
        <v>1210110147</v>
      </c>
    </row>
    <row r="1162" spans="1:9" ht="13.5">
      <c r="A1162" s="419" t="str">
        <f t="shared" si="18"/>
        <v>ＫＩＮＧＳ　ＦＯＯＴＢＡＬＬＣＬＵＢ　Ｕ－１２_1</v>
      </c>
      <c r="B1162" s="307" t="s">
        <v>23</v>
      </c>
      <c r="C1162" s="307" t="str">
        <f>("1")</f>
        <v>1</v>
      </c>
      <c r="D1162" s="307" t="s">
        <v>855</v>
      </c>
      <c r="E1162" s="307" t="s">
        <v>3207</v>
      </c>
      <c r="F1162" s="307" t="s">
        <v>3208</v>
      </c>
      <c r="G1162" s="307">
        <v>6</v>
      </c>
      <c r="H1162" s="307" t="s">
        <v>858</v>
      </c>
      <c r="I1162" s="307" t="str">
        <f>("1008100244")</f>
        <v>1008100244</v>
      </c>
    </row>
    <row r="1163" spans="1:9" ht="13.5">
      <c r="A1163" s="419" t="str">
        <f t="shared" si="18"/>
        <v>ＫＩＮＧＳ　ＦＯＯＴＢＡＬＬＣＬＵＢ　Ｕ－１２_2</v>
      </c>
      <c r="B1163" s="307" t="s">
        <v>23</v>
      </c>
      <c r="C1163" s="307" t="str">
        <f>("2")</f>
        <v>2</v>
      </c>
      <c r="D1163" s="307" t="s">
        <v>859</v>
      </c>
      <c r="E1163" s="307" t="s">
        <v>3209</v>
      </c>
      <c r="F1163" s="307" t="s">
        <v>3210</v>
      </c>
      <c r="G1163" s="307">
        <v>5</v>
      </c>
      <c r="H1163" s="307" t="s">
        <v>858</v>
      </c>
      <c r="I1163" s="307" t="str">
        <f>("1109240139")</f>
        <v>1109240139</v>
      </c>
    </row>
    <row r="1164" spans="1:9" ht="13.5">
      <c r="A1164" s="419" t="str">
        <f t="shared" si="18"/>
        <v>ＫＩＮＧＳ　ＦＯＯＴＢＡＬＬＣＬＵＢ　Ｕ－１２_3</v>
      </c>
      <c r="B1164" s="307" t="s">
        <v>23</v>
      </c>
      <c r="C1164" s="307" t="str">
        <f>("3")</f>
        <v>3</v>
      </c>
      <c r="D1164" s="307" t="s">
        <v>859</v>
      </c>
      <c r="E1164" s="307" t="s">
        <v>3211</v>
      </c>
      <c r="F1164" s="307" t="s">
        <v>3212</v>
      </c>
      <c r="G1164" s="307">
        <v>6</v>
      </c>
      <c r="H1164" s="307" t="s">
        <v>858</v>
      </c>
      <c r="I1164" s="307" t="str">
        <f>("1005090113")</f>
        <v>1005090113</v>
      </c>
    </row>
    <row r="1165" spans="1:9" ht="13.5">
      <c r="A1165" s="419" t="str">
        <f t="shared" si="18"/>
        <v>ＫＩＮＧＳ　ＦＯＯＴＢＡＬＬＣＬＵＢ　Ｕ－１２_4</v>
      </c>
      <c r="B1165" s="307" t="s">
        <v>23</v>
      </c>
      <c r="C1165" s="307" t="str">
        <f>("4")</f>
        <v>4</v>
      </c>
      <c r="D1165" s="307" t="s">
        <v>859</v>
      </c>
      <c r="E1165" s="307" t="s">
        <v>3213</v>
      </c>
      <c r="F1165" s="307" t="s">
        <v>3214</v>
      </c>
      <c r="G1165" s="307">
        <v>6</v>
      </c>
      <c r="H1165" s="307" t="s">
        <v>858</v>
      </c>
      <c r="I1165" s="307" t="str">
        <f>("1009150239")</f>
        <v>1009150239</v>
      </c>
    </row>
    <row r="1166" spans="1:9" ht="13.5">
      <c r="A1166" s="419" t="str">
        <f t="shared" si="18"/>
        <v>ＫＩＮＧＳ　ＦＯＯＴＢＡＬＬＣＬＵＢ　Ｕ－１２_5</v>
      </c>
      <c r="B1166" s="307" t="s">
        <v>23</v>
      </c>
      <c r="C1166" s="307" t="str">
        <f>("5")</f>
        <v>5</v>
      </c>
      <c r="D1166" s="307" t="s">
        <v>862</v>
      </c>
      <c r="E1166" s="307" t="s">
        <v>3215</v>
      </c>
      <c r="F1166" s="307" t="s">
        <v>3216</v>
      </c>
      <c r="G1166" s="307">
        <v>6</v>
      </c>
      <c r="H1166" s="307" t="s">
        <v>858</v>
      </c>
      <c r="I1166" s="307" t="str">
        <f>("1005060263")</f>
        <v>1005060263</v>
      </c>
    </row>
    <row r="1167" spans="1:9" ht="13.5">
      <c r="A1167" s="419" t="str">
        <f t="shared" si="18"/>
        <v>ＫＩＮＧＳ　ＦＯＯＴＢＡＬＬＣＬＵＢ　Ｕ－１２_6</v>
      </c>
      <c r="B1167" s="307" t="s">
        <v>23</v>
      </c>
      <c r="C1167" s="307" t="str">
        <f>("6")</f>
        <v>6</v>
      </c>
      <c r="D1167" s="307" t="s">
        <v>862</v>
      </c>
      <c r="E1167" s="307" t="s">
        <v>3217</v>
      </c>
      <c r="F1167" s="307" t="s">
        <v>3218</v>
      </c>
      <c r="G1167" s="307">
        <v>6</v>
      </c>
      <c r="H1167" s="307" t="s">
        <v>858</v>
      </c>
      <c r="I1167" s="307" t="str">
        <f>("1009100214")</f>
        <v>1009100214</v>
      </c>
    </row>
    <row r="1168" spans="1:9" ht="13.5">
      <c r="A1168" s="419" t="str">
        <f t="shared" si="18"/>
        <v>ＫＩＮＧＳ　ＦＯＯＴＢＡＬＬＣＬＵＢ　Ｕ－１２_11</v>
      </c>
      <c r="B1168" s="307" t="s">
        <v>23</v>
      </c>
      <c r="C1168" s="307" t="str">
        <f>("11")</f>
        <v>11</v>
      </c>
      <c r="D1168" s="307" t="s">
        <v>884</v>
      </c>
      <c r="E1168" s="307" t="s">
        <v>3219</v>
      </c>
      <c r="F1168" s="307" t="s">
        <v>3220</v>
      </c>
      <c r="G1168" s="307">
        <v>5</v>
      </c>
      <c r="H1168" s="307" t="s">
        <v>858</v>
      </c>
      <c r="I1168" s="307" t="str">
        <f>("1112270134")</f>
        <v>1112270134</v>
      </c>
    </row>
    <row r="1169" spans="1:9" ht="13.5">
      <c r="A1169" s="419" t="str">
        <f t="shared" si="18"/>
        <v>ＫＩＮＧＳ　ＦＯＯＴＢＡＬＬＣＬＵＢ　Ｕ－１２_12</v>
      </c>
      <c r="B1169" s="307" t="s">
        <v>23</v>
      </c>
      <c r="C1169" s="307" t="str">
        <f>("12")</f>
        <v>12</v>
      </c>
      <c r="D1169" s="307" t="s">
        <v>855</v>
      </c>
      <c r="E1169" s="307" t="s">
        <v>3221</v>
      </c>
      <c r="F1169" s="307" t="s">
        <v>3222</v>
      </c>
      <c r="G1169" s="307">
        <v>5</v>
      </c>
      <c r="H1169" s="307" t="s">
        <v>858</v>
      </c>
      <c r="I1169" s="307" t="str">
        <f>("1107050188")</f>
        <v>1107050188</v>
      </c>
    </row>
    <row r="1170" spans="1:9" ht="13.5">
      <c r="A1170" s="419" t="str">
        <f t="shared" si="18"/>
        <v>ＫＩＮＧＳ　ＦＯＯＴＢＡＬＬＣＬＵＢ　Ｕ－１２_13</v>
      </c>
      <c r="B1170" s="307" t="s">
        <v>23</v>
      </c>
      <c r="C1170" s="307" t="str">
        <f>("13")</f>
        <v>13</v>
      </c>
      <c r="D1170" s="307" t="s">
        <v>862</v>
      </c>
      <c r="E1170" s="307" t="s">
        <v>3223</v>
      </c>
      <c r="F1170" s="307" t="s">
        <v>3224</v>
      </c>
      <c r="G1170" s="307">
        <v>5</v>
      </c>
      <c r="H1170" s="307" t="s">
        <v>858</v>
      </c>
      <c r="I1170" s="307" t="str">
        <f>("1107240154")</f>
        <v>1107240154</v>
      </c>
    </row>
    <row r="1171" spans="1:9" ht="13.5">
      <c r="A1171" s="419" t="str">
        <f t="shared" si="18"/>
        <v>ＫＩＮＧＳ　ＦＯＯＴＢＡＬＬＣＬＵＢ　Ｕ－１２_14</v>
      </c>
      <c r="B1171" s="307" t="s">
        <v>23</v>
      </c>
      <c r="C1171" s="307" t="str">
        <f>("14")</f>
        <v>14</v>
      </c>
      <c r="D1171" s="307" t="s">
        <v>859</v>
      </c>
      <c r="E1171" s="307" t="s">
        <v>3225</v>
      </c>
      <c r="F1171" s="307" t="s">
        <v>3226</v>
      </c>
      <c r="G1171" s="307">
        <v>5</v>
      </c>
      <c r="H1171" s="307" t="s">
        <v>858</v>
      </c>
      <c r="I1171" s="307" t="str">
        <f>("1104080180")</f>
        <v>1104080180</v>
      </c>
    </row>
    <row r="1172" spans="1:9" ht="13.5">
      <c r="A1172" s="419" t="str">
        <f t="shared" si="18"/>
        <v>ＫＩＮＧＳ　ＦＯＯＴＢＡＬＬＣＬＵＢ　Ｕ－１２_15</v>
      </c>
      <c r="B1172" s="307" t="s">
        <v>23</v>
      </c>
      <c r="C1172" s="307" t="str">
        <f>("15")</f>
        <v>15</v>
      </c>
      <c r="D1172" s="307" t="s">
        <v>884</v>
      </c>
      <c r="E1172" s="307" t="s">
        <v>3227</v>
      </c>
      <c r="F1172" s="307" t="s">
        <v>3228</v>
      </c>
      <c r="G1172" s="307">
        <v>6</v>
      </c>
      <c r="H1172" s="307" t="s">
        <v>858</v>
      </c>
      <c r="I1172" s="307" t="str">
        <f>("1009160211")</f>
        <v>1009160211</v>
      </c>
    </row>
    <row r="1173" spans="1:9" ht="13.5">
      <c r="A1173" s="419" t="str">
        <f t="shared" si="18"/>
        <v>ＫＩＮＧＳ　ＦＯＯＴＢＡＬＬＣＬＵＢ　Ｕ－１２_16</v>
      </c>
      <c r="B1173" s="307" t="s">
        <v>23</v>
      </c>
      <c r="C1173" s="307" t="str">
        <f>("16")</f>
        <v>16</v>
      </c>
      <c r="D1173" s="307" t="s">
        <v>862</v>
      </c>
      <c r="E1173" s="307" t="s">
        <v>3229</v>
      </c>
      <c r="F1173" s="307" t="s">
        <v>3230</v>
      </c>
      <c r="G1173" s="307">
        <v>6</v>
      </c>
      <c r="H1173" s="307" t="s">
        <v>858</v>
      </c>
      <c r="I1173" s="307" t="str">
        <f>("1004020168")</f>
        <v>1004020168</v>
      </c>
    </row>
    <row r="1174" spans="1:9" ht="13.5">
      <c r="A1174" s="419" t="str">
        <f t="shared" si="18"/>
        <v>ＫＩＮＧＳ　ＦＯＯＴＢＡＬＬＣＬＵＢ　Ｕ－１２_17</v>
      </c>
      <c r="B1174" s="307" t="s">
        <v>23</v>
      </c>
      <c r="C1174" s="307" t="str">
        <f>("17")</f>
        <v>17</v>
      </c>
      <c r="D1174" s="307" t="s">
        <v>862</v>
      </c>
      <c r="E1174" s="307" t="s">
        <v>3231</v>
      </c>
      <c r="F1174" s="307" t="s">
        <v>3232</v>
      </c>
      <c r="G1174" s="307">
        <v>6</v>
      </c>
      <c r="H1174" s="307" t="s">
        <v>858</v>
      </c>
      <c r="I1174" s="307" t="str">
        <f>("1011020145")</f>
        <v>1011020145</v>
      </c>
    </row>
    <row r="1175" spans="1:10" ht="13.5">
      <c r="A1175" s="419" t="str">
        <f t="shared" si="18"/>
        <v>ＫＩＮＧＳ　ＦＯＯＴＢＡＬＬＣＬＵＢ　Ｕ－１２_18</v>
      </c>
      <c r="B1175" s="307" t="s">
        <v>23</v>
      </c>
      <c r="C1175" s="307" t="str">
        <f>("18")</f>
        <v>18</v>
      </c>
      <c r="D1175" s="307" t="s">
        <v>884</v>
      </c>
      <c r="E1175" s="307" t="s">
        <v>3233</v>
      </c>
      <c r="F1175" s="307" t="s">
        <v>3234</v>
      </c>
      <c r="G1175" s="307">
        <v>6</v>
      </c>
      <c r="H1175" s="307" t="s">
        <v>858</v>
      </c>
      <c r="I1175" s="307" t="str">
        <f>("1011300144")</f>
        <v>1011300144</v>
      </c>
      <c r="J1175" s="307" t="s">
        <v>15</v>
      </c>
    </row>
    <row r="1176" spans="1:9" ht="13.5">
      <c r="A1176" s="419" t="str">
        <f t="shared" si="18"/>
        <v>ＫＩＮＧＳ　ＦＯＯＴＢＡＬＬＣＬＵＢ　Ｕ－１２_19</v>
      </c>
      <c r="B1176" s="307" t="s">
        <v>23</v>
      </c>
      <c r="C1176" s="307" t="str">
        <f>("19")</f>
        <v>19</v>
      </c>
      <c r="D1176" s="307" t="s">
        <v>862</v>
      </c>
      <c r="E1176" s="307" t="s">
        <v>3235</v>
      </c>
      <c r="F1176" s="307" t="s">
        <v>3236</v>
      </c>
      <c r="G1176" s="307">
        <v>6</v>
      </c>
      <c r="H1176" s="307" t="s">
        <v>858</v>
      </c>
      <c r="I1176" s="307" t="str">
        <f>("1102160116")</f>
        <v>1102160116</v>
      </c>
    </row>
    <row r="1177" spans="1:9" ht="13.5">
      <c r="A1177" s="419" t="str">
        <f t="shared" si="18"/>
        <v>ＫＩＮＧＳ　ＦＯＯＴＢＡＬＬＣＬＵＢ　Ｕ－１２_20</v>
      </c>
      <c r="B1177" s="307" t="s">
        <v>23</v>
      </c>
      <c r="C1177" s="307" t="str">
        <f>("20")</f>
        <v>20</v>
      </c>
      <c r="D1177" s="307" t="s">
        <v>862</v>
      </c>
      <c r="E1177" s="307" t="s">
        <v>3237</v>
      </c>
      <c r="F1177" s="307" t="s">
        <v>3238</v>
      </c>
      <c r="G1177" s="307">
        <v>5</v>
      </c>
      <c r="H1177" s="307" t="s">
        <v>858</v>
      </c>
      <c r="I1177" s="307" t="str">
        <f>("1106130192")</f>
        <v>1106130192</v>
      </c>
    </row>
    <row r="1178" spans="1:9" ht="13.5">
      <c r="A1178" s="419" t="str">
        <f t="shared" si="18"/>
        <v>市浜レッドソックス_1</v>
      </c>
      <c r="B1178" s="307" t="s">
        <v>47</v>
      </c>
      <c r="C1178" s="307" t="str">
        <f>("1")</f>
        <v>1</v>
      </c>
      <c r="D1178" s="307" t="s">
        <v>855</v>
      </c>
      <c r="E1178" s="307" t="s">
        <v>3239</v>
      </c>
      <c r="F1178" s="307" t="s">
        <v>3240</v>
      </c>
      <c r="G1178" s="307">
        <v>6</v>
      </c>
      <c r="H1178" s="307" t="s">
        <v>858</v>
      </c>
      <c r="I1178" s="307" t="str">
        <f>("1005280210")</f>
        <v>1005280210</v>
      </c>
    </row>
    <row r="1179" spans="1:9" ht="13.5">
      <c r="A1179" s="419" t="str">
        <f t="shared" si="18"/>
        <v>市浜レッドソックス_2</v>
      </c>
      <c r="B1179" s="307" t="s">
        <v>47</v>
      </c>
      <c r="C1179" s="307" t="str">
        <f>("2")</f>
        <v>2</v>
      </c>
      <c r="D1179" s="307" t="s">
        <v>859</v>
      </c>
      <c r="E1179" s="307" t="s">
        <v>3241</v>
      </c>
      <c r="F1179" s="307" t="s">
        <v>3242</v>
      </c>
      <c r="G1179" s="307">
        <v>5</v>
      </c>
      <c r="H1179" s="307" t="s">
        <v>858</v>
      </c>
      <c r="I1179" s="307" t="str">
        <f>("1107280165")</f>
        <v>1107280165</v>
      </c>
    </row>
    <row r="1180" spans="1:9" ht="13.5">
      <c r="A1180" s="419" t="str">
        <f t="shared" si="18"/>
        <v>市浜レッドソックス_3</v>
      </c>
      <c r="B1180" s="307" t="s">
        <v>47</v>
      </c>
      <c r="C1180" s="307" t="str">
        <f>("3")</f>
        <v>3</v>
      </c>
      <c r="D1180" s="307" t="s">
        <v>862</v>
      </c>
      <c r="E1180" s="307" t="s">
        <v>3243</v>
      </c>
      <c r="F1180" s="307" t="s">
        <v>1847</v>
      </c>
      <c r="G1180" s="307">
        <v>4</v>
      </c>
      <c r="H1180" s="307" t="s">
        <v>858</v>
      </c>
      <c r="I1180" s="307" t="str">
        <f>("1301190118")</f>
        <v>1301190118</v>
      </c>
    </row>
    <row r="1181" spans="1:9" ht="13.5">
      <c r="A1181" s="419" t="str">
        <f t="shared" si="18"/>
        <v>市浜レッドソックス_4</v>
      </c>
      <c r="B1181" s="307" t="s">
        <v>47</v>
      </c>
      <c r="C1181" s="307" t="str">
        <f>("4")</f>
        <v>4</v>
      </c>
      <c r="D1181" s="307" t="s">
        <v>884</v>
      </c>
      <c r="E1181" s="307" t="s">
        <v>3244</v>
      </c>
      <c r="F1181" s="307" t="s">
        <v>3245</v>
      </c>
      <c r="G1181" s="307">
        <v>5</v>
      </c>
      <c r="H1181" s="307" t="s">
        <v>858</v>
      </c>
      <c r="I1181" s="307" t="str">
        <f>("1104290123")</f>
        <v>1104290123</v>
      </c>
    </row>
    <row r="1182" spans="1:9" ht="13.5">
      <c r="A1182" s="419" t="str">
        <f t="shared" si="18"/>
        <v>市浜レッドソックス_5</v>
      </c>
      <c r="B1182" s="307" t="s">
        <v>47</v>
      </c>
      <c r="C1182" s="307" t="str">
        <f>("5")</f>
        <v>5</v>
      </c>
      <c r="D1182" s="307" t="s">
        <v>862</v>
      </c>
      <c r="E1182" s="307" t="s">
        <v>3246</v>
      </c>
      <c r="F1182" s="307" t="s">
        <v>3247</v>
      </c>
      <c r="G1182" s="307">
        <v>6</v>
      </c>
      <c r="H1182" s="307" t="s">
        <v>858</v>
      </c>
      <c r="I1182" s="307" t="str">
        <f>("1010030141")</f>
        <v>1010030141</v>
      </c>
    </row>
    <row r="1183" spans="1:9" ht="13.5">
      <c r="A1183" s="419" t="str">
        <f t="shared" si="18"/>
        <v>市浜レッドソックス_6</v>
      </c>
      <c r="B1183" s="307" t="s">
        <v>47</v>
      </c>
      <c r="C1183" s="307" t="str">
        <f>("6")</f>
        <v>6</v>
      </c>
      <c r="D1183" s="307" t="s">
        <v>862</v>
      </c>
      <c r="E1183" s="307" t="s">
        <v>3248</v>
      </c>
      <c r="F1183" s="307" t="s">
        <v>3249</v>
      </c>
      <c r="G1183" s="307">
        <v>4</v>
      </c>
      <c r="H1183" s="307" t="s">
        <v>858</v>
      </c>
      <c r="I1183" s="307" t="str">
        <f>("1210220145")</f>
        <v>1210220145</v>
      </c>
    </row>
    <row r="1184" spans="1:9" ht="13.5">
      <c r="A1184" s="419" t="str">
        <f t="shared" si="18"/>
        <v>市浜レッドソックス_7</v>
      </c>
      <c r="B1184" s="307" t="s">
        <v>47</v>
      </c>
      <c r="C1184" s="307" t="str">
        <f>("7")</f>
        <v>7</v>
      </c>
      <c r="D1184" s="307" t="s">
        <v>859</v>
      </c>
      <c r="E1184" s="307" t="s">
        <v>3250</v>
      </c>
      <c r="F1184" s="307" t="s">
        <v>3251</v>
      </c>
      <c r="G1184" s="307">
        <v>6</v>
      </c>
      <c r="H1184" s="307" t="s">
        <v>858</v>
      </c>
      <c r="I1184" s="307" t="str">
        <f>("1006300089")</f>
        <v>1006300089</v>
      </c>
    </row>
    <row r="1185" spans="1:9" ht="13.5">
      <c r="A1185" s="419" t="str">
        <f t="shared" si="18"/>
        <v>市浜レッドソックス_8</v>
      </c>
      <c r="B1185" s="307" t="s">
        <v>47</v>
      </c>
      <c r="C1185" s="307" t="str">
        <f>("8")</f>
        <v>8</v>
      </c>
      <c r="D1185" s="307" t="s">
        <v>859</v>
      </c>
      <c r="E1185" s="307" t="s">
        <v>3252</v>
      </c>
      <c r="F1185" s="307" t="s">
        <v>3253</v>
      </c>
      <c r="G1185" s="307">
        <v>6</v>
      </c>
      <c r="H1185" s="307" t="s">
        <v>858</v>
      </c>
      <c r="I1185" s="307" t="str">
        <f>("1012070119")</f>
        <v>1012070119</v>
      </c>
    </row>
    <row r="1186" spans="1:10" ht="13.5">
      <c r="A1186" s="419" t="str">
        <f t="shared" si="18"/>
        <v>市浜レッドソックス_9</v>
      </c>
      <c r="B1186" s="307" t="s">
        <v>47</v>
      </c>
      <c r="C1186" s="307" t="str">
        <f>("9")</f>
        <v>9</v>
      </c>
      <c r="D1186" s="307" t="s">
        <v>862</v>
      </c>
      <c r="E1186" s="307" t="s">
        <v>3254</v>
      </c>
      <c r="F1186" s="307" t="s">
        <v>3255</v>
      </c>
      <c r="G1186" s="307">
        <v>6</v>
      </c>
      <c r="H1186" s="307" t="s">
        <v>858</v>
      </c>
      <c r="I1186" s="307" t="str">
        <f>("1004300052")</f>
        <v>1004300052</v>
      </c>
      <c r="J1186" s="307" t="s">
        <v>15</v>
      </c>
    </row>
    <row r="1187" spans="1:9" ht="13.5">
      <c r="A1187" s="419" t="str">
        <f t="shared" si="18"/>
        <v>市浜レッドソックス_10</v>
      </c>
      <c r="B1187" s="307" t="s">
        <v>47</v>
      </c>
      <c r="C1187" s="307" t="str">
        <f>("10")</f>
        <v>10</v>
      </c>
      <c r="D1187" s="307" t="s">
        <v>884</v>
      </c>
      <c r="E1187" s="307" t="s">
        <v>3256</v>
      </c>
      <c r="F1187" s="307" t="s">
        <v>3257</v>
      </c>
      <c r="G1187" s="307">
        <v>6</v>
      </c>
      <c r="H1187" s="307" t="s">
        <v>858</v>
      </c>
      <c r="I1187" s="307" t="str">
        <f>("1004050143")</f>
        <v>1004050143</v>
      </c>
    </row>
    <row r="1188" spans="1:9" ht="13.5">
      <c r="A1188" s="419" t="str">
        <f t="shared" si="18"/>
        <v>市浜レッドソックス_11</v>
      </c>
      <c r="B1188" s="307" t="s">
        <v>47</v>
      </c>
      <c r="C1188" s="307" t="str">
        <f>("11")</f>
        <v>11</v>
      </c>
      <c r="D1188" s="307" t="s">
        <v>859</v>
      </c>
      <c r="E1188" s="307" t="s">
        <v>3258</v>
      </c>
      <c r="F1188" s="307" t="s">
        <v>3259</v>
      </c>
      <c r="G1188" s="307">
        <v>6</v>
      </c>
      <c r="H1188" s="307" t="s">
        <v>869</v>
      </c>
      <c r="I1188" s="307" t="str">
        <f>("1012200116")</f>
        <v>1012200116</v>
      </c>
    </row>
    <row r="1189" spans="1:9" ht="13.5">
      <c r="A1189" s="419" t="str">
        <f t="shared" si="18"/>
        <v>市浜レッドソックス_12</v>
      </c>
      <c r="B1189" s="307" t="s">
        <v>47</v>
      </c>
      <c r="C1189" s="307" t="str">
        <f>("12")</f>
        <v>12</v>
      </c>
      <c r="D1189" s="307" t="s">
        <v>862</v>
      </c>
      <c r="E1189" s="307" t="s">
        <v>3260</v>
      </c>
      <c r="F1189" s="307" t="s">
        <v>3261</v>
      </c>
      <c r="G1189" s="307">
        <v>6</v>
      </c>
      <c r="H1189" s="307" t="s">
        <v>858</v>
      </c>
      <c r="I1189" s="307" t="str">
        <f>("1103150191")</f>
        <v>1103150191</v>
      </c>
    </row>
    <row r="1190" spans="1:9" ht="13.5">
      <c r="A1190" s="419" t="str">
        <f t="shared" si="18"/>
        <v>市浜レッドソックス_13</v>
      </c>
      <c r="B1190" s="307" t="s">
        <v>47</v>
      </c>
      <c r="C1190" s="307" t="str">
        <f>("13")</f>
        <v>13</v>
      </c>
      <c r="D1190" s="307" t="s">
        <v>884</v>
      </c>
      <c r="E1190" s="307" t="s">
        <v>3262</v>
      </c>
      <c r="F1190" s="307" t="s">
        <v>3263</v>
      </c>
      <c r="G1190" s="307">
        <v>6</v>
      </c>
      <c r="H1190" s="307" t="s">
        <v>858</v>
      </c>
      <c r="I1190" s="307" t="str">
        <f>("1102050160")</f>
        <v>1102050160</v>
      </c>
    </row>
    <row r="1191" spans="1:9" ht="13.5">
      <c r="A1191" s="419" t="str">
        <f t="shared" si="18"/>
        <v>市浜レッドソックス_14</v>
      </c>
      <c r="B1191" s="307" t="s">
        <v>47</v>
      </c>
      <c r="C1191" s="307" t="str">
        <f>("14")</f>
        <v>14</v>
      </c>
      <c r="D1191" s="307" t="s">
        <v>884</v>
      </c>
      <c r="E1191" s="307" t="s">
        <v>3264</v>
      </c>
      <c r="F1191" s="307" t="s">
        <v>3265</v>
      </c>
      <c r="G1191" s="307">
        <v>6</v>
      </c>
      <c r="H1191" s="307" t="s">
        <v>858</v>
      </c>
      <c r="I1191" s="307" t="str">
        <f>("1009030236")</f>
        <v>1009030236</v>
      </c>
    </row>
    <row r="1192" spans="1:9" ht="13.5">
      <c r="A1192" s="419" t="str">
        <f t="shared" si="18"/>
        <v>市浜レッドソックス_15</v>
      </c>
      <c r="B1192" s="307" t="s">
        <v>47</v>
      </c>
      <c r="C1192" s="307" t="str">
        <f>("15")</f>
        <v>15</v>
      </c>
      <c r="D1192" s="307" t="s">
        <v>884</v>
      </c>
      <c r="E1192" s="307" t="s">
        <v>3266</v>
      </c>
      <c r="F1192" s="307" t="s">
        <v>3267</v>
      </c>
      <c r="G1192" s="307">
        <v>5</v>
      </c>
      <c r="H1192" s="307" t="s">
        <v>858</v>
      </c>
      <c r="I1192" s="307" t="str">
        <f>("1106050130")</f>
        <v>1106050130</v>
      </c>
    </row>
    <row r="1193" spans="1:9" ht="13.5">
      <c r="A1193" s="419" t="str">
        <f t="shared" si="18"/>
        <v>県央おおのＪＦＣ_1</v>
      </c>
      <c r="B1193" s="307" t="s">
        <v>3268</v>
      </c>
      <c r="C1193" s="307" t="str">
        <f>("1")</f>
        <v>1</v>
      </c>
      <c r="D1193" s="307" t="s">
        <v>855</v>
      </c>
      <c r="E1193" s="307" t="s">
        <v>3269</v>
      </c>
      <c r="F1193" s="307" t="s">
        <v>3270</v>
      </c>
      <c r="G1193" s="307">
        <v>5</v>
      </c>
      <c r="H1193" s="307" t="s">
        <v>858</v>
      </c>
      <c r="I1193" s="307" t="str">
        <f>("1107070120")</f>
        <v>1107070120</v>
      </c>
    </row>
    <row r="1194" spans="1:9" ht="13.5">
      <c r="A1194" s="419" t="str">
        <f t="shared" si="18"/>
        <v>県央おおのＪＦＣ_3</v>
      </c>
      <c r="B1194" s="307" t="s">
        <v>3268</v>
      </c>
      <c r="C1194" s="307" t="str">
        <f>("3")</f>
        <v>3</v>
      </c>
      <c r="D1194" s="307" t="s">
        <v>862</v>
      </c>
      <c r="E1194" s="307" t="s">
        <v>3271</v>
      </c>
      <c r="F1194" s="307" t="s">
        <v>3272</v>
      </c>
      <c r="G1194" s="307">
        <v>5</v>
      </c>
      <c r="H1194" s="307" t="s">
        <v>858</v>
      </c>
      <c r="I1194" s="307" t="str">
        <f>("1109120198")</f>
        <v>1109120198</v>
      </c>
    </row>
    <row r="1195" spans="1:9" ht="13.5">
      <c r="A1195" s="419" t="str">
        <f t="shared" si="18"/>
        <v>県央おおのＪＦＣ_4</v>
      </c>
      <c r="B1195" s="307" t="s">
        <v>3268</v>
      </c>
      <c r="C1195" s="307" t="str">
        <f>("4")</f>
        <v>4</v>
      </c>
      <c r="D1195" s="307" t="s">
        <v>862</v>
      </c>
      <c r="E1195" s="307" t="s">
        <v>3273</v>
      </c>
      <c r="F1195" s="307" t="s">
        <v>3274</v>
      </c>
      <c r="G1195" s="307">
        <v>5</v>
      </c>
      <c r="H1195" s="307" t="s">
        <v>858</v>
      </c>
      <c r="I1195" s="307" t="str">
        <f>("1110280132")</f>
        <v>1110280132</v>
      </c>
    </row>
    <row r="1196" spans="1:9" ht="13.5">
      <c r="A1196" s="419" t="str">
        <f t="shared" si="18"/>
        <v>県央おおのＪＦＣ_5</v>
      </c>
      <c r="B1196" s="307" t="s">
        <v>3268</v>
      </c>
      <c r="C1196" s="307" t="str">
        <f>("5")</f>
        <v>5</v>
      </c>
      <c r="D1196" s="307" t="s">
        <v>859</v>
      </c>
      <c r="E1196" s="307" t="s">
        <v>3275</v>
      </c>
      <c r="F1196" s="307" t="s">
        <v>3276</v>
      </c>
      <c r="G1196" s="307">
        <v>5</v>
      </c>
      <c r="H1196" s="307" t="s">
        <v>858</v>
      </c>
      <c r="I1196" s="307" t="str">
        <f>("1106140210")</f>
        <v>1106140210</v>
      </c>
    </row>
    <row r="1197" spans="1:9" ht="13.5">
      <c r="A1197" s="419" t="str">
        <f t="shared" si="18"/>
        <v>県央おおのＪＦＣ_6</v>
      </c>
      <c r="B1197" s="307" t="s">
        <v>3268</v>
      </c>
      <c r="C1197" s="307" t="str">
        <f>("6")</f>
        <v>6</v>
      </c>
      <c r="D1197" s="307" t="s">
        <v>862</v>
      </c>
      <c r="E1197" s="307" t="s">
        <v>3277</v>
      </c>
      <c r="F1197" s="307" t="s">
        <v>3278</v>
      </c>
      <c r="G1197" s="307">
        <v>5</v>
      </c>
      <c r="H1197" s="307" t="s">
        <v>858</v>
      </c>
      <c r="I1197" s="307" t="str">
        <f>("1202080088")</f>
        <v>1202080088</v>
      </c>
    </row>
    <row r="1198" spans="1:9" ht="13.5">
      <c r="A1198" s="419" t="str">
        <f t="shared" si="18"/>
        <v>県央おおのＪＦＣ_7</v>
      </c>
      <c r="B1198" s="307" t="s">
        <v>3268</v>
      </c>
      <c r="C1198" s="307" t="str">
        <f>("7")</f>
        <v>7</v>
      </c>
      <c r="D1198" s="307" t="s">
        <v>862</v>
      </c>
      <c r="E1198" s="307" t="s">
        <v>3279</v>
      </c>
      <c r="F1198" s="307" t="s">
        <v>3280</v>
      </c>
      <c r="G1198" s="307">
        <v>6</v>
      </c>
      <c r="H1198" s="307" t="s">
        <v>869</v>
      </c>
      <c r="I1198" s="307" t="str">
        <f>("1009040156")</f>
        <v>1009040156</v>
      </c>
    </row>
    <row r="1199" spans="1:9" ht="13.5">
      <c r="A1199" s="419" t="str">
        <f t="shared" si="18"/>
        <v>県央おおのＪＦＣ_8</v>
      </c>
      <c r="B1199" s="307" t="s">
        <v>3268</v>
      </c>
      <c r="C1199" s="307" t="str">
        <f>("8")</f>
        <v>8</v>
      </c>
      <c r="D1199" s="307" t="s">
        <v>859</v>
      </c>
      <c r="E1199" s="307" t="s">
        <v>3281</v>
      </c>
      <c r="F1199" s="307" t="s">
        <v>3282</v>
      </c>
      <c r="G1199" s="307">
        <v>5</v>
      </c>
      <c r="H1199" s="307" t="s">
        <v>858</v>
      </c>
      <c r="I1199" s="307" t="str">
        <f>("1110200097")</f>
        <v>1110200097</v>
      </c>
    </row>
    <row r="1200" spans="1:9" ht="13.5">
      <c r="A1200" s="419" t="str">
        <f t="shared" si="18"/>
        <v>県央おおのＪＦＣ_9</v>
      </c>
      <c r="B1200" s="307" t="s">
        <v>3268</v>
      </c>
      <c r="C1200" s="307" t="str">
        <f>("9")</f>
        <v>9</v>
      </c>
      <c r="D1200" s="307" t="s">
        <v>884</v>
      </c>
      <c r="E1200" s="307" t="s">
        <v>3283</v>
      </c>
      <c r="F1200" s="307" t="s">
        <v>3284</v>
      </c>
      <c r="G1200" s="307">
        <v>6</v>
      </c>
      <c r="H1200" s="307" t="s">
        <v>858</v>
      </c>
      <c r="I1200" s="307" t="str">
        <f>("1007130036")</f>
        <v>1007130036</v>
      </c>
    </row>
    <row r="1201" spans="1:10" ht="13.5">
      <c r="A1201" s="419" t="str">
        <f t="shared" si="18"/>
        <v>県央おおのＪＦＣ_10</v>
      </c>
      <c r="B1201" s="307" t="s">
        <v>3268</v>
      </c>
      <c r="C1201" s="307" t="str">
        <f>("10")</f>
        <v>10</v>
      </c>
      <c r="D1201" s="307" t="s">
        <v>862</v>
      </c>
      <c r="E1201" s="307" t="s">
        <v>3285</v>
      </c>
      <c r="F1201" s="307" t="s">
        <v>3286</v>
      </c>
      <c r="G1201" s="307">
        <v>6</v>
      </c>
      <c r="H1201" s="307" t="s">
        <v>858</v>
      </c>
      <c r="I1201" s="307" t="str">
        <f>("1007120042")</f>
        <v>1007120042</v>
      </c>
      <c r="J1201" s="307" t="s">
        <v>15</v>
      </c>
    </row>
    <row r="1202" spans="1:9" ht="13.5">
      <c r="A1202" s="419" t="str">
        <f t="shared" si="18"/>
        <v>県央おおのＪＦＣ_11</v>
      </c>
      <c r="B1202" s="307" t="s">
        <v>3268</v>
      </c>
      <c r="C1202" s="307" t="str">
        <f>("11")</f>
        <v>11</v>
      </c>
      <c r="D1202" s="307" t="s">
        <v>859</v>
      </c>
      <c r="E1202" s="307" t="s">
        <v>3287</v>
      </c>
      <c r="F1202" s="307" t="s">
        <v>3288</v>
      </c>
      <c r="G1202" s="307">
        <v>6</v>
      </c>
      <c r="H1202" s="307" t="s">
        <v>858</v>
      </c>
      <c r="I1202" s="307" t="str">
        <f>("1007130211")</f>
        <v>1007130211</v>
      </c>
    </row>
    <row r="1203" spans="1:9" ht="13.5">
      <c r="A1203" s="419" t="str">
        <f t="shared" si="18"/>
        <v>県央おおのＪＦＣ_13</v>
      </c>
      <c r="B1203" s="307" t="s">
        <v>3268</v>
      </c>
      <c r="C1203" s="307" t="str">
        <f>("13")</f>
        <v>13</v>
      </c>
      <c r="D1203" s="307" t="s">
        <v>884</v>
      </c>
      <c r="E1203" s="307" t="s">
        <v>3289</v>
      </c>
      <c r="F1203" s="307" t="s">
        <v>3290</v>
      </c>
      <c r="G1203" s="307">
        <v>4</v>
      </c>
      <c r="H1203" s="307" t="s">
        <v>858</v>
      </c>
      <c r="I1203" s="307" t="str">
        <f>("1207060037")</f>
        <v>1207060037</v>
      </c>
    </row>
    <row r="1204" spans="1:9" ht="13.5">
      <c r="A1204" s="419" t="str">
        <f t="shared" si="18"/>
        <v>県央おおのＪＦＣ_17</v>
      </c>
      <c r="B1204" s="307" t="s">
        <v>3268</v>
      </c>
      <c r="C1204" s="307" t="str">
        <f>("17")</f>
        <v>17</v>
      </c>
      <c r="D1204" s="307" t="s">
        <v>855</v>
      </c>
      <c r="E1204" s="307" t="s">
        <v>3291</v>
      </c>
      <c r="F1204" s="307" t="s">
        <v>3292</v>
      </c>
      <c r="G1204" s="307">
        <v>3</v>
      </c>
      <c r="H1204" s="307" t="s">
        <v>858</v>
      </c>
      <c r="I1204" s="307" t="str">
        <f>("1306090004")</f>
        <v>1306090004</v>
      </c>
    </row>
    <row r="1205" spans="1:9" ht="13.5">
      <c r="A1205" s="419" t="str">
        <f t="shared" si="18"/>
        <v>ブルーウイングフットボールクラブ_1</v>
      </c>
      <c r="B1205" s="307" t="s">
        <v>38</v>
      </c>
      <c r="C1205" s="307" t="str">
        <f>("1")</f>
        <v>1</v>
      </c>
      <c r="D1205" s="307" t="s">
        <v>855</v>
      </c>
      <c r="E1205" s="307" t="s">
        <v>3293</v>
      </c>
      <c r="F1205" s="307" t="s">
        <v>3294</v>
      </c>
      <c r="G1205" s="307">
        <v>6</v>
      </c>
      <c r="H1205" s="307" t="s">
        <v>858</v>
      </c>
      <c r="I1205" s="307" t="str">
        <f>("1005120178")</f>
        <v>1005120178</v>
      </c>
    </row>
    <row r="1206" spans="1:9" ht="13.5">
      <c r="A1206" s="419" t="str">
        <f t="shared" si="18"/>
        <v>ブルーウイングフットボールクラブ_2</v>
      </c>
      <c r="B1206" s="307" t="s">
        <v>38</v>
      </c>
      <c r="C1206" s="307" t="str">
        <f>("2")</f>
        <v>2</v>
      </c>
      <c r="D1206" s="307" t="s">
        <v>884</v>
      </c>
      <c r="E1206" s="307" t="s">
        <v>3295</v>
      </c>
      <c r="F1206" s="307" t="s">
        <v>3296</v>
      </c>
      <c r="G1206" s="307">
        <v>5</v>
      </c>
      <c r="H1206" s="307" t="s">
        <v>858</v>
      </c>
      <c r="I1206" s="307" t="str">
        <f>("1104260232")</f>
        <v>1104260232</v>
      </c>
    </row>
    <row r="1207" spans="1:9" ht="13.5">
      <c r="A1207" s="419" t="str">
        <f t="shared" si="18"/>
        <v>ブルーウイングフットボールクラブ_3</v>
      </c>
      <c r="B1207" s="307" t="s">
        <v>38</v>
      </c>
      <c r="C1207" s="307" t="str">
        <f>("3")</f>
        <v>3</v>
      </c>
      <c r="D1207" s="307" t="s">
        <v>884</v>
      </c>
      <c r="E1207" s="307" t="s">
        <v>3297</v>
      </c>
      <c r="F1207" s="307" t="s">
        <v>3298</v>
      </c>
      <c r="G1207" s="307">
        <v>6</v>
      </c>
      <c r="H1207" s="307" t="s">
        <v>858</v>
      </c>
      <c r="I1207" s="307" t="str">
        <f>("1004210019")</f>
        <v>1004210019</v>
      </c>
    </row>
    <row r="1208" spans="1:9" ht="13.5">
      <c r="A1208" s="419" t="str">
        <f t="shared" si="18"/>
        <v>ブルーウイングフットボールクラブ_4</v>
      </c>
      <c r="B1208" s="307" t="s">
        <v>38</v>
      </c>
      <c r="C1208" s="307" t="str">
        <f>("4")</f>
        <v>4</v>
      </c>
      <c r="D1208" s="307" t="s">
        <v>859</v>
      </c>
      <c r="E1208" s="307" t="s">
        <v>3299</v>
      </c>
      <c r="F1208" s="307" t="s">
        <v>3300</v>
      </c>
      <c r="G1208" s="307">
        <v>6</v>
      </c>
      <c r="H1208" s="307" t="s">
        <v>858</v>
      </c>
      <c r="I1208" s="307" t="str">
        <f>("1004030120")</f>
        <v>1004030120</v>
      </c>
    </row>
    <row r="1209" spans="1:9" ht="13.5">
      <c r="A1209" s="419" t="str">
        <f t="shared" si="18"/>
        <v>ブルーウイングフットボールクラブ_5</v>
      </c>
      <c r="B1209" s="307" t="s">
        <v>38</v>
      </c>
      <c r="C1209" s="307" t="str">
        <f>("5")</f>
        <v>5</v>
      </c>
      <c r="D1209" s="307" t="s">
        <v>859</v>
      </c>
      <c r="E1209" s="307" t="s">
        <v>3301</v>
      </c>
      <c r="F1209" s="307" t="s">
        <v>3302</v>
      </c>
      <c r="G1209" s="307">
        <v>6</v>
      </c>
      <c r="H1209" s="307" t="s">
        <v>858</v>
      </c>
      <c r="I1209" s="307" t="str">
        <f>("1011250182")</f>
        <v>1011250182</v>
      </c>
    </row>
    <row r="1210" spans="1:9" ht="13.5">
      <c r="A1210" s="419" t="str">
        <f t="shared" si="18"/>
        <v>ブルーウイングフットボールクラブ_6</v>
      </c>
      <c r="B1210" s="307" t="s">
        <v>38</v>
      </c>
      <c r="C1210" s="307" t="str">
        <f>("6")</f>
        <v>6</v>
      </c>
      <c r="D1210" s="307" t="s">
        <v>859</v>
      </c>
      <c r="E1210" s="307" t="s">
        <v>3303</v>
      </c>
      <c r="F1210" s="307" t="s">
        <v>3304</v>
      </c>
      <c r="G1210" s="307">
        <v>6</v>
      </c>
      <c r="H1210" s="307" t="s">
        <v>858</v>
      </c>
      <c r="I1210" s="307" t="str">
        <f>("1005280162")</f>
        <v>1005280162</v>
      </c>
    </row>
    <row r="1211" spans="1:9" ht="13.5">
      <c r="A1211" s="419" t="str">
        <f t="shared" si="18"/>
        <v>ブルーウイングフットボールクラブ_7</v>
      </c>
      <c r="B1211" s="307" t="s">
        <v>38</v>
      </c>
      <c r="C1211" s="307" t="str">
        <f>("7")</f>
        <v>7</v>
      </c>
      <c r="D1211" s="307" t="s">
        <v>862</v>
      </c>
      <c r="E1211" s="307" t="s">
        <v>3305</v>
      </c>
      <c r="F1211" s="307" t="s">
        <v>3306</v>
      </c>
      <c r="G1211" s="307">
        <v>6</v>
      </c>
      <c r="H1211" s="307" t="s">
        <v>858</v>
      </c>
      <c r="I1211" s="307" t="str">
        <f>("1005240011")</f>
        <v>1005240011</v>
      </c>
    </row>
    <row r="1212" spans="1:9" ht="13.5">
      <c r="A1212" s="419" t="str">
        <f t="shared" si="18"/>
        <v>ブルーウイングフットボールクラブ_8</v>
      </c>
      <c r="B1212" s="307" t="s">
        <v>38</v>
      </c>
      <c r="C1212" s="307" t="str">
        <f>("8")</f>
        <v>8</v>
      </c>
      <c r="D1212" s="307" t="s">
        <v>859</v>
      </c>
      <c r="E1212" s="307" t="s">
        <v>3307</v>
      </c>
      <c r="F1212" s="307" t="s">
        <v>3308</v>
      </c>
      <c r="G1212" s="307">
        <v>6</v>
      </c>
      <c r="H1212" s="307" t="s">
        <v>858</v>
      </c>
      <c r="I1212" s="307" t="str">
        <f>("1102150163")</f>
        <v>1102150163</v>
      </c>
    </row>
    <row r="1213" spans="1:10" ht="13.5">
      <c r="A1213" s="419" t="str">
        <f t="shared" si="18"/>
        <v>ブルーウイングフットボールクラブ_9</v>
      </c>
      <c r="B1213" s="307" t="s">
        <v>38</v>
      </c>
      <c r="C1213" s="307" t="str">
        <f>("9")</f>
        <v>9</v>
      </c>
      <c r="D1213" s="307" t="s">
        <v>884</v>
      </c>
      <c r="E1213" s="307" t="s">
        <v>3309</v>
      </c>
      <c r="F1213" s="307" t="s">
        <v>3310</v>
      </c>
      <c r="G1213" s="307">
        <v>6</v>
      </c>
      <c r="H1213" s="307" t="s">
        <v>858</v>
      </c>
      <c r="I1213" s="307" t="str">
        <f>("1008150127")</f>
        <v>1008150127</v>
      </c>
      <c r="J1213" s="307" t="s">
        <v>15</v>
      </c>
    </row>
    <row r="1214" spans="1:9" ht="13.5">
      <c r="A1214" s="419" t="str">
        <f t="shared" si="18"/>
        <v>ブルーウイングフットボールクラブ_10</v>
      </c>
      <c r="B1214" s="307" t="s">
        <v>38</v>
      </c>
      <c r="C1214" s="307" t="str">
        <f>("10")</f>
        <v>10</v>
      </c>
      <c r="D1214" s="307" t="s">
        <v>862</v>
      </c>
      <c r="E1214" s="307" t="s">
        <v>3311</v>
      </c>
      <c r="F1214" s="307" t="s">
        <v>3312</v>
      </c>
      <c r="G1214" s="307">
        <v>6</v>
      </c>
      <c r="H1214" s="307" t="s">
        <v>858</v>
      </c>
      <c r="I1214" s="307" t="str">
        <f>("1101300091")</f>
        <v>1101300091</v>
      </c>
    </row>
    <row r="1215" spans="1:9" ht="13.5">
      <c r="A1215" s="419" t="str">
        <f t="shared" si="18"/>
        <v>ブルーウイングフットボールクラブ_11</v>
      </c>
      <c r="B1215" s="307" t="s">
        <v>38</v>
      </c>
      <c r="C1215" s="307" t="str">
        <f>("11")</f>
        <v>11</v>
      </c>
      <c r="D1215" s="307" t="s">
        <v>884</v>
      </c>
      <c r="E1215" s="307" t="s">
        <v>3313</v>
      </c>
      <c r="F1215" s="307" t="s">
        <v>3314</v>
      </c>
      <c r="G1215" s="307">
        <v>6</v>
      </c>
      <c r="H1215" s="307" t="s">
        <v>858</v>
      </c>
      <c r="I1215" s="307" t="str">
        <f>("1010090113")</f>
        <v>1010090113</v>
      </c>
    </row>
    <row r="1216" spans="1:9" ht="13.5">
      <c r="A1216" s="419" t="str">
        <f t="shared" si="18"/>
        <v>ブルーウイングフットボールクラブ_12</v>
      </c>
      <c r="B1216" s="307" t="s">
        <v>38</v>
      </c>
      <c r="C1216" s="307" t="str">
        <f>("12")</f>
        <v>12</v>
      </c>
      <c r="D1216" s="307" t="s">
        <v>855</v>
      </c>
      <c r="E1216" s="307" t="s">
        <v>3315</v>
      </c>
      <c r="F1216" s="307" t="s">
        <v>3316</v>
      </c>
      <c r="G1216" s="307">
        <v>5</v>
      </c>
      <c r="H1216" s="307" t="s">
        <v>858</v>
      </c>
      <c r="I1216" s="307" t="str">
        <f>("1104170090")</f>
        <v>1104170090</v>
      </c>
    </row>
    <row r="1217" spans="1:9" ht="13.5">
      <c r="A1217" s="419" t="str">
        <f aca="true" t="shared" si="19" ref="A1217:A1280">CONCATENATE(B1217,"_",C1217)</f>
        <v>ブルーウイングフットボールクラブ_13</v>
      </c>
      <c r="B1217" s="307" t="s">
        <v>38</v>
      </c>
      <c r="C1217" s="307" t="str">
        <f>("13")</f>
        <v>13</v>
      </c>
      <c r="D1217" s="307" t="s">
        <v>859</v>
      </c>
      <c r="E1217" s="307" t="s">
        <v>3317</v>
      </c>
      <c r="F1217" s="307" t="s">
        <v>3318</v>
      </c>
      <c r="G1217" s="307">
        <v>6</v>
      </c>
      <c r="H1217" s="307" t="s">
        <v>858</v>
      </c>
      <c r="I1217" s="307" t="str">
        <f>("1103200018")</f>
        <v>1103200018</v>
      </c>
    </row>
    <row r="1218" spans="1:9" ht="13.5">
      <c r="A1218" s="419" t="str">
        <f t="shared" si="19"/>
        <v>ブルーウイングフットボールクラブ_14</v>
      </c>
      <c r="B1218" s="307" t="s">
        <v>38</v>
      </c>
      <c r="C1218" s="307" t="str">
        <f>("14")</f>
        <v>14</v>
      </c>
      <c r="D1218" s="307" t="s">
        <v>862</v>
      </c>
      <c r="E1218" s="307" t="s">
        <v>3319</v>
      </c>
      <c r="F1218" s="307" t="s">
        <v>3320</v>
      </c>
      <c r="G1218" s="307">
        <v>5</v>
      </c>
      <c r="H1218" s="307" t="s">
        <v>858</v>
      </c>
      <c r="I1218" s="307" t="str">
        <f>("1107210191")</f>
        <v>1107210191</v>
      </c>
    </row>
    <row r="1219" spans="1:9" ht="13.5">
      <c r="A1219" s="419" t="str">
        <f t="shared" si="19"/>
        <v>ブルーウイングフットボールクラブ_15</v>
      </c>
      <c r="B1219" s="307" t="s">
        <v>38</v>
      </c>
      <c r="C1219" s="307" t="str">
        <f>("15")</f>
        <v>15</v>
      </c>
      <c r="D1219" s="307" t="s">
        <v>884</v>
      </c>
      <c r="E1219" s="307" t="s">
        <v>3321</v>
      </c>
      <c r="F1219" s="307" t="s">
        <v>3322</v>
      </c>
      <c r="G1219" s="307">
        <v>6</v>
      </c>
      <c r="H1219" s="307" t="s">
        <v>858</v>
      </c>
      <c r="I1219" s="307" t="str">
        <f>("1005170202")</f>
        <v>1005170202</v>
      </c>
    </row>
    <row r="1220" spans="1:9" ht="13.5">
      <c r="A1220" s="419" t="str">
        <f t="shared" si="19"/>
        <v>ブルーウイングフットボールクラブ_16</v>
      </c>
      <c r="B1220" s="307" t="s">
        <v>38</v>
      </c>
      <c r="C1220" s="307" t="str">
        <f>("16")</f>
        <v>16</v>
      </c>
      <c r="D1220" s="307" t="s">
        <v>859</v>
      </c>
      <c r="E1220" s="307" t="s">
        <v>3323</v>
      </c>
      <c r="F1220" s="307" t="s">
        <v>3324</v>
      </c>
      <c r="G1220" s="307">
        <v>6</v>
      </c>
      <c r="H1220" s="307" t="s">
        <v>858</v>
      </c>
      <c r="I1220" s="307" t="str">
        <f>("1006080233")</f>
        <v>1006080233</v>
      </c>
    </row>
    <row r="1221" spans="1:9" ht="13.5">
      <c r="A1221" s="419" t="str">
        <f t="shared" si="19"/>
        <v>ようこくバンビーレＦＣ_1</v>
      </c>
      <c r="B1221" s="307" t="s">
        <v>3325</v>
      </c>
      <c r="C1221" s="307" t="str">
        <f>("1")</f>
        <v>1</v>
      </c>
      <c r="D1221" s="307" t="s">
        <v>855</v>
      </c>
      <c r="E1221" s="307" t="s">
        <v>3326</v>
      </c>
      <c r="F1221" s="307" t="s">
        <v>3327</v>
      </c>
      <c r="G1221" s="307">
        <v>6</v>
      </c>
      <c r="H1221" s="307" t="s">
        <v>858</v>
      </c>
      <c r="I1221" s="307" t="str">
        <f>("1004090136")</f>
        <v>1004090136</v>
      </c>
    </row>
    <row r="1222" spans="1:9" ht="13.5">
      <c r="A1222" s="419" t="str">
        <f t="shared" si="19"/>
        <v>ようこくバンビーレＦＣ_2</v>
      </c>
      <c r="B1222" s="307" t="s">
        <v>3325</v>
      </c>
      <c r="C1222" s="307" t="str">
        <f>("2")</f>
        <v>2</v>
      </c>
      <c r="D1222" s="307" t="s">
        <v>884</v>
      </c>
      <c r="E1222" s="307" t="s">
        <v>3328</v>
      </c>
      <c r="F1222" s="307" t="s">
        <v>3329</v>
      </c>
      <c r="G1222" s="307">
        <v>5</v>
      </c>
      <c r="H1222" s="307" t="s">
        <v>858</v>
      </c>
      <c r="I1222" s="307" t="str">
        <f>("1110080089")</f>
        <v>1110080089</v>
      </c>
    </row>
    <row r="1223" spans="1:9" ht="13.5">
      <c r="A1223" s="419" t="str">
        <f t="shared" si="19"/>
        <v>ようこくバンビーレＦＣ_5</v>
      </c>
      <c r="B1223" s="307" t="s">
        <v>3325</v>
      </c>
      <c r="C1223" s="307" t="str">
        <f>("5")</f>
        <v>5</v>
      </c>
      <c r="D1223" s="307" t="s">
        <v>859</v>
      </c>
      <c r="E1223" s="307" t="s">
        <v>3330</v>
      </c>
      <c r="F1223" s="307" t="s">
        <v>3331</v>
      </c>
      <c r="G1223" s="307">
        <v>6</v>
      </c>
      <c r="H1223" s="307" t="s">
        <v>858</v>
      </c>
      <c r="I1223" s="307" t="str">
        <f>("1009250087")</f>
        <v>1009250087</v>
      </c>
    </row>
    <row r="1224" spans="1:9" ht="13.5">
      <c r="A1224" s="419" t="str">
        <f t="shared" si="19"/>
        <v>ようこくバンビーレＦＣ_6</v>
      </c>
      <c r="B1224" s="307" t="s">
        <v>3325</v>
      </c>
      <c r="C1224" s="307" t="str">
        <f>("6")</f>
        <v>6</v>
      </c>
      <c r="D1224" s="307" t="s">
        <v>884</v>
      </c>
      <c r="E1224" s="307" t="s">
        <v>3332</v>
      </c>
      <c r="F1224" s="307" t="s">
        <v>3333</v>
      </c>
      <c r="G1224" s="307">
        <v>6</v>
      </c>
      <c r="H1224" s="307" t="s">
        <v>858</v>
      </c>
      <c r="I1224" s="307" t="str">
        <f>("1008260221")</f>
        <v>1008260221</v>
      </c>
    </row>
    <row r="1225" spans="1:9" ht="13.5">
      <c r="A1225" s="419" t="str">
        <f t="shared" si="19"/>
        <v>ようこくバンビーレＦＣ_7</v>
      </c>
      <c r="B1225" s="307" t="s">
        <v>3325</v>
      </c>
      <c r="C1225" s="307" t="str">
        <f>("7")</f>
        <v>7</v>
      </c>
      <c r="D1225" s="307" t="s">
        <v>859</v>
      </c>
      <c r="E1225" s="307" t="s">
        <v>3334</v>
      </c>
      <c r="F1225" s="307" t="s">
        <v>1763</v>
      </c>
      <c r="G1225" s="307">
        <v>6</v>
      </c>
      <c r="H1225" s="307" t="s">
        <v>858</v>
      </c>
      <c r="I1225" s="307" t="str">
        <f>("1008050022")</f>
        <v>1008050022</v>
      </c>
    </row>
    <row r="1226" spans="1:9" ht="13.5">
      <c r="A1226" s="419" t="str">
        <f t="shared" si="19"/>
        <v>ようこくバンビーレＦＣ_8</v>
      </c>
      <c r="B1226" s="307" t="s">
        <v>3325</v>
      </c>
      <c r="C1226" s="307" t="str">
        <f>("8")</f>
        <v>8</v>
      </c>
      <c r="D1226" s="307" t="s">
        <v>862</v>
      </c>
      <c r="E1226" s="307" t="s">
        <v>3335</v>
      </c>
      <c r="F1226" s="307" t="s">
        <v>3336</v>
      </c>
      <c r="G1226" s="307">
        <v>6</v>
      </c>
      <c r="H1226" s="307" t="s">
        <v>858</v>
      </c>
      <c r="I1226" s="307" t="str">
        <f>("1011280029")</f>
        <v>1011280029</v>
      </c>
    </row>
    <row r="1227" spans="1:9" ht="13.5">
      <c r="A1227" s="419" t="str">
        <f t="shared" si="19"/>
        <v>ようこくバンビーレＦＣ_9</v>
      </c>
      <c r="B1227" s="307" t="s">
        <v>3325</v>
      </c>
      <c r="C1227" s="307" t="str">
        <f>("9")</f>
        <v>9</v>
      </c>
      <c r="D1227" s="307" t="s">
        <v>862</v>
      </c>
      <c r="E1227" s="307" t="s">
        <v>3337</v>
      </c>
      <c r="F1227" s="307" t="s">
        <v>3338</v>
      </c>
      <c r="G1227" s="307">
        <v>6</v>
      </c>
      <c r="H1227" s="307" t="s">
        <v>858</v>
      </c>
      <c r="I1227" s="307" t="str">
        <f>("1006190100")</f>
        <v>1006190100</v>
      </c>
    </row>
    <row r="1228" spans="1:10" ht="13.5">
      <c r="A1228" s="419" t="str">
        <f t="shared" si="19"/>
        <v>ようこくバンビーレＦＣ_10</v>
      </c>
      <c r="B1228" s="307" t="s">
        <v>3325</v>
      </c>
      <c r="C1228" s="307" t="str">
        <f>("10")</f>
        <v>10</v>
      </c>
      <c r="D1228" s="307" t="s">
        <v>862</v>
      </c>
      <c r="E1228" s="307" t="s">
        <v>3339</v>
      </c>
      <c r="F1228" s="307" t="s">
        <v>3340</v>
      </c>
      <c r="G1228" s="307">
        <v>6</v>
      </c>
      <c r="H1228" s="307" t="s">
        <v>858</v>
      </c>
      <c r="I1228" s="307" t="str">
        <f>("1102260012")</f>
        <v>1102260012</v>
      </c>
      <c r="J1228" s="307" t="s">
        <v>15</v>
      </c>
    </row>
    <row r="1229" spans="1:9" ht="13.5">
      <c r="A1229" s="419" t="str">
        <f t="shared" si="19"/>
        <v>ようこくバンビーレＦＣ_11</v>
      </c>
      <c r="B1229" s="307" t="s">
        <v>3325</v>
      </c>
      <c r="C1229" s="307" t="str">
        <f>("11")</f>
        <v>11</v>
      </c>
      <c r="D1229" s="307" t="s">
        <v>862</v>
      </c>
      <c r="E1229" s="307" t="s">
        <v>3341</v>
      </c>
      <c r="F1229" s="307" t="s">
        <v>3342</v>
      </c>
      <c r="G1229" s="307">
        <v>6</v>
      </c>
      <c r="H1229" s="307" t="s">
        <v>858</v>
      </c>
      <c r="I1229" s="307" t="str">
        <f>("1009140069")</f>
        <v>1009140069</v>
      </c>
    </row>
    <row r="1230" spans="1:9" ht="13.5">
      <c r="A1230" s="419" t="str">
        <f t="shared" si="19"/>
        <v>ようこくバンビーレＦＣ_12</v>
      </c>
      <c r="B1230" s="307" t="s">
        <v>3325</v>
      </c>
      <c r="C1230" s="307" t="str">
        <f>("12")</f>
        <v>12</v>
      </c>
      <c r="D1230" s="307" t="s">
        <v>859</v>
      </c>
      <c r="E1230" s="307" t="s">
        <v>3343</v>
      </c>
      <c r="F1230" s="307" t="s">
        <v>3344</v>
      </c>
      <c r="G1230" s="307">
        <v>4</v>
      </c>
      <c r="H1230" s="307" t="s">
        <v>858</v>
      </c>
      <c r="I1230" s="307" t="str">
        <f>("1212110170")</f>
        <v>1212110170</v>
      </c>
    </row>
    <row r="1231" spans="1:9" ht="13.5">
      <c r="A1231" s="419" t="str">
        <f t="shared" si="19"/>
        <v>ようこくバンビーレＦＣ_13</v>
      </c>
      <c r="B1231" s="307" t="s">
        <v>3325</v>
      </c>
      <c r="C1231" s="307" t="str">
        <f>("13")</f>
        <v>13</v>
      </c>
      <c r="D1231" s="307" t="s">
        <v>862</v>
      </c>
      <c r="E1231" s="307" t="s">
        <v>3345</v>
      </c>
      <c r="F1231" s="307" t="s">
        <v>3346</v>
      </c>
      <c r="G1231" s="307">
        <v>4</v>
      </c>
      <c r="H1231" s="307" t="s">
        <v>858</v>
      </c>
      <c r="I1231" s="307" t="str">
        <f>("1207260052")</f>
        <v>1207260052</v>
      </c>
    </row>
    <row r="1232" spans="1:9" ht="13.5">
      <c r="A1232" s="419" t="str">
        <f t="shared" si="19"/>
        <v>ようこくバンビーレＦＣ_14</v>
      </c>
      <c r="B1232" s="307" t="s">
        <v>3325</v>
      </c>
      <c r="C1232" s="307" t="str">
        <f>("14")</f>
        <v>14</v>
      </c>
      <c r="D1232" s="307" t="s">
        <v>884</v>
      </c>
      <c r="E1232" s="307" t="s">
        <v>3347</v>
      </c>
      <c r="F1232" s="307" t="s">
        <v>3348</v>
      </c>
      <c r="G1232" s="307">
        <v>4</v>
      </c>
      <c r="H1232" s="307" t="s">
        <v>858</v>
      </c>
      <c r="I1232" s="307" t="str">
        <f>("1212020040")</f>
        <v>1212020040</v>
      </c>
    </row>
    <row r="1233" spans="1:9" ht="13.5">
      <c r="A1233" s="419" t="str">
        <f t="shared" si="19"/>
        <v>ようこくバンビーレＦＣ_15</v>
      </c>
      <c r="B1233" s="307" t="s">
        <v>3325</v>
      </c>
      <c r="C1233" s="307" t="str">
        <f>("15")</f>
        <v>15</v>
      </c>
      <c r="D1233" s="307" t="s">
        <v>859</v>
      </c>
      <c r="E1233" s="307" t="s">
        <v>3349</v>
      </c>
      <c r="F1233" s="307" t="s">
        <v>3350</v>
      </c>
      <c r="G1233" s="307">
        <v>4</v>
      </c>
      <c r="H1233" s="307" t="s">
        <v>869</v>
      </c>
      <c r="I1233" s="307" t="str">
        <f>("1303140139")</f>
        <v>1303140139</v>
      </c>
    </row>
    <row r="1234" spans="1:9" ht="13.5">
      <c r="A1234" s="419" t="str">
        <f t="shared" si="19"/>
        <v>野津ＦＣ_1</v>
      </c>
      <c r="B1234" s="307" t="s">
        <v>3351</v>
      </c>
      <c r="C1234" s="307" t="str">
        <f>("1")</f>
        <v>1</v>
      </c>
      <c r="D1234" s="307" t="s">
        <v>855</v>
      </c>
      <c r="E1234" s="307" t="s">
        <v>3352</v>
      </c>
      <c r="F1234" s="307" t="s">
        <v>3353</v>
      </c>
      <c r="G1234" s="307">
        <v>4</v>
      </c>
      <c r="H1234" s="307" t="s">
        <v>858</v>
      </c>
      <c r="I1234" s="307" t="str">
        <f>("1206090102")</f>
        <v>1206090102</v>
      </c>
    </row>
    <row r="1235" spans="1:9" ht="13.5">
      <c r="A1235" s="419" t="str">
        <f t="shared" si="19"/>
        <v>野津ＦＣ_2</v>
      </c>
      <c r="B1235" s="307" t="s">
        <v>3351</v>
      </c>
      <c r="C1235" s="307" t="str">
        <f>("2")</f>
        <v>2</v>
      </c>
      <c r="D1235" s="307" t="s">
        <v>884</v>
      </c>
      <c r="E1235" s="307" t="s">
        <v>3354</v>
      </c>
      <c r="F1235" s="307" t="s">
        <v>3355</v>
      </c>
      <c r="G1235" s="307">
        <v>2</v>
      </c>
      <c r="H1235" s="307" t="s">
        <v>858</v>
      </c>
      <c r="I1235" s="307" t="str">
        <f>("1411260015")</f>
        <v>1411260015</v>
      </c>
    </row>
    <row r="1236" spans="1:9" ht="13.5">
      <c r="A1236" s="419" t="str">
        <f t="shared" si="19"/>
        <v>野津ＦＣ_3</v>
      </c>
      <c r="B1236" s="307" t="s">
        <v>3351</v>
      </c>
      <c r="C1236" s="307" t="str">
        <f>("3")</f>
        <v>3</v>
      </c>
      <c r="D1236" s="307" t="s">
        <v>859</v>
      </c>
      <c r="E1236" s="307" t="s">
        <v>3356</v>
      </c>
      <c r="F1236" s="307" t="s">
        <v>3357</v>
      </c>
      <c r="G1236" s="307">
        <v>5</v>
      </c>
      <c r="H1236" s="307" t="s">
        <v>858</v>
      </c>
      <c r="I1236" s="307" t="str">
        <f>("1104050205")</f>
        <v>1104050205</v>
      </c>
    </row>
    <row r="1237" spans="1:9" ht="13.5">
      <c r="A1237" s="419" t="str">
        <f t="shared" si="19"/>
        <v>野津ＦＣ_4</v>
      </c>
      <c r="B1237" s="307" t="s">
        <v>3351</v>
      </c>
      <c r="C1237" s="307" t="str">
        <f>("4")</f>
        <v>4</v>
      </c>
      <c r="D1237" s="307" t="s">
        <v>862</v>
      </c>
      <c r="E1237" s="307" t="s">
        <v>3358</v>
      </c>
      <c r="F1237" s="307" t="s">
        <v>3359</v>
      </c>
      <c r="G1237" s="307">
        <v>4</v>
      </c>
      <c r="H1237" s="307" t="s">
        <v>858</v>
      </c>
      <c r="I1237" s="307" t="str">
        <f>("1205240093")</f>
        <v>1205240093</v>
      </c>
    </row>
    <row r="1238" spans="1:9" ht="13.5">
      <c r="A1238" s="419" t="str">
        <f t="shared" si="19"/>
        <v>野津ＦＣ_5</v>
      </c>
      <c r="B1238" s="307" t="s">
        <v>3351</v>
      </c>
      <c r="C1238" s="307" t="str">
        <f>("5")</f>
        <v>5</v>
      </c>
      <c r="D1238" s="307" t="s">
        <v>859</v>
      </c>
      <c r="E1238" s="307" t="s">
        <v>3360</v>
      </c>
      <c r="F1238" s="307" t="s">
        <v>3361</v>
      </c>
      <c r="G1238" s="307">
        <v>4</v>
      </c>
      <c r="H1238" s="307" t="s">
        <v>858</v>
      </c>
      <c r="I1238" s="307" t="str">
        <f>("1208030097")</f>
        <v>1208030097</v>
      </c>
    </row>
    <row r="1239" spans="1:10" ht="13.5">
      <c r="A1239" s="419" t="str">
        <f t="shared" si="19"/>
        <v>野津ＦＣ_6</v>
      </c>
      <c r="B1239" s="307" t="s">
        <v>3351</v>
      </c>
      <c r="C1239" s="307" t="str">
        <f>("6")</f>
        <v>6</v>
      </c>
      <c r="D1239" s="307" t="s">
        <v>862</v>
      </c>
      <c r="E1239" s="307" t="s">
        <v>3362</v>
      </c>
      <c r="F1239" s="307" t="s">
        <v>3363</v>
      </c>
      <c r="G1239" s="307">
        <v>6</v>
      </c>
      <c r="H1239" s="307" t="s">
        <v>858</v>
      </c>
      <c r="I1239" s="307" t="str">
        <f>("1102100087")</f>
        <v>1102100087</v>
      </c>
      <c r="J1239" s="307" t="s">
        <v>15</v>
      </c>
    </row>
    <row r="1240" spans="1:9" ht="13.5">
      <c r="A1240" s="419" t="str">
        <f t="shared" si="19"/>
        <v>野津ＦＣ_7</v>
      </c>
      <c r="B1240" s="307" t="s">
        <v>3351</v>
      </c>
      <c r="C1240" s="307" t="str">
        <f>("7")</f>
        <v>7</v>
      </c>
      <c r="D1240" s="307" t="s">
        <v>862</v>
      </c>
      <c r="E1240" s="307" t="s">
        <v>3364</v>
      </c>
      <c r="F1240" s="307" t="s">
        <v>3365</v>
      </c>
      <c r="G1240" s="307">
        <v>4</v>
      </c>
      <c r="H1240" s="307" t="s">
        <v>858</v>
      </c>
      <c r="I1240" s="307" t="str">
        <f>("1208100034")</f>
        <v>1208100034</v>
      </c>
    </row>
    <row r="1241" spans="1:9" ht="13.5">
      <c r="A1241" s="419" t="str">
        <f t="shared" si="19"/>
        <v>野津ＦＣ_8</v>
      </c>
      <c r="B1241" s="307" t="s">
        <v>3351</v>
      </c>
      <c r="C1241" s="307" t="str">
        <f>("8")</f>
        <v>8</v>
      </c>
      <c r="D1241" s="307" t="s">
        <v>859</v>
      </c>
      <c r="E1241" s="307" t="s">
        <v>3366</v>
      </c>
      <c r="F1241" s="307" t="s">
        <v>3367</v>
      </c>
      <c r="G1241" s="307">
        <v>6</v>
      </c>
      <c r="H1241" s="307" t="s">
        <v>858</v>
      </c>
      <c r="I1241" s="307" t="str">
        <f>("1006260074")</f>
        <v>1006260074</v>
      </c>
    </row>
    <row r="1242" spans="1:9" ht="13.5">
      <c r="A1242" s="419" t="str">
        <f t="shared" si="19"/>
        <v>野津ＦＣ_9</v>
      </c>
      <c r="B1242" s="307" t="s">
        <v>3351</v>
      </c>
      <c r="C1242" s="307" t="str">
        <f>("9")</f>
        <v>9</v>
      </c>
      <c r="D1242" s="307" t="s">
        <v>884</v>
      </c>
      <c r="E1242" s="307" t="s">
        <v>3368</v>
      </c>
      <c r="F1242" s="307" t="s">
        <v>3369</v>
      </c>
      <c r="G1242" s="307">
        <v>4</v>
      </c>
      <c r="H1242" s="307" t="s">
        <v>858</v>
      </c>
      <c r="I1242" s="307" t="str">
        <f>("1212070070")</f>
        <v>1212070070</v>
      </c>
    </row>
    <row r="1243" spans="1:9" ht="13.5">
      <c r="A1243" s="419" t="str">
        <f t="shared" si="19"/>
        <v>野津ＦＣ_10</v>
      </c>
      <c r="B1243" s="307" t="s">
        <v>3351</v>
      </c>
      <c r="C1243" s="307" t="str">
        <f>("10")</f>
        <v>10</v>
      </c>
      <c r="D1243" s="307" t="s">
        <v>862</v>
      </c>
      <c r="E1243" s="307" t="s">
        <v>3370</v>
      </c>
      <c r="F1243" s="307" t="s">
        <v>3371</v>
      </c>
      <c r="G1243" s="307">
        <v>6</v>
      </c>
      <c r="H1243" s="307" t="s">
        <v>858</v>
      </c>
      <c r="I1243" s="307" t="str">
        <f>("1009280085")</f>
        <v>1009280085</v>
      </c>
    </row>
    <row r="1244" spans="1:9" ht="13.5">
      <c r="A1244" s="419" t="str">
        <f t="shared" si="19"/>
        <v>野津ＦＣ_11</v>
      </c>
      <c r="B1244" s="307" t="s">
        <v>3351</v>
      </c>
      <c r="C1244" s="307" t="str">
        <f>("11")</f>
        <v>11</v>
      </c>
      <c r="D1244" s="307" t="s">
        <v>884</v>
      </c>
      <c r="E1244" s="307" t="s">
        <v>3372</v>
      </c>
      <c r="F1244" s="307" t="s">
        <v>2254</v>
      </c>
      <c r="G1244" s="307">
        <v>4</v>
      </c>
      <c r="H1244" s="307" t="s">
        <v>858</v>
      </c>
      <c r="I1244" s="307" t="str">
        <f>("1206090031")</f>
        <v>1206090031</v>
      </c>
    </row>
    <row r="1245" spans="1:9" ht="13.5">
      <c r="A1245" s="419" t="str">
        <f t="shared" si="19"/>
        <v>野津ＦＣ_12</v>
      </c>
      <c r="B1245" s="307" t="s">
        <v>3351</v>
      </c>
      <c r="C1245" s="307" t="str">
        <f>("12")</f>
        <v>12</v>
      </c>
      <c r="D1245" s="307" t="s">
        <v>859</v>
      </c>
      <c r="E1245" s="307" t="s">
        <v>3373</v>
      </c>
      <c r="F1245" s="307" t="s">
        <v>3374</v>
      </c>
      <c r="G1245" s="307">
        <v>4</v>
      </c>
      <c r="H1245" s="307" t="s">
        <v>858</v>
      </c>
      <c r="I1245" s="307" t="str">
        <f>("1212300059")</f>
        <v>1212300059</v>
      </c>
    </row>
    <row r="1246" spans="1:9" ht="13.5">
      <c r="A1246" s="419" t="str">
        <f t="shared" si="19"/>
        <v>ヴェルスパ大分　Ｕ－１２_1</v>
      </c>
      <c r="B1246" s="307" t="s">
        <v>223</v>
      </c>
      <c r="C1246" s="307" t="str">
        <f>("1")</f>
        <v>1</v>
      </c>
      <c r="D1246" s="307" t="s">
        <v>855</v>
      </c>
      <c r="E1246" s="307" t="s">
        <v>3375</v>
      </c>
      <c r="F1246" s="307" t="s">
        <v>3376</v>
      </c>
      <c r="G1246" s="307">
        <v>6</v>
      </c>
      <c r="H1246" s="307" t="s">
        <v>858</v>
      </c>
      <c r="I1246" s="307" t="str">
        <f>("1005230115")</f>
        <v>1005230115</v>
      </c>
    </row>
    <row r="1247" spans="1:9" ht="13.5">
      <c r="A1247" s="419" t="str">
        <f t="shared" si="19"/>
        <v>ヴェルスパ大分　Ｕ－１２_2</v>
      </c>
      <c r="B1247" s="307" t="s">
        <v>223</v>
      </c>
      <c r="C1247" s="307" t="str">
        <f>("2")</f>
        <v>2</v>
      </c>
      <c r="D1247" s="307" t="s">
        <v>862</v>
      </c>
      <c r="E1247" s="307" t="s">
        <v>3377</v>
      </c>
      <c r="F1247" s="307" t="s">
        <v>3378</v>
      </c>
      <c r="G1247" s="307">
        <v>5</v>
      </c>
      <c r="H1247" s="307" t="s">
        <v>858</v>
      </c>
      <c r="I1247" s="307" t="str">
        <f>("1203130003")</f>
        <v>1203130003</v>
      </c>
    </row>
    <row r="1248" spans="1:9" ht="13.5">
      <c r="A1248" s="419" t="str">
        <f t="shared" si="19"/>
        <v>ヴェルスパ大分　Ｕ－１２_3</v>
      </c>
      <c r="B1248" s="307" t="s">
        <v>223</v>
      </c>
      <c r="C1248" s="307" t="str">
        <f>("3")</f>
        <v>3</v>
      </c>
      <c r="D1248" s="307" t="s">
        <v>859</v>
      </c>
      <c r="E1248" s="307" t="s">
        <v>3379</v>
      </c>
      <c r="F1248" s="307" t="s">
        <v>3380</v>
      </c>
      <c r="G1248" s="307">
        <v>6</v>
      </c>
      <c r="H1248" s="307" t="s">
        <v>858</v>
      </c>
      <c r="I1248" s="307" t="str">
        <f>("1011240174")</f>
        <v>1011240174</v>
      </c>
    </row>
    <row r="1249" spans="1:9" ht="13.5">
      <c r="A1249" s="419" t="str">
        <f t="shared" si="19"/>
        <v>ヴェルスパ大分　Ｕ－１２_4</v>
      </c>
      <c r="B1249" s="307" t="s">
        <v>223</v>
      </c>
      <c r="C1249" s="307" t="str">
        <f>("4")</f>
        <v>4</v>
      </c>
      <c r="D1249" s="307" t="s">
        <v>859</v>
      </c>
      <c r="E1249" s="307" t="s">
        <v>3381</v>
      </c>
      <c r="F1249" s="307" t="s">
        <v>3382</v>
      </c>
      <c r="G1249" s="307">
        <v>6</v>
      </c>
      <c r="H1249" s="307" t="s">
        <v>858</v>
      </c>
      <c r="I1249" s="307" t="str">
        <f>("1103170146")</f>
        <v>1103170146</v>
      </c>
    </row>
    <row r="1250" spans="1:9" ht="13.5">
      <c r="A1250" s="419" t="str">
        <f t="shared" si="19"/>
        <v>ヴェルスパ大分　Ｕ－１２_5</v>
      </c>
      <c r="B1250" s="307" t="s">
        <v>223</v>
      </c>
      <c r="C1250" s="307" t="str">
        <f>("5")</f>
        <v>5</v>
      </c>
      <c r="D1250" s="307" t="s">
        <v>859</v>
      </c>
      <c r="E1250" s="307" t="s">
        <v>3383</v>
      </c>
      <c r="F1250" s="307" t="s">
        <v>3384</v>
      </c>
      <c r="G1250" s="307">
        <v>6</v>
      </c>
      <c r="H1250" s="307" t="s">
        <v>858</v>
      </c>
      <c r="I1250" s="307" t="str">
        <f>("1006270146")</f>
        <v>1006270146</v>
      </c>
    </row>
    <row r="1251" spans="1:9" ht="13.5">
      <c r="A1251" s="419" t="str">
        <f t="shared" si="19"/>
        <v>ヴェルスパ大分　Ｕ－１２_6</v>
      </c>
      <c r="B1251" s="307" t="s">
        <v>223</v>
      </c>
      <c r="C1251" s="307" t="str">
        <f>("6")</f>
        <v>6</v>
      </c>
      <c r="D1251" s="307" t="s">
        <v>859</v>
      </c>
      <c r="E1251" s="307" t="s">
        <v>3385</v>
      </c>
      <c r="F1251" s="307" t="s">
        <v>3386</v>
      </c>
      <c r="G1251" s="307">
        <v>5</v>
      </c>
      <c r="H1251" s="307" t="s">
        <v>858</v>
      </c>
      <c r="I1251" s="307" t="str">
        <f>("1112210086")</f>
        <v>1112210086</v>
      </c>
    </row>
    <row r="1252" spans="1:9" ht="13.5">
      <c r="A1252" s="419" t="str">
        <f t="shared" si="19"/>
        <v>ヴェルスパ大分　Ｕ－１２_7</v>
      </c>
      <c r="B1252" s="307" t="s">
        <v>223</v>
      </c>
      <c r="C1252" s="307" t="str">
        <f>("7")</f>
        <v>7</v>
      </c>
      <c r="D1252" s="307" t="s">
        <v>862</v>
      </c>
      <c r="E1252" s="307" t="s">
        <v>3387</v>
      </c>
      <c r="F1252" s="307" t="s">
        <v>3388</v>
      </c>
      <c r="G1252" s="307">
        <v>6</v>
      </c>
      <c r="H1252" s="307" t="s">
        <v>858</v>
      </c>
      <c r="I1252" s="307" t="str">
        <f>("1011270022")</f>
        <v>1011270022</v>
      </c>
    </row>
    <row r="1253" spans="1:9" ht="13.5">
      <c r="A1253" s="419" t="str">
        <f t="shared" si="19"/>
        <v>ヴェルスパ大分　Ｕ－１２_8</v>
      </c>
      <c r="B1253" s="307" t="s">
        <v>223</v>
      </c>
      <c r="C1253" s="307" t="str">
        <f>("8")</f>
        <v>8</v>
      </c>
      <c r="D1253" s="307" t="s">
        <v>884</v>
      </c>
      <c r="E1253" s="307" t="s">
        <v>3389</v>
      </c>
      <c r="F1253" s="307" t="s">
        <v>3390</v>
      </c>
      <c r="G1253" s="307">
        <v>6</v>
      </c>
      <c r="H1253" s="307" t="s">
        <v>858</v>
      </c>
      <c r="I1253" s="307" t="str">
        <f>("1010190176")</f>
        <v>1010190176</v>
      </c>
    </row>
    <row r="1254" spans="1:9" ht="13.5">
      <c r="A1254" s="419" t="str">
        <f t="shared" si="19"/>
        <v>ヴェルスパ大分　Ｕ－１２_9</v>
      </c>
      <c r="B1254" s="307" t="s">
        <v>223</v>
      </c>
      <c r="C1254" s="307" t="str">
        <f>("9")</f>
        <v>9</v>
      </c>
      <c r="D1254" s="307" t="s">
        <v>862</v>
      </c>
      <c r="E1254" s="307" t="s">
        <v>3391</v>
      </c>
      <c r="F1254" s="307" t="s">
        <v>3392</v>
      </c>
      <c r="G1254" s="307">
        <v>6</v>
      </c>
      <c r="H1254" s="307" t="s">
        <v>858</v>
      </c>
      <c r="I1254" s="307" t="str">
        <f>("1010230019")</f>
        <v>1010230019</v>
      </c>
    </row>
    <row r="1255" spans="1:10" ht="13.5">
      <c r="A1255" s="419" t="str">
        <f t="shared" si="19"/>
        <v>ヴェルスパ大分　Ｕ－１２_10</v>
      </c>
      <c r="B1255" s="307" t="s">
        <v>223</v>
      </c>
      <c r="C1255" s="307" t="str">
        <f>("10")</f>
        <v>10</v>
      </c>
      <c r="D1255" s="307" t="s">
        <v>884</v>
      </c>
      <c r="E1255" s="307" t="s">
        <v>3393</v>
      </c>
      <c r="F1255" s="307" t="s">
        <v>3394</v>
      </c>
      <c r="G1255" s="307">
        <v>6</v>
      </c>
      <c r="H1255" s="307" t="s">
        <v>858</v>
      </c>
      <c r="I1255" s="307" t="str">
        <f>("1012120127")</f>
        <v>1012120127</v>
      </c>
      <c r="J1255" s="307" t="s">
        <v>15</v>
      </c>
    </row>
    <row r="1256" spans="1:9" ht="13.5">
      <c r="A1256" s="419" t="str">
        <f t="shared" si="19"/>
        <v>ヴェルスパ大分　Ｕ－１２_11</v>
      </c>
      <c r="B1256" s="307" t="s">
        <v>223</v>
      </c>
      <c r="C1256" s="307" t="str">
        <f>("11")</f>
        <v>11</v>
      </c>
      <c r="D1256" s="307" t="s">
        <v>884</v>
      </c>
      <c r="E1256" s="307" t="s">
        <v>3395</v>
      </c>
      <c r="F1256" s="307" t="s">
        <v>3396</v>
      </c>
      <c r="G1256" s="307">
        <v>6</v>
      </c>
      <c r="H1256" s="307" t="s">
        <v>858</v>
      </c>
      <c r="I1256" s="307" t="str">
        <f>("1009150158")</f>
        <v>1009150158</v>
      </c>
    </row>
    <row r="1257" spans="1:9" ht="13.5">
      <c r="A1257" s="419" t="str">
        <f t="shared" si="19"/>
        <v>ヴェルスパ大分　Ｕ－１２_12</v>
      </c>
      <c r="B1257" s="307" t="s">
        <v>223</v>
      </c>
      <c r="C1257" s="307" t="str">
        <f>("12")</f>
        <v>12</v>
      </c>
      <c r="D1257" s="307" t="s">
        <v>862</v>
      </c>
      <c r="E1257" s="307" t="s">
        <v>3397</v>
      </c>
      <c r="F1257" s="307" t="s">
        <v>3398</v>
      </c>
      <c r="G1257" s="307">
        <v>6</v>
      </c>
      <c r="H1257" s="307" t="s">
        <v>858</v>
      </c>
      <c r="I1257" s="307" t="str">
        <f>("1008150138")</f>
        <v>1008150138</v>
      </c>
    </row>
    <row r="1258" spans="1:9" ht="13.5">
      <c r="A1258" s="419" t="str">
        <f t="shared" si="19"/>
        <v>ヴェルスパ大分　Ｕ－１２_13</v>
      </c>
      <c r="B1258" s="307" t="s">
        <v>223</v>
      </c>
      <c r="C1258" s="307" t="str">
        <f>("13")</f>
        <v>13</v>
      </c>
      <c r="D1258" s="307" t="s">
        <v>859</v>
      </c>
      <c r="E1258" s="307" t="s">
        <v>3399</v>
      </c>
      <c r="F1258" s="307" t="s">
        <v>3400</v>
      </c>
      <c r="G1258" s="307">
        <v>5</v>
      </c>
      <c r="H1258" s="307" t="s">
        <v>858</v>
      </c>
      <c r="I1258" s="307" t="str">
        <f>("1203140073")</f>
        <v>1203140073</v>
      </c>
    </row>
    <row r="1259" spans="1:9" ht="13.5">
      <c r="A1259" s="419" t="str">
        <f t="shared" si="19"/>
        <v>ヴェルスパ大分　Ｕ－１２_14</v>
      </c>
      <c r="B1259" s="307" t="s">
        <v>223</v>
      </c>
      <c r="C1259" s="307" t="str">
        <f>("14")</f>
        <v>14</v>
      </c>
      <c r="D1259" s="307" t="s">
        <v>884</v>
      </c>
      <c r="E1259" s="307" t="s">
        <v>3401</v>
      </c>
      <c r="F1259" s="307" t="s">
        <v>3402</v>
      </c>
      <c r="G1259" s="307">
        <v>4</v>
      </c>
      <c r="H1259" s="307" t="s">
        <v>858</v>
      </c>
      <c r="I1259" s="307" t="str">
        <f>("1105090124")</f>
        <v>1105090124</v>
      </c>
    </row>
    <row r="1260" spans="1:9" ht="13.5">
      <c r="A1260" s="419" t="str">
        <f t="shared" si="19"/>
        <v>ヴェルスパ大分　Ｕ－１２_15</v>
      </c>
      <c r="B1260" s="307" t="s">
        <v>223</v>
      </c>
      <c r="C1260" s="307" t="str">
        <f>("15")</f>
        <v>15</v>
      </c>
      <c r="D1260" s="307" t="s">
        <v>862</v>
      </c>
      <c r="E1260" s="307" t="s">
        <v>3403</v>
      </c>
      <c r="F1260" s="307" t="s">
        <v>3404</v>
      </c>
      <c r="G1260" s="307">
        <v>6</v>
      </c>
      <c r="H1260" s="307" t="s">
        <v>858</v>
      </c>
      <c r="I1260" s="307" t="str">
        <f>("1006040029")</f>
        <v>1006040029</v>
      </c>
    </row>
    <row r="1261" spans="1:10" ht="13.5">
      <c r="A1261" s="419" t="str">
        <f t="shared" si="19"/>
        <v>ＦＣ　ＲＥＧＡＴＥ_1</v>
      </c>
      <c r="B1261" s="307" t="s">
        <v>233</v>
      </c>
      <c r="C1261" s="307" t="str">
        <f>("1")</f>
        <v>1</v>
      </c>
      <c r="D1261" s="307" t="s">
        <v>884</v>
      </c>
      <c r="E1261" s="307" t="s">
        <v>3405</v>
      </c>
      <c r="F1261" s="307" t="s">
        <v>3406</v>
      </c>
      <c r="G1261" s="307">
        <v>6</v>
      </c>
      <c r="H1261" s="307" t="s">
        <v>858</v>
      </c>
      <c r="I1261" s="307" t="str">
        <f>("1009200170")</f>
        <v>1009200170</v>
      </c>
      <c r="J1261" s="307" t="s">
        <v>15</v>
      </c>
    </row>
    <row r="1262" spans="1:9" ht="13.5">
      <c r="A1262" s="419" t="str">
        <f t="shared" si="19"/>
        <v>ＦＣ　ＲＥＧＡＴＥ_2</v>
      </c>
      <c r="B1262" s="307" t="s">
        <v>233</v>
      </c>
      <c r="C1262" s="307" t="str">
        <f>("2")</f>
        <v>2</v>
      </c>
      <c r="D1262" s="307" t="s">
        <v>859</v>
      </c>
      <c r="E1262" s="307" t="s">
        <v>3407</v>
      </c>
      <c r="F1262" s="307" t="s">
        <v>3408</v>
      </c>
      <c r="G1262" s="307">
        <v>5</v>
      </c>
      <c r="H1262" s="307" t="s">
        <v>858</v>
      </c>
      <c r="I1262" s="307" t="str">
        <f>("1108130193")</f>
        <v>1108130193</v>
      </c>
    </row>
    <row r="1263" spans="1:9" ht="13.5">
      <c r="A1263" s="419" t="str">
        <f t="shared" si="19"/>
        <v>ＦＣ　ＲＥＧＡＴＥ_3</v>
      </c>
      <c r="B1263" s="307" t="s">
        <v>233</v>
      </c>
      <c r="C1263" s="307" t="str">
        <f>("3")</f>
        <v>3</v>
      </c>
      <c r="D1263" s="307" t="s">
        <v>859</v>
      </c>
      <c r="E1263" s="307" t="s">
        <v>3409</v>
      </c>
      <c r="F1263" s="307" t="s">
        <v>3410</v>
      </c>
      <c r="G1263" s="307">
        <v>6</v>
      </c>
      <c r="H1263" s="307" t="s">
        <v>858</v>
      </c>
      <c r="I1263" s="307" t="str">
        <f>("1103250049")</f>
        <v>1103250049</v>
      </c>
    </row>
    <row r="1264" spans="1:9" ht="13.5">
      <c r="A1264" s="419" t="str">
        <f t="shared" si="19"/>
        <v>ＦＣ　ＲＥＧＡＴＥ_4</v>
      </c>
      <c r="B1264" s="307" t="s">
        <v>233</v>
      </c>
      <c r="C1264" s="307" t="str">
        <f>("4")</f>
        <v>4</v>
      </c>
      <c r="D1264" s="307" t="s">
        <v>859</v>
      </c>
      <c r="E1264" s="307" t="s">
        <v>3411</v>
      </c>
      <c r="F1264" s="307" t="s">
        <v>3412</v>
      </c>
      <c r="G1264" s="307">
        <v>5</v>
      </c>
      <c r="H1264" s="307" t="s">
        <v>858</v>
      </c>
      <c r="I1264" s="307" t="str">
        <f>("1109220198")</f>
        <v>1109220198</v>
      </c>
    </row>
    <row r="1265" spans="1:9" ht="13.5">
      <c r="A1265" s="419" t="str">
        <f t="shared" si="19"/>
        <v>ＦＣ　ＲＥＧＡＴＥ_5</v>
      </c>
      <c r="B1265" s="307" t="s">
        <v>233</v>
      </c>
      <c r="C1265" s="307" t="str">
        <f>("5")</f>
        <v>5</v>
      </c>
      <c r="D1265" s="307" t="s">
        <v>862</v>
      </c>
      <c r="E1265" s="307" t="s">
        <v>3413</v>
      </c>
      <c r="F1265" s="307" t="s">
        <v>3414</v>
      </c>
      <c r="G1265" s="307">
        <v>5</v>
      </c>
      <c r="H1265" s="307" t="s">
        <v>858</v>
      </c>
      <c r="I1265" s="307" t="str">
        <f>("1201130066")</f>
        <v>1201130066</v>
      </c>
    </row>
    <row r="1266" spans="1:9" ht="13.5">
      <c r="A1266" s="419" t="str">
        <f t="shared" si="19"/>
        <v>ＦＣ　ＲＥＧＡＴＥ_6</v>
      </c>
      <c r="B1266" s="307" t="s">
        <v>233</v>
      </c>
      <c r="C1266" s="307" t="str">
        <f>("6")</f>
        <v>6</v>
      </c>
      <c r="D1266" s="307" t="s">
        <v>859</v>
      </c>
      <c r="E1266" s="307" t="s">
        <v>3415</v>
      </c>
      <c r="F1266" s="307" t="s">
        <v>3416</v>
      </c>
      <c r="G1266" s="307">
        <v>5</v>
      </c>
      <c r="H1266" s="307" t="s">
        <v>858</v>
      </c>
      <c r="I1266" s="307" t="str">
        <f>("1104250188")</f>
        <v>1104250188</v>
      </c>
    </row>
    <row r="1267" spans="1:9" ht="13.5">
      <c r="A1267" s="419" t="str">
        <f t="shared" si="19"/>
        <v>ＦＣ　ＲＥＧＡＴＥ_7</v>
      </c>
      <c r="B1267" s="307" t="s">
        <v>233</v>
      </c>
      <c r="C1267" s="307" t="str">
        <f>("7")</f>
        <v>7</v>
      </c>
      <c r="D1267" s="307" t="s">
        <v>884</v>
      </c>
      <c r="E1267" s="307" t="s">
        <v>3417</v>
      </c>
      <c r="F1267" s="307" t="s">
        <v>3418</v>
      </c>
      <c r="G1267" s="307">
        <v>6</v>
      </c>
      <c r="H1267" s="307" t="s">
        <v>858</v>
      </c>
      <c r="I1267" s="307" t="str">
        <f>("1101270231")</f>
        <v>1101270231</v>
      </c>
    </row>
    <row r="1268" spans="1:9" ht="13.5">
      <c r="A1268" s="419" t="str">
        <f t="shared" si="19"/>
        <v>ＦＣ　ＲＥＧＡＴＥ_8</v>
      </c>
      <c r="B1268" s="307" t="s">
        <v>233</v>
      </c>
      <c r="C1268" s="307" t="str">
        <f>("8")</f>
        <v>8</v>
      </c>
      <c r="D1268" s="307" t="s">
        <v>884</v>
      </c>
      <c r="E1268" s="307" t="s">
        <v>3419</v>
      </c>
      <c r="F1268" s="307" t="s">
        <v>3420</v>
      </c>
      <c r="G1268" s="307">
        <v>4</v>
      </c>
      <c r="H1268" s="307" t="s">
        <v>858</v>
      </c>
      <c r="I1268" s="307" t="str">
        <f>("1301010014")</f>
        <v>1301010014</v>
      </c>
    </row>
    <row r="1269" spans="1:9" ht="13.5">
      <c r="A1269" s="419" t="str">
        <f t="shared" si="19"/>
        <v>ＦＣ　ＲＥＧＡＴＥ_9</v>
      </c>
      <c r="B1269" s="307" t="s">
        <v>233</v>
      </c>
      <c r="C1269" s="307" t="str">
        <f>("9")</f>
        <v>9</v>
      </c>
      <c r="D1269" s="307" t="s">
        <v>862</v>
      </c>
      <c r="E1269" s="307" t="s">
        <v>3421</v>
      </c>
      <c r="F1269" s="307" t="s">
        <v>3422</v>
      </c>
      <c r="G1269" s="307">
        <v>6</v>
      </c>
      <c r="H1269" s="307" t="s">
        <v>858</v>
      </c>
      <c r="I1269" s="307" t="str">
        <f>("1010240021")</f>
        <v>1010240021</v>
      </c>
    </row>
    <row r="1270" spans="1:9" ht="13.5">
      <c r="A1270" s="419" t="str">
        <f t="shared" si="19"/>
        <v>ＦＣ　ＲＥＧＡＴＥ_10</v>
      </c>
      <c r="B1270" s="307" t="s">
        <v>233</v>
      </c>
      <c r="C1270" s="307" t="str">
        <f>("10")</f>
        <v>10</v>
      </c>
      <c r="D1270" s="307" t="s">
        <v>862</v>
      </c>
      <c r="E1270" s="307" t="s">
        <v>3423</v>
      </c>
      <c r="F1270" s="307" t="s">
        <v>3424</v>
      </c>
      <c r="G1270" s="307">
        <v>5</v>
      </c>
      <c r="H1270" s="307" t="s">
        <v>858</v>
      </c>
      <c r="I1270" s="307" t="str">
        <f>("1110120030")</f>
        <v>1110120030</v>
      </c>
    </row>
    <row r="1271" spans="1:9" ht="13.5">
      <c r="A1271" s="419" t="str">
        <f t="shared" si="19"/>
        <v>ＦＣ　ＲＥＧＡＴＥ_12</v>
      </c>
      <c r="B1271" s="307" t="s">
        <v>233</v>
      </c>
      <c r="C1271" s="307" t="str">
        <f>("12")</f>
        <v>12</v>
      </c>
      <c r="D1271" s="307" t="s">
        <v>859</v>
      </c>
      <c r="E1271" s="307" t="s">
        <v>3425</v>
      </c>
      <c r="F1271" s="307" t="s">
        <v>3426</v>
      </c>
      <c r="G1271" s="307">
        <v>5</v>
      </c>
      <c r="H1271" s="307" t="s">
        <v>869</v>
      </c>
      <c r="I1271" s="307" t="str">
        <f>("1111140169")</f>
        <v>1111140169</v>
      </c>
    </row>
    <row r="1272" spans="1:9" ht="13.5">
      <c r="A1272" s="419" t="str">
        <f t="shared" si="19"/>
        <v>ＦＣ　ＲＥＧＡＴＥ_13</v>
      </c>
      <c r="B1272" s="307" t="s">
        <v>233</v>
      </c>
      <c r="C1272" s="307" t="str">
        <f>("13")</f>
        <v>13</v>
      </c>
      <c r="D1272" s="307" t="s">
        <v>884</v>
      </c>
      <c r="E1272" s="307" t="s">
        <v>3427</v>
      </c>
      <c r="F1272" s="307" t="s">
        <v>3428</v>
      </c>
      <c r="G1272" s="307">
        <v>2</v>
      </c>
      <c r="H1272" s="307" t="s">
        <v>858</v>
      </c>
      <c r="I1272" s="307" t="str">
        <f>("1309170091")</f>
        <v>1309170091</v>
      </c>
    </row>
    <row r="1273" spans="1:9" ht="13.5">
      <c r="A1273" s="419" t="str">
        <f t="shared" si="19"/>
        <v>ＦＣ　ＲＥＧＡＴＥ_14</v>
      </c>
      <c r="B1273" s="307" t="s">
        <v>233</v>
      </c>
      <c r="C1273" s="307" t="str">
        <f>("14")</f>
        <v>14</v>
      </c>
      <c r="D1273" s="307" t="s">
        <v>862</v>
      </c>
      <c r="E1273" s="307" t="s">
        <v>3429</v>
      </c>
      <c r="F1273" s="307" t="s">
        <v>3430</v>
      </c>
      <c r="G1273" s="307">
        <v>5</v>
      </c>
      <c r="H1273" s="307" t="s">
        <v>858</v>
      </c>
      <c r="I1273" s="307" t="str">
        <f>("1104070184")</f>
        <v>1104070184</v>
      </c>
    </row>
    <row r="1274" spans="1:9" ht="13.5">
      <c r="A1274" s="419" t="str">
        <f t="shared" si="19"/>
        <v>ＦＣ　ＲＥＧＡＴＥ_20</v>
      </c>
      <c r="B1274" s="307" t="s">
        <v>233</v>
      </c>
      <c r="C1274" s="307" t="str">
        <f>("20")</f>
        <v>20</v>
      </c>
      <c r="D1274" s="307" t="s">
        <v>855</v>
      </c>
      <c r="E1274" s="307" t="s">
        <v>3431</v>
      </c>
      <c r="F1274" s="307" t="s">
        <v>3432</v>
      </c>
      <c r="G1274" s="307">
        <v>5</v>
      </c>
      <c r="H1274" s="307" t="s">
        <v>858</v>
      </c>
      <c r="I1274" s="307" t="str">
        <f>("1105260183")</f>
        <v>1105260183</v>
      </c>
    </row>
    <row r="1275" spans="1:9" ht="13.5">
      <c r="A1275" s="419" t="str">
        <f t="shared" si="19"/>
        <v>大分トリニータタートルズ　キング_1</v>
      </c>
      <c r="B1275" s="307" t="s">
        <v>3433</v>
      </c>
      <c r="C1275" s="307" t="str">
        <f>("1")</f>
        <v>1</v>
      </c>
      <c r="D1275" s="307" t="s">
        <v>855</v>
      </c>
      <c r="E1275" s="307" t="s">
        <v>3434</v>
      </c>
      <c r="F1275" s="307" t="s">
        <v>3435</v>
      </c>
      <c r="G1275" s="307">
        <v>6</v>
      </c>
      <c r="H1275" s="307" t="s">
        <v>858</v>
      </c>
      <c r="I1275" s="307" t="str">
        <f>("1004180073")</f>
        <v>1004180073</v>
      </c>
    </row>
    <row r="1276" spans="1:9" ht="13.5">
      <c r="A1276" s="419" t="str">
        <f t="shared" si="19"/>
        <v>大分トリニータタートルズ　キング_2</v>
      </c>
      <c r="B1276" s="307" t="s">
        <v>3433</v>
      </c>
      <c r="C1276" s="307" t="str">
        <f>("2")</f>
        <v>2</v>
      </c>
      <c r="D1276" s="307" t="s">
        <v>862</v>
      </c>
      <c r="E1276" s="307" t="s">
        <v>3436</v>
      </c>
      <c r="F1276" s="307" t="s">
        <v>3437</v>
      </c>
      <c r="G1276" s="307">
        <v>6</v>
      </c>
      <c r="H1276" s="307" t="s">
        <v>869</v>
      </c>
      <c r="I1276" s="307" t="str">
        <f>("1009240073")</f>
        <v>1009240073</v>
      </c>
    </row>
    <row r="1277" spans="1:9" ht="13.5">
      <c r="A1277" s="419" t="str">
        <f t="shared" si="19"/>
        <v>大分トリニータタートルズ　キング_3</v>
      </c>
      <c r="B1277" s="307" t="s">
        <v>3433</v>
      </c>
      <c r="C1277" s="307" t="str">
        <f>("3")</f>
        <v>3</v>
      </c>
      <c r="D1277" s="307" t="s">
        <v>859</v>
      </c>
      <c r="E1277" s="307" t="s">
        <v>3438</v>
      </c>
      <c r="F1277" s="307" t="s">
        <v>3439</v>
      </c>
      <c r="G1277" s="307">
        <v>6</v>
      </c>
      <c r="H1277" s="307" t="s">
        <v>858</v>
      </c>
      <c r="I1277" s="307" t="str">
        <f>("1008200091")</f>
        <v>1008200091</v>
      </c>
    </row>
    <row r="1278" spans="1:9" ht="13.5">
      <c r="A1278" s="419" t="str">
        <f t="shared" si="19"/>
        <v>大分トリニータタートルズ　キング_4</v>
      </c>
      <c r="B1278" s="307" t="s">
        <v>3433</v>
      </c>
      <c r="C1278" s="307" t="str">
        <f>("4")</f>
        <v>4</v>
      </c>
      <c r="D1278" s="307" t="s">
        <v>862</v>
      </c>
      <c r="E1278" s="307" t="s">
        <v>3440</v>
      </c>
      <c r="F1278" s="307" t="s">
        <v>3441</v>
      </c>
      <c r="G1278" s="307">
        <v>6</v>
      </c>
      <c r="H1278" s="307" t="s">
        <v>858</v>
      </c>
      <c r="I1278" s="307" t="str">
        <f>("1004070154")</f>
        <v>1004070154</v>
      </c>
    </row>
    <row r="1279" spans="1:9" ht="13.5">
      <c r="A1279" s="419" t="str">
        <f t="shared" si="19"/>
        <v>大分トリニータタートルズ　キング_5</v>
      </c>
      <c r="B1279" s="307" t="s">
        <v>3433</v>
      </c>
      <c r="C1279" s="307" t="str">
        <f>("5")</f>
        <v>5</v>
      </c>
      <c r="D1279" s="307" t="s">
        <v>859</v>
      </c>
      <c r="E1279" s="307" t="s">
        <v>3442</v>
      </c>
      <c r="F1279" s="307" t="s">
        <v>3443</v>
      </c>
      <c r="G1279" s="307">
        <v>6</v>
      </c>
      <c r="H1279" s="307" t="s">
        <v>858</v>
      </c>
      <c r="I1279" s="307" t="str">
        <f>("1012100091")</f>
        <v>1012100091</v>
      </c>
    </row>
    <row r="1280" spans="1:9" ht="13.5">
      <c r="A1280" s="419" t="str">
        <f t="shared" si="19"/>
        <v>大分トリニータタートルズ　キング_6</v>
      </c>
      <c r="B1280" s="307" t="s">
        <v>3433</v>
      </c>
      <c r="C1280" s="307" t="str">
        <f>("6")</f>
        <v>6</v>
      </c>
      <c r="D1280" s="307" t="s">
        <v>884</v>
      </c>
      <c r="E1280" s="307" t="s">
        <v>3444</v>
      </c>
      <c r="F1280" s="307" t="s">
        <v>3445</v>
      </c>
      <c r="G1280" s="307">
        <v>6</v>
      </c>
      <c r="H1280" s="307" t="s">
        <v>858</v>
      </c>
      <c r="I1280" s="307" t="str">
        <f>("1012270195")</f>
        <v>1012270195</v>
      </c>
    </row>
    <row r="1281" spans="1:9" ht="13.5">
      <c r="A1281" s="419" t="str">
        <f aca="true" t="shared" si="20" ref="A1281:A1344">CONCATENATE(B1281,"_",C1281)</f>
        <v>大分トリニータタートルズ　キング_7</v>
      </c>
      <c r="B1281" s="307" t="s">
        <v>3433</v>
      </c>
      <c r="C1281" s="307" t="str">
        <f>("7")</f>
        <v>7</v>
      </c>
      <c r="D1281" s="307" t="s">
        <v>862</v>
      </c>
      <c r="E1281" s="307" t="s">
        <v>3446</v>
      </c>
      <c r="F1281" s="307" t="s">
        <v>3447</v>
      </c>
      <c r="G1281" s="307">
        <v>6</v>
      </c>
      <c r="H1281" s="307" t="s">
        <v>858</v>
      </c>
      <c r="I1281" s="307" t="str">
        <f>("1103110069")</f>
        <v>1103110069</v>
      </c>
    </row>
    <row r="1282" spans="1:9" ht="13.5">
      <c r="A1282" s="419" t="str">
        <f t="shared" si="20"/>
        <v>大分トリニータタートルズ　キング_8</v>
      </c>
      <c r="B1282" s="307" t="s">
        <v>3433</v>
      </c>
      <c r="C1282" s="307" t="str">
        <f>("8")</f>
        <v>8</v>
      </c>
      <c r="D1282" s="307" t="s">
        <v>859</v>
      </c>
      <c r="E1282" s="307" t="s">
        <v>3448</v>
      </c>
      <c r="F1282" s="307" t="s">
        <v>3449</v>
      </c>
      <c r="G1282" s="307">
        <v>6</v>
      </c>
      <c r="H1282" s="307" t="s">
        <v>858</v>
      </c>
      <c r="I1282" s="307" t="str">
        <f>("1006160251")</f>
        <v>1006160251</v>
      </c>
    </row>
    <row r="1283" spans="1:9" ht="13.5">
      <c r="A1283" s="419" t="str">
        <f t="shared" si="20"/>
        <v>大分トリニータタートルズ　キング_9</v>
      </c>
      <c r="B1283" s="307" t="s">
        <v>3433</v>
      </c>
      <c r="C1283" s="307" t="str">
        <f>("9")</f>
        <v>9</v>
      </c>
      <c r="D1283" s="307" t="s">
        <v>884</v>
      </c>
      <c r="E1283" s="307" t="s">
        <v>1635</v>
      </c>
      <c r="F1283" s="307" t="s">
        <v>1636</v>
      </c>
      <c r="G1283" s="307">
        <v>6</v>
      </c>
      <c r="H1283" s="307" t="s">
        <v>858</v>
      </c>
      <c r="I1283" s="307" t="str">
        <f>("1102210071")</f>
        <v>1102210071</v>
      </c>
    </row>
    <row r="1284" spans="1:10" ht="13.5">
      <c r="A1284" s="419" t="str">
        <f t="shared" si="20"/>
        <v>大分トリニータタートルズ　キング_10</v>
      </c>
      <c r="B1284" s="307" t="s">
        <v>3433</v>
      </c>
      <c r="C1284" s="307" t="str">
        <f>("10")</f>
        <v>10</v>
      </c>
      <c r="D1284" s="307" t="s">
        <v>862</v>
      </c>
      <c r="E1284" s="307" t="s">
        <v>3450</v>
      </c>
      <c r="F1284" s="307" t="s">
        <v>3451</v>
      </c>
      <c r="G1284" s="307">
        <v>6</v>
      </c>
      <c r="H1284" s="307" t="s">
        <v>858</v>
      </c>
      <c r="I1284" s="307" t="str">
        <f>("1010200095")</f>
        <v>1010200095</v>
      </c>
      <c r="J1284" s="307" t="s">
        <v>15</v>
      </c>
    </row>
    <row r="1285" spans="1:9" ht="13.5">
      <c r="A1285" s="419" t="str">
        <f t="shared" si="20"/>
        <v>大分トリニータタートルズ　キング_11</v>
      </c>
      <c r="B1285" s="307" t="s">
        <v>3433</v>
      </c>
      <c r="C1285" s="307" t="str">
        <f>("11")</f>
        <v>11</v>
      </c>
      <c r="D1285" s="307" t="s">
        <v>884</v>
      </c>
      <c r="E1285" s="307" t="s">
        <v>3452</v>
      </c>
      <c r="F1285" s="307" t="s">
        <v>3453</v>
      </c>
      <c r="G1285" s="307">
        <v>6</v>
      </c>
      <c r="H1285" s="307" t="s">
        <v>858</v>
      </c>
      <c r="I1285" s="307" t="str">
        <f>("1012160080")</f>
        <v>1012160080</v>
      </c>
    </row>
    <row r="1286" spans="1:9" ht="13.5">
      <c r="A1286" s="419" t="str">
        <f t="shared" si="20"/>
        <v>大分トリニータタートルズ　キング_12</v>
      </c>
      <c r="B1286" s="307" t="s">
        <v>3433</v>
      </c>
      <c r="C1286" s="307" t="str">
        <f>("12")</f>
        <v>12</v>
      </c>
      <c r="D1286" s="307" t="s">
        <v>855</v>
      </c>
      <c r="E1286" s="307" t="s">
        <v>3454</v>
      </c>
      <c r="F1286" s="307" t="s">
        <v>3455</v>
      </c>
      <c r="G1286" s="307">
        <v>6</v>
      </c>
      <c r="H1286" s="307" t="s">
        <v>858</v>
      </c>
      <c r="I1286" s="307" t="str">
        <f>("1012050125")</f>
        <v>1012050125</v>
      </c>
    </row>
    <row r="1287" spans="1:9" ht="13.5">
      <c r="A1287" s="419" t="str">
        <f t="shared" si="20"/>
        <v>大分トリニータタートルズ　キング_13</v>
      </c>
      <c r="B1287" s="307" t="s">
        <v>3433</v>
      </c>
      <c r="C1287" s="307" t="str">
        <f>("13")</f>
        <v>13</v>
      </c>
      <c r="D1287" s="307" t="s">
        <v>884</v>
      </c>
      <c r="E1287" s="307" t="s">
        <v>3456</v>
      </c>
      <c r="F1287" s="307" t="s">
        <v>3457</v>
      </c>
      <c r="G1287" s="307">
        <v>6</v>
      </c>
      <c r="H1287" s="307" t="s">
        <v>858</v>
      </c>
      <c r="I1287" s="307" t="str">
        <f>("1012270270")</f>
        <v>1012270270</v>
      </c>
    </row>
    <row r="1288" spans="1:9" ht="13.5">
      <c r="A1288" s="419" t="str">
        <f t="shared" si="20"/>
        <v>大分トリニータタートルズ　キング_15</v>
      </c>
      <c r="B1288" s="307" t="s">
        <v>3433</v>
      </c>
      <c r="C1288" s="307" t="str">
        <f>("15")</f>
        <v>15</v>
      </c>
      <c r="D1288" s="307" t="s">
        <v>859</v>
      </c>
      <c r="E1288" s="307" t="s">
        <v>3458</v>
      </c>
      <c r="F1288" s="307" t="s">
        <v>3459</v>
      </c>
      <c r="G1288" s="307">
        <v>6</v>
      </c>
      <c r="H1288" s="307" t="s">
        <v>858</v>
      </c>
      <c r="I1288" s="307" t="str">
        <f>("1005010090")</f>
        <v>1005010090</v>
      </c>
    </row>
    <row r="1289" spans="1:9" ht="13.5">
      <c r="A1289" s="419" t="str">
        <f t="shared" si="20"/>
        <v>大分トリニータタートルズ　ウルトラ_1</v>
      </c>
      <c r="B1289" s="307" t="s">
        <v>3460</v>
      </c>
      <c r="C1289" s="307" t="str">
        <f>("1")</f>
        <v>1</v>
      </c>
      <c r="D1289" s="307" t="s">
        <v>855</v>
      </c>
      <c r="E1289" s="307" t="s">
        <v>3461</v>
      </c>
      <c r="F1289" s="307" t="s">
        <v>3462</v>
      </c>
      <c r="G1289" s="307">
        <v>5</v>
      </c>
      <c r="H1289" s="307" t="s">
        <v>858</v>
      </c>
      <c r="I1289" s="307" t="str">
        <f>("1110060102")</f>
        <v>1110060102</v>
      </c>
    </row>
    <row r="1290" spans="1:9" ht="13.5">
      <c r="A1290" s="419" t="str">
        <f t="shared" si="20"/>
        <v>大分トリニータタートルズ　ウルトラ_2</v>
      </c>
      <c r="B1290" s="307" t="s">
        <v>3460</v>
      </c>
      <c r="C1290" s="307" t="str">
        <f>("2")</f>
        <v>2</v>
      </c>
      <c r="D1290" s="307" t="s">
        <v>859</v>
      </c>
      <c r="E1290" s="307" t="s">
        <v>3463</v>
      </c>
      <c r="F1290" s="307" t="s">
        <v>3464</v>
      </c>
      <c r="G1290" s="307">
        <v>5</v>
      </c>
      <c r="H1290" s="307" t="s">
        <v>858</v>
      </c>
      <c r="I1290" s="307" t="str">
        <f>("1109160097")</f>
        <v>1109160097</v>
      </c>
    </row>
    <row r="1291" spans="1:9" ht="13.5">
      <c r="A1291" s="419" t="str">
        <f t="shared" si="20"/>
        <v>大分トリニータタートルズ　ウルトラ_3</v>
      </c>
      <c r="B1291" s="307" t="s">
        <v>3460</v>
      </c>
      <c r="C1291" s="307" t="str">
        <f>("3")</f>
        <v>3</v>
      </c>
      <c r="D1291" s="307" t="s">
        <v>859</v>
      </c>
      <c r="E1291" s="307" t="s">
        <v>3465</v>
      </c>
      <c r="F1291" s="307" t="s">
        <v>3466</v>
      </c>
      <c r="G1291" s="307">
        <v>5</v>
      </c>
      <c r="H1291" s="307" t="s">
        <v>858</v>
      </c>
      <c r="I1291" s="307" t="str">
        <f>("1203020138")</f>
        <v>1203020138</v>
      </c>
    </row>
    <row r="1292" spans="1:9" ht="13.5">
      <c r="A1292" s="419" t="str">
        <f t="shared" si="20"/>
        <v>大分トリニータタートルズ　ウルトラ_4</v>
      </c>
      <c r="B1292" s="307" t="s">
        <v>3460</v>
      </c>
      <c r="C1292" s="307" t="str">
        <f>("4")</f>
        <v>4</v>
      </c>
      <c r="D1292" s="307" t="s">
        <v>862</v>
      </c>
      <c r="E1292" s="307" t="s">
        <v>3467</v>
      </c>
      <c r="F1292" s="307" t="s">
        <v>3468</v>
      </c>
      <c r="G1292" s="307">
        <v>5</v>
      </c>
      <c r="H1292" s="307" t="s">
        <v>858</v>
      </c>
      <c r="I1292" s="307" t="str">
        <f>("1107130199")</f>
        <v>1107130199</v>
      </c>
    </row>
    <row r="1293" spans="1:9" ht="13.5">
      <c r="A1293" s="419" t="str">
        <f t="shared" si="20"/>
        <v>大分トリニータタートルズ　ウルトラ_5</v>
      </c>
      <c r="B1293" s="307" t="s">
        <v>3460</v>
      </c>
      <c r="C1293" s="307" t="str">
        <f>("5")</f>
        <v>5</v>
      </c>
      <c r="D1293" s="307" t="s">
        <v>862</v>
      </c>
      <c r="E1293" s="307" t="s">
        <v>3469</v>
      </c>
      <c r="F1293" s="307" t="s">
        <v>3470</v>
      </c>
      <c r="G1293" s="307">
        <v>5</v>
      </c>
      <c r="H1293" s="307" t="s">
        <v>858</v>
      </c>
      <c r="I1293" s="307" t="str">
        <f>("1112210187")</f>
        <v>1112210187</v>
      </c>
    </row>
    <row r="1294" spans="1:9" ht="13.5">
      <c r="A1294" s="419" t="str">
        <f t="shared" si="20"/>
        <v>大分トリニータタートルズ　ウルトラ_6</v>
      </c>
      <c r="B1294" s="307" t="s">
        <v>3460</v>
      </c>
      <c r="C1294" s="307" t="str">
        <f>("6")</f>
        <v>6</v>
      </c>
      <c r="D1294" s="307" t="s">
        <v>884</v>
      </c>
      <c r="E1294" s="307" t="s">
        <v>3471</v>
      </c>
      <c r="F1294" s="307" t="s">
        <v>3472</v>
      </c>
      <c r="G1294" s="307">
        <v>5</v>
      </c>
      <c r="H1294" s="307" t="s">
        <v>858</v>
      </c>
      <c r="I1294" s="307" t="str">
        <f>("1110200073")</f>
        <v>1110200073</v>
      </c>
    </row>
    <row r="1295" spans="1:9" ht="13.5">
      <c r="A1295" s="419" t="str">
        <f t="shared" si="20"/>
        <v>大分トリニータタートルズ　ウルトラ_7</v>
      </c>
      <c r="B1295" s="307" t="s">
        <v>3460</v>
      </c>
      <c r="C1295" s="307" t="str">
        <f>("7")</f>
        <v>7</v>
      </c>
      <c r="D1295" s="307" t="s">
        <v>862</v>
      </c>
      <c r="E1295" s="307" t="s">
        <v>3473</v>
      </c>
      <c r="F1295" s="307" t="s">
        <v>3474</v>
      </c>
      <c r="G1295" s="307">
        <v>5</v>
      </c>
      <c r="H1295" s="307" t="s">
        <v>858</v>
      </c>
      <c r="I1295" s="307" t="str">
        <f>("1109210005")</f>
        <v>1109210005</v>
      </c>
    </row>
    <row r="1296" spans="1:9" ht="13.5">
      <c r="A1296" s="419" t="str">
        <f t="shared" si="20"/>
        <v>大分トリニータタートルズ　ウルトラ_8</v>
      </c>
      <c r="B1296" s="307" t="s">
        <v>3460</v>
      </c>
      <c r="C1296" s="307" t="str">
        <f>("8")</f>
        <v>8</v>
      </c>
      <c r="D1296" s="307" t="s">
        <v>862</v>
      </c>
      <c r="E1296" s="307" t="s">
        <v>3475</v>
      </c>
      <c r="F1296" s="307" t="s">
        <v>3476</v>
      </c>
      <c r="G1296" s="307">
        <v>6</v>
      </c>
      <c r="H1296" s="307" t="s">
        <v>858</v>
      </c>
      <c r="I1296" s="307" t="str">
        <f>("1008020240")</f>
        <v>1008020240</v>
      </c>
    </row>
    <row r="1297" spans="1:9" ht="13.5">
      <c r="A1297" s="419" t="str">
        <f t="shared" si="20"/>
        <v>大分トリニータタートルズ　ウルトラ_9</v>
      </c>
      <c r="B1297" s="307" t="s">
        <v>3460</v>
      </c>
      <c r="C1297" s="307" t="str">
        <f>("9")</f>
        <v>9</v>
      </c>
      <c r="D1297" s="307" t="s">
        <v>884</v>
      </c>
      <c r="E1297" s="307" t="s">
        <v>3477</v>
      </c>
      <c r="F1297" s="307" t="s">
        <v>3478</v>
      </c>
      <c r="G1297" s="307">
        <v>5</v>
      </c>
      <c r="H1297" s="307" t="s">
        <v>858</v>
      </c>
      <c r="I1297" s="307" t="str">
        <f>("1202230071")</f>
        <v>1202230071</v>
      </c>
    </row>
    <row r="1298" spans="1:10" ht="13.5">
      <c r="A1298" s="419" t="str">
        <f t="shared" si="20"/>
        <v>大分トリニータタートルズ　ウルトラ_10</v>
      </c>
      <c r="B1298" s="307" t="s">
        <v>3460</v>
      </c>
      <c r="C1298" s="307" t="str">
        <f>("10")</f>
        <v>10</v>
      </c>
      <c r="D1298" s="307" t="s">
        <v>859</v>
      </c>
      <c r="E1298" s="307" t="s">
        <v>3479</v>
      </c>
      <c r="F1298" s="307" t="s">
        <v>3480</v>
      </c>
      <c r="G1298" s="307">
        <v>6</v>
      </c>
      <c r="H1298" s="307" t="s">
        <v>858</v>
      </c>
      <c r="I1298" s="307" t="str">
        <f>("1103200059")</f>
        <v>1103200059</v>
      </c>
      <c r="J1298" s="307" t="s">
        <v>15</v>
      </c>
    </row>
    <row r="1299" spans="1:9" ht="13.5">
      <c r="A1299" s="419" t="str">
        <f t="shared" si="20"/>
        <v>大分トリニータタートルズ　ウルトラ_11</v>
      </c>
      <c r="B1299" s="307" t="s">
        <v>3460</v>
      </c>
      <c r="C1299" s="307" t="str">
        <f>("11")</f>
        <v>11</v>
      </c>
      <c r="D1299" s="307" t="s">
        <v>884</v>
      </c>
      <c r="E1299" s="307" t="s">
        <v>3481</v>
      </c>
      <c r="F1299" s="307" t="s">
        <v>3482</v>
      </c>
      <c r="G1299" s="307">
        <v>6</v>
      </c>
      <c r="H1299" s="307" t="s">
        <v>858</v>
      </c>
      <c r="I1299" s="307" t="str">
        <f>("1101110241")</f>
        <v>1101110241</v>
      </c>
    </row>
    <row r="1300" spans="1:9" ht="13.5">
      <c r="A1300" s="419" t="str">
        <f t="shared" si="20"/>
        <v>大分トリニータタートルズ　ウルトラ_12</v>
      </c>
      <c r="B1300" s="307" t="s">
        <v>3460</v>
      </c>
      <c r="C1300" s="307" t="str">
        <f>("12")</f>
        <v>12</v>
      </c>
      <c r="D1300" s="307" t="s">
        <v>862</v>
      </c>
      <c r="E1300" s="307" t="s">
        <v>3483</v>
      </c>
      <c r="F1300" s="307" t="s">
        <v>3484</v>
      </c>
      <c r="G1300" s="307">
        <v>6</v>
      </c>
      <c r="H1300" s="307" t="s">
        <v>858</v>
      </c>
      <c r="I1300" s="307" t="str">
        <f>("1012150148")</f>
        <v>1012150148</v>
      </c>
    </row>
    <row r="1301" spans="1:9" ht="13.5">
      <c r="A1301" s="419" t="str">
        <f t="shared" si="20"/>
        <v>大分トリニータタートルズ　ウルトラ_13</v>
      </c>
      <c r="B1301" s="307" t="s">
        <v>3460</v>
      </c>
      <c r="C1301" s="307" t="str">
        <f>("13")</f>
        <v>13</v>
      </c>
      <c r="D1301" s="307" t="s">
        <v>884</v>
      </c>
      <c r="E1301" s="307" t="s">
        <v>3485</v>
      </c>
      <c r="F1301" s="307" t="s">
        <v>3486</v>
      </c>
      <c r="G1301" s="307">
        <v>5</v>
      </c>
      <c r="H1301" s="307" t="s">
        <v>858</v>
      </c>
      <c r="I1301" s="307" t="str">
        <f>("1107140238")</f>
        <v>1107140238</v>
      </c>
    </row>
    <row r="1302" spans="1:9" ht="13.5">
      <c r="A1302" s="419" t="str">
        <f t="shared" si="20"/>
        <v>大分トリニータタートルズ　ウルトラ_16</v>
      </c>
      <c r="B1302" s="307" t="s">
        <v>3460</v>
      </c>
      <c r="C1302" s="307" t="str">
        <f>("16")</f>
        <v>16</v>
      </c>
      <c r="D1302" s="307" t="s">
        <v>855</v>
      </c>
      <c r="E1302" s="307" t="s">
        <v>3487</v>
      </c>
      <c r="F1302" s="307" t="s">
        <v>3488</v>
      </c>
      <c r="G1302" s="307">
        <v>5</v>
      </c>
      <c r="H1302" s="307" t="s">
        <v>858</v>
      </c>
      <c r="I1302" s="307" t="str">
        <f>("1108240177")</f>
        <v>1108240177</v>
      </c>
    </row>
    <row r="1303" spans="1:9" ht="13.5">
      <c r="A1303" s="419" t="str">
        <f t="shared" si="20"/>
        <v>スマイス日出_1</v>
      </c>
      <c r="B1303" s="307" t="s">
        <v>3489</v>
      </c>
      <c r="C1303" s="307" t="str">
        <f>("1")</f>
        <v>1</v>
      </c>
      <c r="D1303" s="307" t="s">
        <v>855</v>
      </c>
      <c r="E1303" s="307" t="s">
        <v>3490</v>
      </c>
      <c r="F1303" s="307" t="s">
        <v>3491</v>
      </c>
      <c r="G1303" s="307">
        <v>6</v>
      </c>
      <c r="H1303" s="307" t="s">
        <v>858</v>
      </c>
      <c r="I1303" s="307" t="str">
        <f>("1009100131")</f>
        <v>1009100131</v>
      </c>
    </row>
    <row r="1304" spans="1:9" ht="13.5">
      <c r="A1304" s="419" t="str">
        <f t="shared" si="20"/>
        <v>スマイス日出_2</v>
      </c>
      <c r="B1304" s="307" t="s">
        <v>3489</v>
      </c>
      <c r="C1304" s="307" t="str">
        <f>("2")</f>
        <v>2</v>
      </c>
      <c r="D1304" s="307" t="s">
        <v>884</v>
      </c>
      <c r="E1304" s="307" t="s">
        <v>3492</v>
      </c>
      <c r="F1304" s="307" t="s">
        <v>3493</v>
      </c>
      <c r="G1304" s="307">
        <v>6</v>
      </c>
      <c r="H1304" s="307" t="s">
        <v>858</v>
      </c>
      <c r="I1304" s="307" t="str">
        <f>("1101170177")</f>
        <v>1101170177</v>
      </c>
    </row>
    <row r="1305" spans="1:9" ht="13.5">
      <c r="A1305" s="419" t="str">
        <f t="shared" si="20"/>
        <v>スマイス日出_3</v>
      </c>
      <c r="B1305" s="307" t="s">
        <v>3489</v>
      </c>
      <c r="C1305" s="307" t="str">
        <f>("3")</f>
        <v>3</v>
      </c>
      <c r="D1305" s="307" t="s">
        <v>862</v>
      </c>
      <c r="E1305" s="307" t="s">
        <v>3494</v>
      </c>
      <c r="F1305" s="307" t="s">
        <v>3495</v>
      </c>
      <c r="G1305" s="307">
        <v>6</v>
      </c>
      <c r="H1305" s="307" t="s">
        <v>858</v>
      </c>
      <c r="I1305" s="307" t="str">
        <f>("1005120216")</f>
        <v>1005120216</v>
      </c>
    </row>
    <row r="1306" spans="1:9" ht="13.5">
      <c r="A1306" s="419" t="str">
        <f t="shared" si="20"/>
        <v>スマイス日出_4</v>
      </c>
      <c r="B1306" s="307" t="s">
        <v>3489</v>
      </c>
      <c r="C1306" s="307" t="str">
        <f>("4")</f>
        <v>4</v>
      </c>
      <c r="D1306" s="307" t="s">
        <v>862</v>
      </c>
      <c r="E1306" s="307" t="s">
        <v>3496</v>
      </c>
      <c r="F1306" s="307" t="s">
        <v>3497</v>
      </c>
      <c r="G1306" s="307">
        <v>5</v>
      </c>
      <c r="H1306" s="307" t="s">
        <v>858</v>
      </c>
      <c r="I1306" s="307" t="str">
        <f>("1108300211")</f>
        <v>1108300211</v>
      </c>
    </row>
    <row r="1307" spans="1:9" ht="13.5">
      <c r="A1307" s="419" t="str">
        <f t="shared" si="20"/>
        <v>スマイス日出_5</v>
      </c>
      <c r="B1307" s="307" t="s">
        <v>3489</v>
      </c>
      <c r="C1307" s="307" t="str">
        <f>("5")</f>
        <v>5</v>
      </c>
      <c r="D1307" s="307" t="s">
        <v>859</v>
      </c>
      <c r="E1307" s="307" t="s">
        <v>3498</v>
      </c>
      <c r="F1307" s="307" t="s">
        <v>3499</v>
      </c>
      <c r="G1307" s="307">
        <v>6</v>
      </c>
      <c r="H1307" s="307" t="s">
        <v>858</v>
      </c>
      <c r="I1307" s="307" t="str">
        <f>("1007100195")</f>
        <v>1007100195</v>
      </c>
    </row>
    <row r="1308" spans="1:9" ht="13.5">
      <c r="A1308" s="419" t="str">
        <f t="shared" si="20"/>
        <v>スマイス日出_6</v>
      </c>
      <c r="B1308" s="307" t="s">
        <v>3489</v>
      </c>
      <c r="C1308" s="307" t="str">
        <f>("6")</f>
        <v>6</v>
      </c>
      <c r="D1308" s="307" t="s">
        <v>884</v>
      </c>
      <c r="E1308" s="307" t="s">
        <v>3500</v>
      </c>
      <c r="F1308" s="307" t="s">
        <v>3501</v>
      </c>
      <c r="G1308" s="307">
        <v>5</v>
      </c>
      <c r="H1308" s="307" t="s">
        <v>858</v>
      </c>
      <c r="I1308" s="307" t="str">
        <f>("1105080158")</f>
        <v>1105080158</v>
      </c>
    </row>
    <row r="1309" spans="1:9" ht="13.5">
      <c r="A1309" s="419" t="str">
        <f t="shared" si="20"/>
        <v>スマイス日出_7</v>
      </c>
      <c r="B1309" s="307" t="s">
        <v>3489</v>
      </c>
      <c r="C1309" s="307" t="str">
        <f>("7")</f>
        <v>7</v>
      </c>
      <c r="D1309" s="307" t="s">
        <v>859</v>
      </c>
      <c r="E1309" s="307" t="s">
        <v>3502</v>
      </c>
      <c r="F1309" s="307" t="s">
        <v>3503</v>
      </c>
      <c r="G1309" s="307">
        <v>6</v>
      </c>
      <c r="H1309" s="307" t="s">
        <v>858</v>
      </c>
      <c r="I1309" s="307" t="str">
        <f>("1007240150")</f>
        <v>1007240150</v>
      </c>
    </row>
    <row r="1310" spans="1:9" ht="13.5">
      <c r="A1310" s="419" t="str">
        <f t="shared" si="20"/>
        <v>スマイス日出_8</v>
      </c>
      <c r="B1310" s="307" t="s">
        <v>3489</v>
      </c>
      <c r="C1310" s="307" t="str">
        <f>("8")</f>
        <v>8</v>
      </c>
      <c r="D1310" s="307" t="s">
        <v>862</v>
      </c>
      <c r="E1310" s="307" t="s">
        <v>3504</v>
      </c>
      <c r="F1310" s="307" t="s">
        <v>3505</v>
      </c>
      <c r="G1310" s="307">
        <v>6</v>
      </c>
      <c r="H1310" s="307" t="s">
        <v>858</v>
      </c>
      <c r="I1310" s="307" t="str">
        <f>("1010010227")</f>
        <v>1010010227</v>
      </c>
    </row>
    <row r="1311" spans="1:9" ht="13.5">
      <c r="A1311" s="419" t="str">
        <f t="shared" si="20"/>
        <v>スマイス日出_9</v>
      </c>
      <c r="B1311" s="307" t="s">
        <v>3489</v>
      </c>
      <c r="C1311" s="307" t="str">
        <f>("9")</f>
        <v>9</v>
      </c>
      <c r="D1311" s="307" t="s">
        <v>884</v>
      </c>
      <c r="E1311" s="307" t="s">
        <v>3506</v>
      </c>
      <c r="F1311" s="307" t="s">
        <v>3507</v>
      </c>
      <c r="G1311" s="307">
        <v>6</v>
      </c>
      <c r="H1311" s="307" t="s">
        <v>858</v>
      </c>
      <c r="I1311" s="307" t="str">
        <f>("1005180201")</f>
        <v>1005180201</v>
      </c>
    </row>
    <row r="1312" spans="1:10" ht="13.5">
      <c r="A1312" s="419" t="str">
        <f t="shared" si="20"/>
        <v>スマイス日出_10</v>
      </c>
      <c r="B1312" s="307" t="s">
        <v>3489</v>
      </c>
      <c r="C1312" s="307" t="str">
        <f>("10")</f>
        <v>10</v>
      </c>
      <c r="D1312" s="307" t="s">
        <v>859</v>
      </c>
      <c r="E1312" s="307" t="s">
        <v>3508</v>
      </c>
      <c r="F1312" s="307" t="s">
        <v>3509</v>
      </c>
      <c r="G1312" s="307">
        <v>6</v>
      </c>
      <c r="H1312" s="307" t="s">
        <v>858</v>
      </c>
      <c r="I1312" s="307" t="str">
        <f>("1010240129")</f>
        <v>1010240129</v>
      </c>
      <c r="J1312" s="307" t="s">
        <v>15</v>
      </c>
    </row>
    <row r="1313" spans="1:9" ht="13.5">
      <c r="A1313" s="419" t="str">
        <f t="shared" si="20"/>
        <v>スマイス日出_11</v>
      </c>
      <c r="B1313" s="307" t="s">
        <v>3489</v>
      </c>
      <c r="C1313" s="307" t="str">
        <f>("11")</f>
        <v>11</v>
      </c>
      <c r="D1313" s="307" t="s">
        <v>884</v>
      </c>
      <c r="E1313" s="307" t="s">
        <v>3510</v>
      </c>
      <c r="F1313" s="307" t="s">
        <v>3511</v>
      </c>
      <c r="G1313" s="307">
        <v>6</v>
      </c>
      <c r="H1313" s="307" t="s">
        <v>858</v>
      </c>
      <c r="I1313" s="307" t="str">
        <f>("1010260211")</f>
        <v>1010260211</v>
      </c>
    </row>
    <row r="1314" spans="1:9" ht="13.5">
      <c r="A1314" s="419" t="str">
        <f t="shared" si="20"/>
        <v>スマイス日出_12</v>
      </c>
      <c r="B1314" s="307" t="s">
        <v>3489</v>
      </c>
      <c r="C1314" s="307" t="str">
        <f>("12")</f>
        <v>12</v>
      </c>
      <c r="D1314" s="307" t="s">
        <v>862</v>
      </c>
      <c r="E1314" s="307" t="s">
        <v>3512</v>
      </c>
      <c r="F1314" s="307" t="s">
        <v>3513</v>
      </c>
      <c r="G1314" s="307">
        <v>5</v>
      </c>
      <c r="H1314" s="307" t="s">
        <v>858</v>
      </c>
      <c r="I1314" s="307" t="str">
        <f>("1201030143")</f>
        <v>1201030143</v>
      </c>
    </row>
    <row r="1315" spans="1:9" ht="13.5">
      <c r="A1315" s="419" t="str">
        <f t="shared" si="20"/>
        <v>スマイス日出_13</v>
      </c>
      <c r="B1315" s="307" t="s">
        <v>3489</v>
      </c>
      <c r="C1315" s="307" t="str">
        <f>("13")</f>
        <v>13</v>
      </c>
      <c r="D1315" s="307" t="s">
        <v>862</v>
      </c>
      <c r="E1315" s="307" t="s">
        <v>3514</v>
      </c>
      <c r="F1315" s="307" t="s">
        <v>3515</v>
      </c>
      <c r="G1315" s="307">
        <v>5</v>
      </c>
      <c r="H1315" s="307" t="s">
        <v>858</v>
      </c>
      <c r="I1315" s="307" t="str">
        <f>("1108170216")</f>
        <v>1108170216</v>
      </c>
    </row>
    <row r="1316" spans="1:9" ht="13.5">
      <c r="A1316" s="419" t="str">
        <f t="shared" si="20"/>
        <v>スマイス日出_14</v>
      </c>
      <c r="B1316" s="307" t="s">
        <v>3489</v>
      </c>
      <c r="C1316" s="307" t="str">
        <f>("14")</f>
        <v>14</v>
      </c>
      <c r="D1316" s="307" t="s">
        <v>862</v>
      </c>
      <c r="E1316" s="307" t="s">
        <v>3516</v>
      </c>
      <c r="F1316" s="307" t="s">
        <v>3517</v>
      </c>
      <c r="G1316" s="307">
        <v>5</v>
      </c>
      <c r="H1316" s="307" t="s">
        <v>858</v>
      </c>
      <c r="I1316" s="307" t="str">
        <f>("1104260270")</f>
        <v>1104260270</v>
      </c>
    </row>
    <row r="1317" spans="1:9" ht="13.5">
      <c r="A1317" s="419" t="str">
        <f t="shared" si="20"/>
        <v>スマイス日出_15</v>
      </c>
      <c r="B1317" s="307" t="s">
        <v>3489</v>
      </c>
      <c r="C1317" s="307" t="str">
        <f>("15")</f>
        <v>15</v>
      </c>
      <c r="D1317" s="307" t="s">
        <v>884</v>
      </c>
      <c r="E1317" s="307" t="s">
        <v>3518</v>
      </c>
      <c r="F1317" s="307" t="s">
        <v>3519</v>
      </c>
      <c r="G1317" s="307">
        <v>5</v>
      </c>
      <c r="H1317" s="307" t="s">
        <v>858</v>
      </c>
      <c r="I1317" s="307" t="str">
        <f>("1111270142")</f>
        <v>1111270142</v>
      </c>
    </row>
    <row r="1318" spans="1:9" ht="13.5">
      <c r="A1318" s="419" t="str">
        <f t="shared" si="20"/>
        <v>スマイス日出_16</v>
      </c>
      <c r="B1318" s="307" t="s">
        <v>3489</v>
      </c>
      <c r="C1318" s="307" t="str">
        <f>("16")</f>
        <v>16</v>
      </c>
      <c r="D1318" s="307" t="s">
        <v>859</v>
      </c>
      <c r="E1318" s="307" t="s">
        <v>3520</v>
      </c>
      <c r="F1318" s="307" t="s">
        <v>3521</v>
      </c>
      <c r="G1318" s="307">
        <v>5</v>
      </c>
      <c r="H1318" s="307" t="s">
        <v>858</v>
      </c>
      <c r="I1318" s="307" t="str">
        <f>("1111090219")</f>
        <v>1111090219</v>
      </c>
    </row>
    <row r="1319" spans="1:9" ht="13.5">
      <c r="A1319" s="419" t="str">
        <f t="shared" si="20"/>
        <v>ＦＣ　ＵＮＩＴＥ_1</v>
      </c>
      <c r="B1319" s="307" t="s">
        <v>40</v>
      </c>
      <c r="C1319" s="307" t="str">
        <f>("1")</f>
        <v>1</v>
      </c>
      <c r="D1319" s="307" t="s">
        <v>855</v>
      </c>
      <c r="E1319" s="307" t="s">
        <v>3522</v>
      </c>
      <c r="F1319" s="307" t="s">
        <v>3523</v>
      </c>
      <c r="G1319" s="307">
        <v>6</v>
      </c>
      <c r="H1319" s="307" t="s">
        <v>858</v>
      </c>
      <c r="I1319" s="307" t="str">
        <f>("1007080037")</f>
        <v>1007080037</v>
      </c>
    </row>
    <row r="1320" spans="1:9" ht="13.5">
      <c r="A1320" s="419" t="str">
        <f t="shared" si="20"/>
        <v>ＦＣ　ＵＮＩＴＥ_2</v>
      </c>
      <c r="B1320" s="307" t="s">
        <v>40</v>
      </c>
      <c r="C1320" s="307" t="str">
        <f>("2")</f>
        <v>2</v>
      </c>
      <c r="D1320" s="307" t="s">
        <v>859</v>
      </c>
      <c r="E1320" s="307" t="s">
        <v>3524</v>
      </c>
      <c r="F1320" s="307" t="s">
        <v>3525</v>
      </c>
      <c r="G1320" s="307">
        <v>4</v>
      </c>
      <c r="H1320" s="307" t="s">
        <v>858</v>
      </c>
      <c r="I1320" s="307" t="str">
        <f>("1208160066")</f>
        <v>1208160066</v>
      </c>
    </row>
    <row r="1321" spans="1:9" ht="13.5">
      <c r="A1321" s="419" t="str">
        <f t="shared" si="20"/>
        <v>ＦＣ　ＵＮＩＴＥ_3</v>
      </c>
      <c r="B1321" s="307" t="s">
        <v>40</v>
      </c>
      <c r="C1321" s="307" t="str">
        <f>("3")</f>
        <v>3</v>
      </c>
      <c r="D1321" s="307" t="s">
        <v>862</v>
      </c>
      <c r="E1321" s="307" t="s">
        <v>3526</v>
      </c>
      <c r="F1321" s="307" t="s">
        <v>3527</v>
      </c>
      <c r="G1321" s="307">
        <v>4</v>
      </c>
      <c r="H1321" s="307" t="s">
        <v>858</v>
      </c>
      <c r="I1321" s="307" t="str">
        <f>("1204080002")</f>
        <v>1204080002</v>
      </c>
    </row>
    <row r="1322" spans="1:9" ht="13.5">
      <c r="A1322" s="419" t="str">
        <f t="shared" si="20"/>
        <v>ＦＣ　ＵＮＩＴＥ_4</v>
      </c>
      <c r="B1322" s="307" t="s">
        <v>40</v>
      </c>
      <c r="C1322" s="307" t="str">
        <f>("4")</f>
        <v>4</v>
      </c>
      <c r="D1322" s="307" t="s">
        <v>884</v>
      </c>
      <c r="E1322" s="307" t="s">
        <v>3528</v>
      </c>
      <c r="F1322" s="307" t="s">
        <v>3529</v>
      </c>
      <c r="G1322" s="307">
        <v>5</v>
      </c>
      <c r="H1322" s="307" t="s">
        <v>869</v>
      </c>
      <c r="I1322" s="307" t="str">
        <f>("1203260097")</f>
        <v>1203260097</v>
      </c>
    </row>
    <row r="1323" spans="1:9" ht="13.5">
      <c r="A1323" s="419" t="str">
        <f t="shared" si="20"/>
        <v>ＦＣ　ＵＮＩＴＥ_5</v>
      </c>
      <c r="B1323" s="307" t="s">
        <v>40</v>
      </c>
      <c r="C1323" s="307" t="str">
        <f>("5")</f>
        <v>5</v>
      </c>
      <c r="D1323" s="307" t="s">
        <v>884</v>
      </c>
      <c r="E1323" s="307" t="s">
        <v>3530</v>
      </c>
      <c r="F1323" s="307" t="s">
        <v>3531</v>
      </c>
      <c r="G1323" s="307">
        <v>5</v>
      </c>
      <c r="H1323" s="307" t="s">
        <v>869</v>
      </c>
      <c r="I1323" s="307" t="str">
        <f>("1203260096")</f>
        <v>1203260096</v>
      </c>
    </row>
    <row r="1324" spans="1:9" ht="13.5">
      <c r="A1324" s="419" t="str">
        <f t="shared" si="20"/>
        <v>ＦＣ　ＵＮＩＴＥ_6</v>
      </c>
      <c r="B1324" s="307" t="s">
        <v>40</v>
      </c>
      <c r="C1324" s="307" t="str">
        <f>("6")</f>
        <v>6</v>
      </c>
      <c r="D1324" s="307" t="s">
        <v>859</v>
      </c>
      <c r="E1324" s="307" t="s">
        <v>3532</v>
      </c>
      <c r="F1324" s="307" t="s">
        <v>3533</v>
      </c>
      <c r="G1324" s="307">
        <v>5</v>
      </c>
      <c r="H1324" s="307" t="s">
        <v>869</v>
      </c>
      <c r="I1324" s="307" t="str">
        <f>("1105290030")</f>
        <v>1105290030</v>
      </c>
    </row>
    <row r="1325" spans="1:9" ht="13.5">
      <c r="A1325" s="419" t="str">
        <f t="shared" si="20"/>
        <v>ＦＣ　ＵＮＩＴＥ_7</v>
      </c>
      <c r="B1325" s="307" t="s">
        <v>40</v>
      </c>
      <c r="C1325" s="307" t="str">
        <f>("7")</f>
        <v>7</v>
      </c>
      <c r="D1325" s="307" t="s">
        <v>859</v>
      </c>
      <c r="E1325" s="307" t="s">
        <v>3534</v>
      </c>
      <c r="F1325" s="307" t="s">
        <v>3535</v>
      </c>
      <c r="G1325" s="307">
        <v>6</v>
      </c>
      <c r="H1325" s="307" t="s">
        <v>858</v>
      </c>
      <c r="I1325" s="307" t="str">
        <f>("1101030027")</f>
        <v>1101030027</v>
      </c>
    </row>
    <row r="1326" spans="1:9" ht="13.5">
      <c r="A1326" s="419" t="str">
        <f t="shared" si="20"/>
        <v>ＦＣ　ＵＮＩＴＥ_8</v>
      </c>
      <c r="B1326" s="307" t="s">
        <v>40</v>
      </c>
      <c r="C1326" s="307" t="str">
        <f>("8")</f>
        <v>8</v>
      </c>
      <c r="D1326" s="307" t="s">
        <v>859</v>
      </c>
      <c r="E1326" s="307" t="s">
        <v>3536</v>
      </c>
      <c r="F1326" s="307" t="s">
        <v>3537</v>
      </c>
      <c r="G1326" s="307">
        <v>6</v>
      </c>
      <c r="H1326" s="307" t="s">
        <v>858</v>
      </c>
      <c r="I1326" s="307" t="str">
        <f>("1012180031")</f>
        <v>1012180031</v>
      </c>
    </row>
    <row r="1327" spans="1:9" ht="13.5">
      <c r="A1327" s="419" t="str">
        <f t="shared" si="20"/>
        <v>ＦＣ　ＵＮＩＴＥ_9</v>
      </c>
      <c r="B1327" s="307" t="s">
        <v>40</v>
      </c>
      <c r="C1327" s="307" t="str">
        <f>("9")</f>
        <v>9</v>
      </c>
      <c r="D1327" s="307" t="s">
        <v>862</v>
      </c>
      <c r="E1327" s="307" t="s">
        <v>3538</v>
      </c>
      <c r="F1327" s="307" t="s">
        <v>3539</v>
      </c>
      <c r="G1327" s="307">
        <v>6</v>
      </c>
      <c r="H1327" s="307" t="s">
        <v>858</v>
      </c>
      <c r="I1327" s="307" t="str">
        <f>("1010140036")</f>
        <v>1010140036</v>
      </c>
    </row>
    <row r="1328" spans="1:10" ht="13.5">
      <c r="A1328" s="419" t="str">
        <f t="shared" si="20"/>
        <v>ＦＣ　ＵＮＩＴＥ_10</v>
      </c>
      <c r="B1328" s="307" t="s">
        <v>40</v>
      </c>
      <c r="C1328" s="307" t="str">
        <f>("10")</f>
        <v>10</v>
      </c>
      <c r="D1328" s="307" t="s">
        <v>862</v>
      </c>
      <c r="E1328" s="307" t="s">
        <v>3540</v>
      </c>
      <c r="F1328" s="307" t="s">
        <v>3541</v>
      </c>
      <c r="G1328" s="307">
        <v>6</v>
      </c>
      <c r="H1328" s="307" t="s">
        <v>858</v>
      </c>
      <c r="I1328" s="307" t="str">
        <f>("1009230021")</f>
        <v>1009230021</v>
      </c>
      <c r="J1328" s="307" t="s">
        <v>15</v>
      </c>
    </row>
    <row r="1329" spans="1:9" ht="13.5">
      <c r="A1329" s="419" t="str">
        <f t="shared" si="20"/>
        <v>ＦＣ　ＵＮＩＴＥ_11</v>
      </c>
      <c r="B1329" s="307" t="s">
        <v>40</v>
      </c>
      <c r="C1329" s="307" t="str">
        <f>("11")</f>
        <v>11</v>
      </c>
      <c r="D1329" s="307" t="s">
        <v>862</v>
      </c>
      <c r="E1329" s="307" t="s">
        <v>3542</v>
      </c>
      <c r="F1329" s="307" t="s">
        <v>3543</v>
      </c>
      <c r="G1329" s="307">
        <v>6</v>
      </c>
      <c r="H1329" s="307" t="s">
        <v>858</v>
      </c>
      <c r="I1329" s="307" t="str">
        <f>("1008220014")</f>
        <v>1008220014</v>
      </c>
    </row>
    <row r="1330" spans="1:9" ht="13.5">
      <c r="A1330" s="419" t="str">
        <f t="shared" si="20"/>
        <v>ＦＣ　ＵＮＩＴＥ_12</v>
      </c>
      <c r="B1330" s="307" t="s">
        <v>40</v>
      </c>
      <c r="C1330" s="307" t="str">
        <f>("12")</f>
        <v>12</v>
      </c>
      <c r="D1330" s="307" t="s">
        <v>855</v>
      </c>
      <c r="E1330" s="307" t="s">
        <v>3544</v>
      </c>
      <c r="F1330" s="307" t="s">
        <v>3545</v>
      </c>
      <c r="G1330" s="307">
        <v>5</v>
      </c>
      <c r="H1330" s="307" t="s">
        <v>858</v>
      </c>
      <c r="I1330" s="307" t="str">
        <f>("1106240192")</f>
        <v>1106240192</v>
      </c>
    </row>
    <row r="1331" spans="1:9" ht="13.5">
      <c r="A1331" s="419" t="str">
        <f t="shared" si="20"/>
        <v>ＦＣ　ＵＮＩＴＥ_14</v>
      </c>
      <c r="B1331" s="307" t="s">
        <v>40</v>
      </c>
      <c r="C1331" s="307" t="str">
        <f>("14")</f>
        <v>14</v>
      </c>
      <c r="D1331" s="307" t="s">
        <v>884</v>
      </c>
      <c r="E1331" s="307" t="s">
        <v>3546</v>
      </c>
      <c r="F1331" s="307" t="s">
        <v>3547</v>
      </c>
      <c r="G1331" s="307">
        <v>5</v>
      </c>
      <c r="H1331" s="307" t="s">
        <v>858</v>
      </c>
      <c r="I1331" s="307" t="str">
        <f>("1111250161")</f>
        <v>1111250161</v>
      </c>
    </row>
    <row r="1332" spans="1:9" ht="13.5">
      <c r="A1332" s="419" t="str">
        <f t="shared" si="20"/>
        <v>太陽スポーツクラブ大分西_1</v>
      </c>
      <c r="B1332" s="307" t="s">
        <v>35</v>
      </c>
      <c r="C1332" s="307" t="str">
        <f>("1")</f>
        <v>1</v>
      </c>
      <c r="D1332" s="307" t="s">
        <v>855</v>
      </c>
      <c r="E1332" s="307" t="s">
        <v>3548</v>
      </c>
      <c r="F1332" s="307" t="s">
        <v>3549</v>
      </c>
      <c r="G1332" s="307">
        <v>6</v>
      </c>
      <c r="H1332" s="307" t="s">
        <v>858</v>
      </c>
      <c r="I1332" s="307" t="str">
        <f>("1007190077")</f>
        <v>1007190077</v>
      </c>
    </row>
    <row r="1333" spans="1:9" ht="13.5">
      <c r="A1333" s="419" t="str">
        <f t="shared" si="20"/>
        <v>太陽スポーツクラブ大分西_3</v>
      </c>
      <c r="B1333" s="307" t="s">
        <v>35</v>
      </c>
      <c r="C1333" s="307" t="str">
        <f>("3")</f>
        <v>3</v>
      </c>
      <c r="D1333" s="307" t="s">
        <v>859</v>
      </c>
      <c r="E1333" s="307" t="s">
        <v>3550</v>
      </c>
      <c r="F1333" s="307" t="s">
        <v>3551</v>
      </c>
      <c r="G1333" s="307">
        <v>5</v>
      </c>
      <c r="H1333" s="307" t="s">
        <v>858</v>
      </c>
      <c r="I1333" s="307" t="str">
        <f>("1110060108")</f>
        <v>1110060108</v>
      </c>
    </row>
    <row r="1334" spans="1:9" ht="13.5">
      <c r="A1334" s="419" t="str">
        <f t="shared" si="20"/>
        <v>太陽スポーツクラブ大分西_4</v>
      </c>
      <c r="B1334" s="307" t="s">
        <v>35</v>
      </c>
      <c r="C1334" s="307" t="str">
        <f>("4")</f>
        <v>4</v>
      </c>
      <c r="D1334" s="307" t="s">
        <v>859</v>
      </c>
      <c r="E1334" s="307" t="s">
        <v>3552</v>
      </c>
      <c r="F1334" s="307" t="s">
        <v>3553</v>
      </c>
      <c r="G1334" s="307">
        <v>4</v>
      </c>
      <c r="H1334" s="307" t="s">
        <v>858</v>
      </c>
      <c r="I1334" s="307" t="str">
        <f>("1204120073")</f>
        <v>1204120073</v>
      </c>
    </row>
    <row r="1335" spans="1:9" ht="13.5">
      <c r="A1335" s="419" t="str">
        <f t="shared" si="20"/>
        <v>太陽スポーツクラブ大分西_5</v>
      </c>
      <c r="B1335" s="307" t="s">
        <v>35</v>
      </c>
      <c r="C1335" s="307" t="str">
        <f>("5")</f>
        <v>5</v>
      </c>
      <c r="D1335" s="307" t="s">
        <v>859</v>
      </c>
      <c r="E1335" s="307" t="s">
        <v>3554</v>
      </c>
      <c r="F1335" s="307" t="s">
        <v>3555</v>
      </c>
      <c r="G1335" s="307">
        <v>5</v>
      </c>
      <c r="H1335" s="307" t="s">
        <v>858</v>
      </c>
      <c r="I1335" s="307" t="str">
        <f>("1108180092")</f>
        <v>1108180092</v>
      </c>
    </row>
    <row r="1336" spans="1:9" ht="13.5">
      <c r="A1336" s="419" t="str">
        <f t="shared" si="20"/>
        <v>太陽スポーツクラブ大分西_6</v>
      </c>
      <c r="B1336" s="307" t="s">
        <v>35</v>
      </c>
      <c r="C1336" s="307" t="str">
        <f>("6")</f>
        <v>6</v>
      </c>
      <c r="D1336" s="307" t="s">
        <v>859</v>
      </c>
      <c r="E1336" s="307" t="s">
        <v>3556</v>
      </c>
      <c r="F1336" s="307" t="s">
        <v>3557</v>
      </c>
      <c r="G1336" s="307">
        <v>6</v>
      </c>
      <c r="H1336" s="307" t="s">
        <v>858</v>
      </c>
      <c r="I1336" s="307" t="str">
        <f>("1006190203")</f>
        <v>1006190203</v>
      </c>
    </row>
    <row r="1337" spans="1:9" ht="13.5">
      <c r="A1337" s="419" t="str">
        <f t="shared" si="20"/>
        <v>太陽スポーツクラブ大分西_7</v>
      </c>
      <c r="B1337" s="307" t="s">
        <v>35</v>
      </c>
      <c r="C1337" s="307" t="str">
        <f>("7")</f>
        <v>7</v>
      </c>
      <c r="D1337" s="307" t="s">
        <v>862</v>
      </c>
      <c r="E1337" s="307" t="s">
        <v>3558</v>
      </c>
      <c r="F1337" s="307" t="s">
        <v>3559</v>
      </c>
      <c r="G1337" s="307">
        <v>5</v>
      </c>
      <c r="H1337" s="307" t="s">
        <v>858</v>
      </c>
      <c r="I1337" s="307" t="str">
        <f>("1110140079")</f>
        <v>1110140079</v>
      </c>
    </row>
    <row r="1338" spans="1:10" ht="13.5">
      <c r="A1338" s="419" t="str">
        <f t="shared" si="20"/>
        <v>太陽スポーツクラブ大分西_11</v>
      </c>
      <c r="B1338" s="307" t="s">
        <v>35</v>
      </c>
      <c r="C1338" s="307" t="str">
        <f>("11")</f>
        <v>11</v>
      </c>
      <c r="D1338" s="307" t="s">
        <v>862</v>
      </c>
      <c r="E1338" s="307" t="s">
        <v>3560</v>
      </c>
      <c r="F1338" s="307" t="s">
        <v>3561</v>
      </c>
      <c r="G1338" s="307">
        <v>6</v>
      </c>
      <c r="H1338" s="307" t="s">
        <v>858</v>
      </c>
      <c r="I1338" s="307" t="str">
        <f>("1004120117")</f>
        <v>1004120117</v>
      </c>
      <c r="J1338" s="307" t="s">
        <v>15</v>
      </c>
    </row>
    <row r="1339" spans="1:9" ht="13.5">
      <c r="A1339" s="419" t="str">
        <f t="shared" si="20"/>
        <v>太陽スポーツクラブ大分西_12</v>
      </c>
      <c r="B1339" s="307" t="s">
        <v>35</v>
      </c>
      <c r="C1339" s="307" t="str">
        <f>("12")</f>
        <v>12</v>
      </c>
      <c r="D1339" s="307" t="s">
        <v>862</v>
      </c>
      <c r="E1339" s="307" t="s">
        <v>3562</v>
      </c>
      <c r="F1339" s="307" t="s">
        <v>3563</v>
      </c>
      <c r="G1339" s="307">
        <v>6</v>
      </c>
      <c r="H1339" s="307" t="s">
        <v>858</v>
      </c>
      <c r="I1339" s="307" t="str">
        <f>("1005240121")</f>
        <v>1005240121</v>
      </c>
    </row>
    <row r="1340" spans="1:9" ht="13.5">
      <c r="A1340" s="419" t="str">
        <f t="shared" si="20"/>
        <v>太陽スポーツクラブ大分西_13</v>
      </c>
      <c r="B1340" s="307" t="s">
        <v>35</v>
      </c>
      <c r="C1340" s="307" t="str">
        <f>("13")</f>
        <v>13</v>
      </c>
      <c r="D1340" s="307" t="s">
        <v>862</v>
      </c>
      <c r="E1340" s="307" t="s">
        <v>3564</v>
      </c>
      <c r="F1340" s="307" t="s">
        <v>3565</v>
      </c>
      <c r="G1340" s="307">
        <v>5</v>
      </c>
      <c r="H1340" s="307" t="s">
        <v>858</v>
      </c>
      <c r="I1340" s="307" t="str">
        <f>("1106210047")</f>
        <v>1106210047</v>
      </c>
    </row>
    <row r="1341" spans="1:9" ht="13.5">
      <c r="A1341" s="419" t="str">
        <f t="shared" si="20"/>
        <v>太陽スポーツクラブ大分西_14</v>
      </c>
      <c r="B1341" s="307" t="s">
        <v>35</v>
      </c>
      <c r="C1341" s="307" t="str">
        <f>("14")</f>
        <v>14</v>
      </c>
      <c r="D1341" s="307" t="s">
        <v>859</v>
      </c>
      <c r="E1341" s="307" t="s">
        <v>3566</v>
      </c>
      <c r="F1341" s="307" t="s">
        <v>3567</v>
      </c>
      <c r="G1341" s="307">
        <v>6</v>
      </c>
      <c r="H1341" s="307" t="s">
        <v>858</v>
      </c>
      <c r="I1341" s="307" t="str">
        <f>("1007060201")</f>
        <v>1007060201</v>
      </c>
    </row>
    <row r="1342" spans="1:9" ht="13.5">
      <c r="A1342" s="419" t="str">
        <f t="shared" si="20"/>
        <v>太陽スポーツクラブ大分西_16</v>
      </c>
      <c r="B1342" s="307" t="s">
        <v>35</v>
      </c>
      <c r="C1342" s="307" t="str">
        <f>("16")</f>
        <v>16</v>
      </c>
      <c r="D1342" s="307" t="s">
        <v>855</v>
      </c>
      <c r="E1342" s="307" t="s">
        <v>3568</v>
      </c>
      <c r="F1342" s="307" t="s">
        <v>3569</v>
      </c>
      <c r="G1342" s="307">
        <v>5</v>
      </c>
      <c r="H1342" s="307" t="s">
        <v>858</v>
      </c>
      <c r="I1342" s="307" t="str">
        <f>("1111220106")</f>
        <v>1111220106</v>
      </c>
    </row>
    <row r="1343" spans="1:9" ht="13.5">
      <c r="A1343" s="419" t="str">
        <f t="shared" si="20"/>
        <v>太陽スポーツクラブ大分西_17</v>
      </c>
      <c r="B1343" s="307" t="s">
        <v>35</v>
      </c>
      <c r="C1343" s="307" t="str">
        <f>("17")</f>
        <v>17</v>
      </c>
      <c r="D1343" s="307" t="s">
        <v>862</v>
      </c>
      <c r="E1343" s="307" t="s">
        <v>3570</v>
      </c>
      <c r="F1343" s="307" t="s">
        <v>3571</v>
      </c>
      <c r="G1343" s="307">
        <v>5</v>
      </c>
      <c r="H1343" s="307" t="s">
        <v>858</v>
      </c>
      <c r="I1343" s="307" t="str">
        <f>("1106300198")</f>
        <v>1106300198</v>
      </c>
    </row>
    <row r="1344" spans="1:9" ht="13.5">
      <c r="A1344" s="419" t="str">
        <f t="shared" si="20"/>
        <v>太陽スポーツクラブ大分西_18</v>
      </c>
      <c r="B1344" s="421" t="s">
        <v>35</v>
      </c>
      <c r="C1344" s="307" t="str">
        <f>("18")</f>
        <v>18</v>
      </c>
      <c r="D1344" s="307" t="s">
        <v>884</v>
      </c>
      <c r="E1344" s="307" t="s">
        <v>3572</v>
      </c>
      <c r="F1344" s="307" t="s">
        <v>3573</v>
      </c>
      <c r="G1344" s="307">
        <v>5</v>
      </c>
      <c r="H1344" s="307" t="s">
        <v>858</v>
      </c>
      <c r="I1344" s="307" t="str">
        <f>("1201310080")</f>
        <v>1201310080</v>
      </c>
    </row>
    <row r="1345" spans="1:9" ht="13.5">
      <c r="A1345" s="419" t="str">
        <f aca="true" t="shared" si="21" ref="A1345:A1408">CONCATENATE(B1345,"_",C1345)</f>
        <v>太陽スポーツクラブ大分西_19</v>
      </c>
      <c r="B1345" s="307" t="s">
        <v>35</v>
      </c>
      <c r="C1345" s="307" t="str">
        <f>("19")</f>
        <v>19</v>
      </c>
      <c r="D1345" s="307" t="s">
        <v>884</v>
      </c>
      <c r="E1345" s="307" t="s">
        <v>3574</v>
      </c>
      <c r="F1345" s="307" t="s">
        <v>3575</v>
      </c>
      <c r="G1345" s="307">
        <v>6</v>
      </c>
      <c r="H1345" s="307" t="s">
        <v>858</v>
      </c>
      <c r="I1345" s="307" t="str">
        <f>("1008190055")</f>
        <v>1008190055</v>
      </c>
    </row>
    <row r="1346" spans="1:9" ht="13.5">
      <c r="A1346" s="419" t="str">
        <f t="shared" si="21"/>
        <v>太陽スポーツクラブ大分西_20</v>
      </c>
      <c r="B1346" s="307" t="s">
        <v>35</v>
      </c>
      <c r="C1346" s="307" t="str">
        <f>("20")</f>
        <v>20</v>
      </c>
      <c r="D1346" s="307" t="s">
        <v>884</v>
      </c>
      <c r="E1346" s="307" t="s">
        <v>3576</v>
      </c>
      <c r="F1346" s="307" t="s">
        <v>3577</v>
      </c>
      <c r="G1346" s="307">
        <v>5</v>
      </c>
      <c r="H1346" s="307" t="s">
        <v>858</v>
      </c>
      <c r="I1346" s="307" t="str">
        <f>("1112150060")</f>
        <v>1112150060</v>
      </c>
    </row>
    <row r="1347" spans="1:9" ht="13.5">
      <c r="A1347" s="419" t="str">
        <f t="shared" si="21"/>
        <v>太陽スポーツクラブ大分西_21</v>
      </c>
      <c r="B1347" s="307" t="s">
        <v>35</v>
      </c>
      <c r="C1347" s="307" t="str">
        <f>("21")</f>
        <v>21</v>
      </c>
      <c r="D1347" s="307" t="s">
        <v>862</v>
      </c>
      <c r="E1347" s="307" t="s">
        <v>3578</v>
      </c>
      <c r="F1347" s="307" t="s">
        <v>3579</v>
      </c>
      <c r="G1347" s="307">
        <v>5</v>
      </c>
      <c r="H1347" s="307" t="s">
        <v>858</v>
      </c>
      <c r="I1347" s="307" t="str">
        <f>("1203120135")</f>
        <v>1203120135</v>
      </c>
    </row>
    <row r="1348" spans="1:9" ht="13.5">
      <c r="A1348" s="419" t="str">
        <f t="shared" si="21"/>
        <v>横瀬西ＦＣ．ＲｏｓａＣｌａｒｏ_1</v>
      </c>
      <c r="B1348" s="307" t="s">
        <v>285</v>
      </c>
      <c r="C1348" s="307" t="str">
        <f>("1")</f>
        <v>1</v>
      </c>
      <c r="D1348" s="307" t="s">
        <v>855</v>
      </c>
      <c r="E1348" s="307" t="s">
        <v>3580</v>
      </c>
      <c r="F1348" s="307" t="s">
        <v>3581</v>
      </c>
      <c r="G1348" s="307">
        <v>6</v>
      </c>
      <c r="H1348" s="307" t="s">
        <v>858</v>
      </c>
      <c r="I1348" s="307" t="str">
        <f>("1006300197")</f>
        <v>1006300197</v>
      </c>
    </row>
    <row r="1349" spans="1:9" ht="13.5">
      <c r="A1349" s="419" t="str">
        <f t="shared" si="21"/>
        <v>横瀬西ＦＣ．ＲｏｓａＣｌａｒｏ_2</v>
      </c>
      <c r="B1349" s="307" t="s">
        <v>285</v>
      </c>
      <c r="C1349" s="307" t="str">
        <f>("2")</f>
        <v>2</v>
      </c>
      <c r="D1349" s="307" t="s">
        <v>859</v>
      </c>
      <c r="E1349" s="307" t="s">
        <v>3582</v>
      </c>
      <c r="F1349" s="307" t="s">
        <v>3583</v>
      </c>
      <c r="G1349" s="307">
        <v>6</v>
      </c>
      <c r="H1349" s="307" t="s">
        <v>858</v>
      </c>
      <c r="I1349" s="307" t="str">
        <f>("1012260104")</f>
        <v>1012260104</v>
      </c>
    </row>
    <row r="1350" spans="1:9" ht="13.5">
      <c r="A1350" s="419" t="str">
        <f t="shared" si="21"/>
        <v>横瀬西ＦＣ．ＲｏｓａＣｌａｒｏ_3</v>
      </c>
      <c r="B1350" s="307" t="s">
        <v>285</v>
      </c>
      <c r="C1350" s="307" t="str">
        <f>("3")</f>
        <v>3</v>
      </c>
      <c r="D1350" s="307" t="s">
        <v>859</v>
      </c>
      <c r="E1350" s="307" t="s">
        <v>3584</v>
      </c>
      <c r="F1350" s="307" t="s">
        <v>3585</v>
      </c>
      <c r="G1350" s="307">
        <v>5</v>
      </c>
      <c r="H1350" s="307" t="s">
        <v>858</v>
      </c>
      <c r="I1350" s="307" t="str">
        <f>("1202020158")</f>
        <v>1202020158</v>
      </c>
    </row>
    <row r="1351" spans="1:9" ht="13.5">
      <c r="A1351" s="419" t="str">
        <f t="shared" si="21"/>
        <v>横瀬西ＦＣ．ＲｏｓａＣｌａｒｏ_4</v>
      </c>
      <c r="B1351" s="307" t="s">
        <v>285</v>
      </c>
      <c r="C1351" s="307" t="str">
        <f>("4")</f>
        <v>4</v>
      </c>
      <c r="D1351" s="307" t="s">
        <v>859</v>
      </c>
      <c r="E1351" s="307" t="s">
        <v>3586</v>
      </c>
      <c r="F1351" s="307" t="s">
        <v>3587</v>
      </c>
      <c r="G1351" s="307">
        <v>4</v>
      </c>
      <c r="H1351" s="307" t="s">
        <v>869</v>
      </c>
      <c r="I1351" s="307" t="str">
        <f>("1208080008")</f>
        <v>1208080008</v>
      </c>
    </row>
    <row r="1352" spans="1:10" ht="13.5">
      <c r="A1352" s="419" t="str">
        <f t="shared" si="21"/>
        <v>横瀬西ＦＣ．ＲｏｓａＣｌａｒｏ_5</v>
      </c>
      <c r="B1352" s="307" t="s">
        <v>285</v>
      </c>
      <c r="C1352" s="307" t="str">
        <f>("5")</f>
        <v>5</v>
      </c>
      <c r="D1352" s="307" t="s">
        <v>884</v>
      </c>
      <c r="E1352" s="307" t="s">
        <v>3588</v>
      </c>
      <c r="F1352" s="307" t="s">
        <v>3589</v>
      </c>
      <c r="G1352" s="307">
        <v>6</v>
      </c>
      <c r="H1352" s="307" t="s">
        <v>858</v>
      </c>
      <c r="I1352" s="307" t="str">
        <f>("1103220197")</f>
        <v>1103220197</v>
      </c>
      <c r="J1352" s="307" t="s">
        <v>15</v>
      </c>
    </row>
    <row r="1353" spans="1:9" ht="13.5">
      <c r="A1353" s="419" t="str">
        <f t="shared" si="21"/>
        <v>横瀬西ＦＣ．ＲｏｓａＣｌａｒｏ_6</v>
      </c>
      <c r="B1353" s="307" t="s">
        <v>285</v>
      </c>
      <c r="C1353" s="307" t="str">
        <f>("6")</f>
        <v>6</v>
      </c>
      <c r="D1353" s="307" t="s">
        <v>862</v>
      </c>
      <c r="E1353" s="307" t="s">
        <v>3590</v>
      </c>
      <c r="F1353" s="307" t="s">
        <v>3591</v>
      </c>
      <c r="G1353" s="307">
        <v>5</v>
      </c>
      <c r="H1353" s="307" t="s">
        <v>858</v>
      </c>
      <c r="I1353" s="307" t="str">
        <f>("1107070119")</f>
        <v>1107070119</v>
      </c>
    </row>
    <row r="1354" spans="1:9" ht="13.5">
      <c r="A1354" s="419" t="str">
        <f t="shared" si="21"/>
        <v>横瀬西ＦＣ．ＲｏｓａＣｌａｒｏ_7</v>
      </c>
      <c r="B1354" s="307" t="s">
        <v>285</v>
      </c>
      <c r="C1354" s="307" t="str">
        <f>("7")</f>
        <v>7</v>
      </c>
      <c r="D1354" s="307" t="s">
        <v>884</v>
      </c>
      <c r="E1354" s="307" t="s">
        <v>3592</v>
      </c>
      <c r="F1354" s="307" t="s">
        <v>3593</v>
      </c>
      <c r="G1354" s="307">
        <v>6</v>
      </c>
      <c r="H1354" s="307" t="s">
        <v>858</v>
      </c>
      <c r="I1354" s="307" t="str">
        <f>("1012250201")</f>
        <v>1012250201</v>
      </c>
    </row>
    <row r="1355" spans="1:9" ht="13.5">
      <c r="A1355" s="419" t="str">
        <f t="shared" si="21"/>
        <v>横瀬西ＦＣ．ＲｏｓａＣｌａｒｏ_8</v>
      </c>
      <c r="B1355" s="307" t="s">
        <v>285</v>
      </c>
      <c r="C1355" s="307" t="str">
        <f>("8")</f>
        <v>8</v>
      </c>
      <c r="D1355" s="307" t="s">
        <v>862</v>
      </c>
      <c r="E1355" s="307" t="s">
        <v>3594</v>
      </c>
      <c r="F1355" s="307" t="s">
        <v>3595</v>
      </c>
      <c r="G1355" s="307">
        <v>5</v>
      </c>
      <c r="H1355" s="307" t="s">
        <v>869</v>
      </c>
      <c r="I1355" s="307" t="str">
        <f>("1112260042")</f>
        <v>1112260042</v>
      </c>
    </row>
    <row r="1356" spans="1:9" ht="13.5">
      <c r="A1356" s="419" t="str">
        <f t="shared" si="21"/>
        <v>横瀬西ＦＣ．ＲｏｓａＣｌａｒｏ_9</v>
      </c>
      <c r="B1356" s="307" t="s">
        <v>285</v>
      </c>
      <c r="C1356" s="307" t="str">
        <f>("9")</f>
        <v>9</v>
      </c>
      <c r="D1356" s="307" t="s">
        <v>862</v>
      </c>
      <c r="E1356" s="307" t="s">
        <v>3596</v>
      </c>
      <c r="F1356" s="307" t="s">
        <v>3597</v>
      </c>
      <c r="G1356" s="307">
        <v>6</v>
      </c>
      <c r="H1356" s="307" t="s">
        <v>858</v>
      </c>
      <c r="I1356" s="307" t="str">
        <f>("1103130024")</f>
        <v>1103130024</v>
      </c>
    </row>
    <row r="1357" spans="1:9" ht="13.5">
      <c r="A1357" s="419" t="str">
        <f t="shared" si="21"/>
        <v>横瀬西ＦＣ．ＲｏｓａＣｌａｒｏ_11</v>
      </c>
      <c r="B1357" s="307" t="s">
        <v>285</v>
      </c>
      <c r="C1357" s="307" t="str">
        <f>("11")</f>
        <v>11</v>
      </c>
      <c r="D1357" s="307" t="s">
        <v>859</v>
      </c>
      <c r="E1357" s="307" t="s">
        <v>3598</v>
      </c>
      <c r="F1357" s="307" t="s">
        <v>3599</v>
      </c>
      <c r="G1357" s="307">
        <v>6</v>
      </c>
      <c r="H1357" s="307" t="s">
        <v>858</v>
      </c>
      <c r="I1357" s="307" t="str">
        <f>("1004290023")</f>
        <v>1004290023</v>
      </c>
    </row>
    <row r="1358" spans="1:9" ht="13.5">
      <c r="A1358" s="419" t="str">
        <f t="shared" si="21"/>
        <v>横瀬西ＦＣ．ＲｏｓａＣｌａｒｏ_12</v>
      </c>
      <c r="B1358" s="307" t="s">
        <v>285</v>
      </c>
      <c r="C1358" s="307" t="str">
        <f>("12")</f>
        <v>12</v>
      </c>
      <c r="D1358" s="307" t="s">
        <v>862</v>
      </c>
      <c r="E1358" s="307" t="s">
        <v>3600</v>
      </c>
      <c r="F1358" s="307" t="s">
        <v>3601</v>
      </c>
      <c r="G1358" s="307">
        <v>4</v>
      </c>
      <c r="H1358" s="307" t="s">
        <v>869</v>
      </c>
      <c r="I1358" s="307" t="str">
        <f>("1210030176")</f>
        <v>1210030176</v>
      </c>
    </row>
    <row r="1359" spans="1:9" ht="13.5">
      <c r="A1359" s="419" t="str">
        <f t="shared" si="21"/>
        <v>横瀬西ＦＣ．ＲｏｓａＣｌａｒｏ_13</v>
      </c>
      <c r="B1359" s="307" t="s">
        <v>285</v>
      </c>
      <c r="C1359" s="307" t="str">
        <f>("13")</f>
        <v>13</v>
      </c>
      <c r="D1359" s="307" t="s">
        <v>862</v>
      </c>
      <c r="E1359" s="307" t="s">
        <v>3602</v>
      </c>
      <c r="F1359" s="307" t="s">
        <v>3603</v>
      </c>
      <c r="G1359" s="307">
        <v>2</v>
      </c>
      <c r="H1359" s="307" t="s">
        <v>858</v>
      </c>
      <c r="I1359" s="307" t="str">
        <f>("1310100022")</f>
        <v>1310100022</v>
      </c>
    </row>
    <row r="1360" spans="1:9" ht="13.5">
      <c r="A1360" s="419" t="str">
        <f t="shared" si="21"/>
        <v>横瀬西ＦＣ．ＲｏｓａＣｌａｒｏ_14</v>
      </c>
      <c r="B1360" s="307" t="s">
        <v>285</v>
      </c>
      <c r="C1360" s="307" t="str">
        <f>("14")</f>
        <v>14</v>
      </c>
      <c r="D1360" s="307" t="s">
        <v>884</v>
      </c>
      <c r="E1360" s="307" t="s">
        <v>3604</v>
      </c>
      <c r="F1360" s="307" t="s">
        <v>3605</v>
      </c>
      <c r="G1360" s="307">
        <v>2</v>
      </c>
      <c r="H1360" s="307" t="s">
        <v>858</v>
      </c>
      <c r="I1360" s="307" t="str">
        <f>("1309130017")</f>
        <v>1309130017</v>
      </c>
    </row>
    <row r="1361" spans="1:9" ht="13.5">
      <c r="A1361" s="419" t="str">
        <f t="shared" si="21"/>
        <v>横瀬西ＦＣ．ＲｏｓａＣｌａｒｏ_15</v>
      </c>
      <c r="B1361" s="307" t="s">
        <v>285</v>
      </c>
      <c r="C1361" s="307" t="str">
        <f>("15")</f>
        <v>15</v>
      </c>
      <c r="D1361" s="307" t="s">
        <v>855</v>
      </c>
      <c r="E1361" s="307" t="s">
        <v>3606</v>
      </c>
      <c r="F1361" s="307" t="s">
        <v>3607</v>
      </c>
      <c r="G1361" s="307">
        <v>5</v>
      </c>
      <c r="H1361" s="307" t="s">
        <v>858</v>
      </c>
      <c r="I1361" s="307" t="str">
        <f>("1112110017")</f>
        <v>1112110017</v>
      </c>
    </row>
    <row r="1362" spans="1:9" ht="13.5">
      <c r="A1362" s="419" t="str">
        <f t="shared" si="21"/>
        <v>横瀬西ＦＣ．ＲｏｓａＣｌａｒｏ_16</v>
      </c>
      <c r="B1362" s="307" t="s">
        <v>285</v>
      </c>
      <c r="C1362" s="307" t="str">
        <f>("16")</f>
        <v>16</v>
      </c>
      <c r="D1362" s="307" t="s">
        <v>862</v>
      </c>
      <c r="E1362" s="307" t="s">
        <v>3608</v>
      </c>
      <c r="F1362" s="307" t="s">
        <v>3609</v>
      </c>
      <c r="G1362" s="307">
        <v>2</v>
      </c>
      <c r="H1362" s="307" t="s">
        <v>869</v>
      </c>
      <c r="I1362" s="307" t="str">
        <f>("1305150020")</f>
        <v>1305150020</v>
      </c>
    </row>
    <row r="1363" spans="1:9" ht="13.5">
      <c r="A1363" s="419" t="str">
        <f t="shared" si="21"/>
        <v>Ｍ．Ｓ．Ｓ_1</v>
      </c>
      <c r="B1363" s="307" t="s">
        <v>3610</v>
      </c>
      <c r="C1363" s="307" t="str">
        <f>("1")</f>
        <v>1</v>
      </c>
      <c r="D1363" s="307" t="s">
        <v>855</v>
      </c>
      <c r="E1363" s="307" t="s">
        <v>3611</v>
      </c>
      <c r="F1363" s="307" t="s">
        <v>3612</v>
      </c>
      <c r="G1363" s="307">
        <v>6</v>
      </c>
      <c r="H1363" s="307" t="s">
        <v>858</v>
      </c>
      <c r="I1363" s="307" t="str">
        <f>("1010180217")</f>
        <v>1010180217</v>
      </c>
    </row>
    <row r="1364" spans="1:9" ht="13.5">
      <c r="A1364" s="419" t="str">
        <f t="shared" si="21"/>
        <v>Ｍ．Ｓ．Ｓ_4</v>
      </c>
      <c r="B1364" s="307" t="s">
        <v>3610</v>
      </c>
      <c r="C1364" s="307" t="str">
        <f>("4")</f>
        <v>4</v>
      </c>
      <c r="D1364" s="307" t="s">
        <v>859</v>
      </c>
      <c r="E1364" s="307" t="s">
        <v>3613</v>
      </c>
      <c r="F1364" s="307" t="s">
        <v>3614</v>
      </c>
      <c r="G1364" s="307">
        <v>6</v>
      </c>
      <c r="H1364" s="307" t="s">
        <v>858</v>
      </c>
      <c r="I1364" s="307" t="str">
        <f>("1101310111")</f>
        <v>1101310111</v>
      </c>
    </row>
    <row r="1365" spans="1:9" ht="13.5">
      <c r="A1365" s="419" t="str">
        <f t="shared" si="21"/>
        <v>Ｍ．Ｓ．Ｓ_5</v>
      </c>
      <c r="B1365" s="307" t="s">
        <v>3610</v>
      </c>
      <c r="C1365" s="307" t="str">
        <f>("5")</f>
        <v>5</v>
      </c>
      <c r="D1365" s="307" t="s">
        <v>862</v>
      </c>
      <c r="E1365" s="307" t="s">
        <v>3615</v>
      </c>
      <c r="F1365" s="307" t="s">
        <v>3616</v>
      </c>
      <c r="G1365" s="307">
        <v>6</v>
      </c>
      <c r="H1365" s="307" t="s">
        <v>858</v>
      </c>
      <c r="I1365" s="307" t="str">
        <f>("1011010142")</f>
        <v>1011010142</v>
      </c>
    </row>
    <row r="1366" spans="1:9" ht="13.5">
      <c r="A1366" s="419" t="str">
        <f t="shared" si="21"/>
        <v>Ｍ．Ｓ．Ｓ_6</v>
      </c>
      <c r="B1366" s="307" t="s">
        <v>3610</v>
      </c>
      <c r="C1366" s="307" t="str">
        <f>("6")</f>
        <v>6</v>
      </c>
      <c r="D1366" s="307" t="s">
        <v>859</v>
      </c>
      <c r="E1366" s="307" t="s">
        <v>3617</v>
      </c>
      <c r="F1366" s="307" t="s">
        <v>3618</v>
      </c>
      <c r="G1366" s="307">
        <v>6</v>
      </c>
      <c r="H1366" s="307" t="s">
        <v>858</v>
      </c>
      <c r="I1366" s="307" t="str">
        <f>("1008240192")</f>
        <v>1008240192</v>
      </c>
    </row>
    <row r="1367" spans="1:10" ht="13.5">
      <c r="A1367" s="419" t="str">
        <f t="shared" si="21"/>
        <v>Ｍ．Ｓ．Ｓ_7</v>
      </c>
      <c r="B1367" s="307" t="s">
        <v>3610</v>
      </c>
      <c r="C1367" s="307" t="str">
        <f>("7")</f>
        <v>7</v>
      </c>
      <c r="D1367" s="307" t="s">
        <v>862</v>
      </c>
      <c r="E1367" s="307" t="s">
        <v>3619</v>
      </c>
      <c r="F1367" s="307" t="s">
        <v>3620</v>
      </c>
      <c r="G1367" s="307">
        <v>6</v>
      </c>
      <c r="H1367" s="307" t="s">
        <v>858</v>
      </c>
      <c r="I1367" s="307" t="str">
        <f>("1006170004")</f>
        <v>1006170004</v>
      </c>
      <c r="J1367" s="307" t="s">
        <v>15</v>
      </c>
    </row>
    <row r="1368" spans="1:9" ht="13.5">
      <c r="A1368" s="419" t="str">
        <f t="shared" si="21"/>
        <v>Ｍ．Ｓ．Ｓ_8</v>
      </c>
      <c r="B1368" s="307" t="s">
        <v>3610</v>
      </c>
      <c r="C1368" s="307" t="str">
        <f>("8")</f>
        <v>8</v>
      </c>
      <c r="D1368" s="307" t="s">
        <v>862</v>
      </c>
      <c r="E1368" s="307" t="s">
        <v>3621</v>
      </c>
      <c r="F1368" s="307" t="s">
        <v>1201</v>
      </c>
      <c r="G1368" s="307">
        <v>5</v>
      </c>
      <c r="H1368" s="307" t="s">
        <v>858</v>
      </c>
      <c r="I1368" s="307" t="str">
        <f>("1112190103")</f>
        <v>1112190103</v>
      </c>
    </row>
    <row r="1369" spans="1:9" ht="13.5">
      <c r="A1369" s="419" t="str">
        <f t="shared" si="21"/>
        <v>Ｍ．Ｓ．Ｓ_9</v>
      </c>
      <c r="B1369" s="307" t="s">
        <v>3610</v>
      </c>
      <c r="C1369" s="307" t="str">
        <f>("9")</f>
        <v>9</v>
      </c>
      <c r="D1369" s="307" t="s">
        <v>884</v>
      </c>
      <c r="E1369" s="307" t="s">
        <v>3622</v>
      </c>
      <c r="F1369" s="307" t="s">
        <v>3623</v>
      </c>
      <c r="G1369" s="307">
        <v>6</v>
      </c>
      <c r="H1369" s="307" t="s">
        <v>858</v>
      </c>
      <c r="I1369" s="307" t="str">
        <f>("1009300049")</f>
        <v>1009300049</v>
      </c>
    </row>
    <row r="1370" spans="1:9" ht="13.5">
      <c r="A1370" s="419" t="str">
        <f t="shared" si="21"/>
        <v>Ｍ．Ｓ．Ｓ_10</v>
      </c>
      <c r="B1370" s="307" t="s">
        <v>3610</v>
      </c>
      <c r="C1370" s="307" t="str">
        <f>("10")</f>
        <v>10</v>
      </c>
      <c r="D1370" s="307" t="s">
        <v>884</v>
      </c>
      <c r="E1370" s="307" t="s">
        <v>3624</v>
      </c>
      <c r="F1370" s="307" t="s">
        <v>1999</v>
      </c>
      <c r="G1370" s="307">
        <v>4</v>
      </c>
      <c r="H1370" s="307" t="s">
        <v>858</v>
      </c>
      <c r="I1370" s="307" t="str">
        <f>("1207210050")</f>
        <v>1207210050</v>
      </c>
    </row>
    <row r="1371" spans="1:9" ht="13.5">
      <c r="A1371" s="419" t="str">
        <f t="shared" si="21"/>
        <v>Ｍ．Ｓ．Ｓ_11</v>
      </c>
      <c r="B1371" s="307" t="s">
        <v>3610</v>
      </c>
      <c r="C1371" s="307" t="str">
        <f>("11")</f>
        <v>11</v>
      </c>
      <c r="D1371" s="307" t="s">
        <v>884</v>
      </c>
      <c r="E1371" s="307" t="s">
        <v>3625</v>
      </c>
      <c r="F1371" s="307" t="s">
        <v>3626</v>
      </c>
      <c r="G1371" s="307">
        <v>4</v>
      </c>
      <c r="H1371" s="307" t="s">
        <v>858</v>
      </c>
      <c r="I1371" s="307" t="str">
        <f>("1211030005")</f>
        <v>1211030005</v>
      </c>
    </row>
    <row r="1372" spans="1:9" ht="13.5">
      <c r="A1372" s="419" t="str">
        <f t="shared" si="21"/>
        <v>Ｍ．Ｓ．Ｓ_12</v>
      </c>
      <c r="B1372" s="307" t="s">
        <v>3610</v>
      </c>
      <c r="C1372" s="307" t="str">
        <f>("12")</f>
        <v>12</v>
      </c>
      <c r="D1372" s="307" t="s">
        <v>859</v>
      </c>
      <c r="E1372" s="307" t="s">
        <v>3627</v>
      </c>
      <c r="F1372" s="307" t="s">
        <v>3628</v>
      </c>
      <c r="G1372" s="307">
        <v>6</v>
      </c>
      <c r="H1372" s="307" t="s">
        <v>858</v>
      </c>
      <c r="I1372" s="307" t="str">
        <f>("1007270207")</f>
        <v>1007270207</v>
      </c>
    </row>
    <row r="1373" spans="1:9" ht="13.5">
      <c r="A1373" s="419" t="str">
        <f t="shared" si="21"/>
        <v>Ｍ．Ｓ．Ｓ_13</v>
      </c>
      <c r="B1373" s="307" t="s">
        <v>3610</v>
      </c>
      <c r="C1373" s="307" t="str">
        <f>("13")</f>
        <v>13</v>
      </c>
      <c r="D1373" s="307" t="s">
        <v>862</v>
      </c>
      <c r="E1373" s="307" t="s">
        <v>3629</v>
      </c>
      <c r="F1373" s="307" t="s">
        <v>3630</v>
      </c>
      <c r="G1373" s="307">
        <v>5</v>
      </c>
      <c r="H1373" s="307" t="s">
        <v>858</v>
      </c>
      <c r="I1373" s="307" t="str">
        <f>("1111160139")</f>
        <v>1111160139</v>
      </c>
    </row>
    <row r="1374" spans="1:9" ht="13.5">
      <c r="A1374" s="419" t="str">
        <f t="shared" si="21"/>
        <v>Ｍ．Ｓ．Ｓ_14</v>
      </c>
      <c r="B1374" s="307" t="s">
        <v>3610</v>
      </c>
      <c r="C1374" s="307" t="str">
        <f>("14")</f>
        <v>14</v>
      </c>
      <c r="D1374" s="307" t="s">
        <v>862</v>
      </c>
      <c r="E1374" s="307" t="s">
        <v>3631</v>
      </c>
      <c r="F1374" s="307" t="s">
        <v>3632</v>
      </c>
      <c r="G1374" s="307">
        <v>5</v>
      </c>
      <c r="H1374" s="307" t="s">
        <v>858</v>
      </c>
      <c r="I1374" s="307" t="str">
        <f>("1110090102")</f>
        <v>1110090102</v>
      </c>
    </row>
    <row r="1375" spans="1:9" ht="13.5">
      <c r="A1375" s="419" t="str">
        <f t="shared" si="21"/>
        <v>Ｍ．Ｓ．Ｓ_15</v>
      </c>
      <c r="B1375" s="307" t="s">
        <v>3610</v>
      </c>
      <c r="C1375" s="307" t="str">
        <f>("15")</f>
        <v>15</v>
      </c>
      <c r="D1375" s="307" t="s">
        <v>862</v>
      </c>
      <c r="E1375" s="307" t="s">
        <v>3633</v>
      </c>
      <c r="F1375" s="307" t="s">
        <v>3634</v>
      </c>
      <c r="G1375" s="307">
        <v>5</v>
      </c>
      <c r="H1375" s="307" t="s">
        <v>858</v>
      </c>
      <c r="I1375" s="307" t="str">
        <f>("1112190087")</f>
        <v>1112190087</v>
      </c>
    </row>
    <row r="1376" spans="1:9" ht="13.5">
      <c r="A1376" s="419" t="str">
        <f t="shared" si="21"/>
        <v>Ｍ．Ｓ．Ｓ_16</v>
      </c>
      <c r="B1376" s="307" t="s">
        <v>3610</v>
      </c>
      <c r="C1376" s="307" t="str">
        <f>("16")</f>
        <v>16</v>
      </c>
      <c r="D1376" s="307" t="s">
        <v>855</v>
      </c>
      <c r="E1376" s="307" t="s">
        <v>3635</v>
      </c>
      <c r="F1376" s="307" t="s">
        <v>3636</v>
      </c>
      <c r="G1376" s="307">
        <v>5</v>
      </c>
      <c r="H1376" s="307" t="s">
        <v>858</v>
      </c>
      <c r="I1376" s="307" t="str">
        <f>("1107180006")</f>
        <v>1107180006</v>
      </c>
    </row>
    <row r="1377" spans="1:9" ht="13.5">
      <c r="A1377" s="419" t="str">
        <f t="shared" si="21"/>
        <v>Ｍ．Ｓ．Ｓ_17</v>
      </c>
      <c r="B1377" s="307" t="s">
        <v>3610</v>
      </c>
      <c r="C1377" s="307" t="str">
        <f>("17")</f>
        <v>17</v>
      </c>
      <c r="D1377" s="307" t="s">
        <v>859</v>
      </c>
      <c r="E1377" s="307" t="s">
        <v>3637</v>
      </c>
      <c r="F1377" s="307" t="s">
        <v>3638</v>
      </c>
      <c r="G1377" s="307">
        <v>6</v>
      </c>
      <c r="H1377" s="307" t="s">
        <v>858</v>
      </c>
      <c r="I1377" s="307" t="str">
        <f>("1005290184")</f>
        <v>1005290184</v>
      </c>
    </row>
    <row r="1378" spans="1:9" ht="13.5">
      <c r="A1378" s="419" t="str">
        <f t="shared" si="21"/>
        <v>Ｍ．Ｓ．Ｓ_18</v>
      </c>
      <c r="B1378" s="307" t="s">
        <v>3610</v>
      </c>
      <c r="C1378" s="307" t="str">
        <f>("18")</f>
        <v>18</v>
      </c>
      <c r="D1378" s="307" t="s">
        <v>859</v>
      </c>
      <c r="E1378" s="307" t="s">
        <v>3639</v>
      </c>
      <c r="F1378" s="307" t="s">
        <v>3640</v>
      </c>
      <c r="G1378" s="307">
        <v>5</v>
      </c>
      <c r="H1378" s="307" t="s">
        <v>858</v>
      </c>
      <c r="I1378" s="307" t="str">
        <f>("1109170127")</f>
        <v>1109170127</v>
      </c>
    </row>
    <row r="1379" spans="1:9" ht="13.5">
      <c r="A1379" s="419" t="str">
        <f t="shared" si="21"/>
        <v>リノスフットボールクラブ　Ｕ－１２_11</v>
      </c>
      <c r="B1379" s="307" t="s">
        <v>14</v>
      </c>
      <c r="C1379" s="307" t="str">
        <f>("11")</f>
        <v>11</v>
      </c>
      <c r="D1379" s="307" t="s">
        <v>884</v>
      </c>
      <c r="E1379" s="307" t="s">
        <v>3641</v>
      </c>
      <c r="F1379" s="307" t="s">
        <v>3642</v>
      </c>
      <c r="G1379" s="307">
        <v>5</v>
      </c>
      <c r="H1379" s="307" t="s">
        <v>858</v>
      </c>
      <c r="I1379" s="307" t="str">
        <f>("1107200099")</f>
        <v>1107200099</v>
      </c>
    </row>
    <row r="1380" spans="1:9" ht="13.5">
      <c r="A1380" s="419" t="str">
        <f t="shared" si="21"/>
        <v>リノスフットボールクラブ　Ｕ－１２_20</v>
      </c>
      <c r="B1380" s="307" t="s">
        <v>14</v>
      </c>
      <c r="C1380" s="307" t="str">
        <f>("20")</f>
        <v>20</v>
      </c>
      <c r="D1380" s="307" t="s">
        <v>862</v>
      </c>
      <c r="E1380" s="307" t="s">
        <v>3643</v>
      </c>
      <c r="F1380" s="307" t="s">
        <v>3644</v>
      </c>
      <c r="G1380" s="307">
        <v>6</v>
      </c>
      <c r="H1380" s="307" t="s">
        <v>858</v>
      </c>
      <c r="I1380" s="307" t="str">
        <f>("1004130088")</f>
        <v>1004130088</v>
      </c>
    </row>
    <row r="1381" spans="1:10" ht="13.5">
      <c r="A1381" s="419" t="str">
        <f t="shared" si="21"/>
        <v>リノスフットボールクラブ　Ｕ－１２_23</v>
      </c>
      <c r="B1381" s="307" t="s">
        <v>14</v>
      </c>
      <c r="C1381" s="307" t="str">
        <f>("23")</f>
        <v>23</v>
      </c>
      <c r="D1381" s="307" t="s">
        <v>862</v>
      </c>
      <c r="E1381" s="307" t="s">
        <v>3645</v>
      </c>
      <c r="F1381" s="307" t="s">
        <v>3646</v>
      </c>
      <c r="G1381" s="307">
        <v>6</v>
      </c>
      <c r="H1381" s="307" t="s">
        <v>858</v>
      </c>
      <c r="I1381" s="307" t="str">
        <f>("1007120030")</f>
        <v>1007120030</v>
      </c>
      <c r="J1381" s="307" t="s">
        <v>15</v>
      </c>
    </row>
    <row r="1382" spans="1:9" ht="13.5">
      <c r="A1382" s="419" t="str">
        <f t="shared" si="21"/>
        <v>リノスフットボールクラブ　Ｕ－１２_25</v>
      </c>
      <c r="B1382" s="307" t="s">
        <v>14</v>
      </c>
      <c r="C1382" s="307" t="str">
        <f>("25")</f>
        <v>25</v>
      </c>
      <c r="D1382" s="307" t="s">
        <v>859</v>
      </c>
      <c r="E1382" s="307" t="s">
        <v>3647</v>
      </c>
      <c r="F1382" s="307" t="s">
        <v>3648</v>
      </c>
      <c r="G1382" s="307">
        <v>5</v>
      </c>
      <c r="H1382" s="307" t="s">
        <v>858</v>
      </c>
      <c r="I1382" s="307" t="str">
        <f>("1110110145")</f>
        <v>1110110145</v>
      </c>
    </row>
    <row r="1383" spans="1:9" ht="13.5">
      <c r="A1383" s="419" t="str">
        <f t="shared" si="21"/>
        <v>リノスフットボールクラブ　Ｕ－１２_26</v>
      </c>
      <c r="B1383" s="307" t="s">
        <v>14</v>
      </c>
      <c r="C1383" s="307" t="str">
        <f>("26")</f>
        <v>26</v>
      </c>
      <c r="D1383" s="307" t="s">
        <v>859</v>
      </c>
      <c r="E1383" s="307" t="s">
        <v>3649</v>
      </c>
      <c r="F1383" s="307" t="s">
        <v>2706</v>
      </c>
      <c r="G1383" s="307">
        <v>5</v>
      </c>
      <c r="H1383" s="307" t="s">
        <v>858</v>
      </c>
      <c r="I1383" s="307" t="str">
        <f>("1108280129")</f>
        <v>1108280129</v>
      </c>
    </row>
    <row r="1384" spans="1:9" ht="13.5">
      <c r="A1384" s="419" t="str">
        <f t="shared" si="21"/>
        <v>リノスフットボールクラブ　Ｕ－１２_29</v>
      </c>
      <c r="B1384" s="307" t="s">
        <v>14</v>
      </c>
      <c r="C1384" s="307" t="str">
        <f>("29")</f>
        <v>29</v>
      </c>
      <c r="D1384" s="307" t="s">
        <v>855</v>
      </c>
      <c r="E1384" s="307" t="s">
        <v>3650</v>
      </c>
      <c r="F1384" s="307" t="s">
        <v>3651</v>
      </c>
      <c r="G1384" s="307">
        <v>6</v>
      </c>
      <c r="H1384" s="307" t="s">
        <v>858</v>
      </c>
      <c r="I1384" s="307" t="str">
        <f>("1102140195")</f>
        <v>1102140195</v>
      </c>
    </row>
    <row r="1385" spans="1:9" ht="13.5">
      <c r="A1385" s="419" t="str">
        <f t="shared" si="21"/>
        <v>リノスフットボールクラブ　Ｕ－１２_32</v>
      </c>
      <c r="B1385" s="307" t="s">
        <v>14</v>
      </c>
      <c r="C1385" s="307" t="str">
        <f>("32")</f>
        <v>32</v>
      </c>
      <c r="D1385" s="307" t="s">
        <v>884</v>
      </c>
      <c r="E1385" s="307" t="s">
        <v>3652</v>
      </c>
      <c r="F1385" s="307" t="s">
        <v>3653</v>
      </c>
      <c r="G1385" s="307">
        <v>4</v>
      </c>
      <c r="H1385" s="307" t="s">
        <v>858</v>
      </c>
      <c r="I1385" s="307" t="str">
        <f>("1207010033")</f>
        <v>1207010033</v>
      </c>
    </row>
    <row r="1386" spans="1:9" ht="13.5">
      <c r="A1386" s="419" t="str">
        <f t="shared" si="21"/>
        <v>リノスフットボールクラブ　Ｕ－１２_33</v>
      </c>
      <c r="B1386" s="307" t="s">
        <v>14</v>
      </c>
      <c r="C1386" s="307" t="str">
        <f>("33")</f>
        <v>33</v>
      </c>
      <c r="D1386" s="307" t="s">
        <v>884</v>
      </c>
      <c r="E1386" s="307" t="s">
        <v>3654</v>
      </c>
      <c r="F1386" s="307" t="s">
        <v>3655</v>
      </c>
      <c r="G1386" s="307">
        <v>6</v>
      </c>
      <c r="H1386" s="307" t="s">
        <v>858</v>
      </c>
      <c r="I1386" s="307" t="str">
        <f>("1102080103")</f>
        <v>1102080103</v>
      </c>
    </row>
    <row r="1387" spans="1:9" ht="13.5">
      <c r="A1387" s="419" t="str">
        <f t="shared" si="21"/>
        <v>リノスフットボールクラブ　Ｕ－１２_35</v>
      </c>
      <c r="B1387" s="307" t="s">
        <v>14</v>
      </c>
      <c r="C1387" s="307" t="str">
        <f>("35")</f>
        <v>35</v>
      </c>
      <c r="D1387" s="307" t="s">
        <v>859</v>
      </c>
      <c r="E1387" s="307" t="s">
        <v>3656</v>
      </c>
      <c r="F1387" s="307" t="s">
        <v>3657</v>
      </c>
      <c r="G1387" s="307">
        <v>6</v>
      </c>
      <c r="H1387" s="307" t="s">
        <v>869</v>
      </c>
      <c r="I1387" s="307" t="str">
        <f>("1005210032")</f>
        <v>1005210032</v>
      </c>
    </row>
    <row r="1388" spans="1:9" ht="13.5">
      <c r="A1388" s="419" t="str">
        <f t="shared" si="21"/>
        <v>リノスフットボールクラブ　Ｕ－１２_40</v>
      </c>
      <c r="B1388" s="307" t="s">
        <v>14</v>
      </c>
      <c r="C1388" s="307" t="str">
        <f>("40")</f>
        <v>40</v>
      </c>
      <c r="D1388" s="307" t="s">
        <v>859</v>
      </c>
      <c r="E1388" s="307" t="s">
        <v>3658</v>
      </c>
      <c r="F1388" s="307" t="s">
        <v>3659</v>
      </c>
      <c r="G1388" s="307">
        <v>5</v>
      </c>
      <c r="H1388" s="307" t="s">
        <v>858</v>
      </c>
      <c r="I1388" s="307" t="str">
        <f>("1111220099")</f>
        <v>1111220099</v>
      </c>
    </row>
    <row r="1389" spans="1:9" ht="13.5">
      <c r="A1389" s="419" t="str">
        <f t="shared" si="21"/>
        <v>リノスフットボールクラブ　Ｕ－１２_43</v>
      </c>
      <c r="B1389" s="307" t="s">
        <v>14</v>
      </c>
      <c r="C1389" s="307" t="str">
        <f>("43")</f>
        <v>43</v>
      </c>
      <c r="D1389" s="307" t="s">
        <v>884</v>
      </c>
      <c r="E1389" s="307" t="s">
        <v>3660</v>
      </c>
      <c r="F1389" s="307" t="s">
        <v>3661</v>
      </c>
      <c r="G1389" s="307">
        <v>6</v>
      </c>
      <c r="H1389" s="307" t="s">
        <v>858</v>
      </c>
      <c r="I1389" s="307" t="str">
        <f>("1004190058")</f>
        <v>1004190058</v>
      </c>
    </row>
    <row r="1390" spans="1:9" ht="13.5">
      <c r="A1390" s="419" t="str">
        <f t="shared" si="21"/>
        <v>リノスフットボールクラブ　Ｕ－１２_46</v>
      </c>
      <c r="B1390" s="307" t="s">
        <v>14</v>
      </c>
      <c r="C1390" s="307" t="str">
        <f>("46")</f>
        <v>46</v>
      </c>
      <c r="D1390" s="307" t="s">
        <v>884</v>
      </c>
      <c r="E1390" s="307" t="s">
        <v>3662</v>
      </c>
      <c r="F1390" s="307" t="s">
        <v>3663</v>
      </c>
      <c r="G1390" s="307">
        <v>5</v>
      </c>
      <c r="H1390" s="307" t="s">
        <v>858</v>
      </c>
      <c r="I1390" s="307" t="str">
        <f>("1201240134")</f>
        <v>1201240134</v>
      </c>
    </row>
    <row r="1391" spans="1:9" ht="13.5">
      <c r="A1391" s="419" t="str">
        <f t="shared" si="21"/>
        <v>リノスフットボールクラブ　Ｕ－１２_48</v>
      </c>
      <c r="B1391" s="307" t="s">
        <v>14</v>
      </c>
      <c r="C1391" s="307" t="str">
        <f>("48")</f>
        <v>48</v>
      </c>
      <c r="D1391" s="307" t="s">
        <v>862</v>
      </c>
      <c r="E1391" s="307" t="s">
        <v>3664</v>
      </c>
      <c r="F1391" s="307" t="s">
        <v>3665</v>
      </c>
      <c r="G1391" s="307">
        <v>5</v>
      </c>
      <c r="H1391" s="307" t="s">
        <v>858</v>
      </c>
      <c r="I1391" s="307" t="str">
        <f>("1104050121")</f>
        <v>1104050121</v>
      </c>
    </row>
    <row r="1392" spans="1:9" ht="13.5">
      <c r="A1392" s="419" t="str">
        <f t="shared" si="21"/>
        <v>リノスフットボールクラブ　Ｕ－１２_51</v>
      </c>
      <c r="B1392" s="307" t="s">
        <v>14</v>
      </c>
      <c r="C1392" s="307" t="str">
        <f>("51")</f>
        <v>51</v>
      </c>
      <c r="D1392" s="307" t="s">
        <v>859</v>
      </c>
      <c r="E1392" s="307" t="s">
        <v>3666</v>
      </c>
      <c r="F1392" s="307" t="s">
        <v>3667</v>
      </c>
      <c r="G1392" s="307">
        <v>6</v>
      </c>
      <c r="H1392" s="307" t="s">
        <v>858</v>
      </c>
      <c r="I1392" s="307" t="str">
        <f>("1009150183")</f>
        <v>1009150183</v>
      </c>
    </row>
    <row r="1393" spans="1:9" ht="13.5">
      <c r="A1393" s="419" t="str">
        <f t="shared" si="21"/>
        <v>リノスフットボールクラブ　Ｕ－１２_52</v>
      </c>
      <c r="B1393" s="307" t="s">
        <v>14</v>
      </c>
      <c r="C1393" s="307" t="str">
        <f>("52")</f>
        <v>52</v>
      </c>
      <c r="D1393" s="307" t="s">
        <v>859</v>
      </c>
      <c r="E1393" s="307" t="s">
        <v>3668</v>
      </c>
      <c r="F1393" s="307" t="s">
        <v>3669</v>
      </c>
      <c r="G1393" s="307">
        <v>4</v>
      </c>
      <c r="H1393" s="307" t="s">
        <v>858</v>
      </c>
      <c r="I1393" s="307" t="str">
        <f>("1205060043")</f>
        <v>1205060043</v>
      </c>
    </row>
    <row r="1394" spans="1:9" ht="13.5">
      <c r="A1394" s="419" t="str">
        <f t="shared" si="21"/>
        <v>リノスフットボールクラブ　Ｕ－１２_53</v>
      </c>
      <c r="B1394" s="307" t="s">
        <v>14</v>
      </c>
      <c r="C1394" s="307" t="str">
        <f>("53")</f>
        <v>53</v>
      </c>
      <c r="D1394" s="307" t="s">
        <v>859</v>
      </c>
      <c r="E1394" s="307" t="s">
        <v>3670</v>
      </c>
      <c r="F1394" s="307" t="s">
        <v>3671</v>
      </c>
      <c r="G1394" s="307">
        <v>5</v>
      </c>
      <c r="H1394" s="307" t="s">
        <v>858</v>
      </c>
      <c r="I1394" s="307" t="str">
        <f>("1110120109")</f>
        <v>1110120109</v>
      </c>
    </row>
    <row r="1395" spans="1:9" ht="13.5">
      <c r="A1395" s="419" t="str">
        <f t="shared" si="21"/>
        <v>朝日ＦＣ_1</v>
      </c>
      <c r="B1395" s="307" t="s">
        <v>3672</v>
      </c>
      <c r="C1395" s="307" t="str">
        <f>("1")</f>
        <v>1</v>
      </c>
      <c r="D1395" s="307" t="s">
        <v>855</v>
      </c>
      <c r="E1395" s="307" t="s">
        <v>3673</v>
      </c>
      <c r="F1395" s="307" t="s">
        <v>3674</v>
      </c>
      <c r="G1395" s="307">
        <v>6</v>
      </c>
      <c r="H1395" s="307" t="s">
        <v>858</v>
      </c>
      <c r="I1395" s="307" t="str">
        <f>("1101120094")</f>
        <v>1101120094</v>
      </c>
    </row>
    <row r="1396" spans="1:9" ht="13.5">
      <c r="A1396" s="419" t="str">
        <f t="shared" si="21"/>
        <v>朝日ＦＣ_2</v>
      </c>
      <c r="B1396" s="307" t="s">
        <v>3672</v>
      </c>
      <c r="C1396" s="307" t="str">
        <f>("2")</f>
        <v>2</v>
      </c>
      <c r="D1396" s="307" t="s">
        <v>862</v>
      </c>
      <c r="E1396" s="307" t="s">
        <v>3675</v>
      </c>
      <c r="F1396" s="307" t="s">
        <v>3676</v>
      </c>
      <c r="G1396" s="307">
        <v>6</v>
      </c>
      <c r="H1396" s="307" t="s">
        <v>869</v>
      </c>
      <c r="I1396" s="307" t="str">
        <f>("1007200191")</f>
        <v>1007200191</v>
      </c>
    </row>
    <row r="1397" spans="1:9" ht="13.5">
      <c r="A1397" s="419" t="str">
        <f t="shared" si="21"/>
        <v>朝日ＦＣ_3</v>
      </c>
      <c r="B1397" s="307" t="s">
        <v>3672</v>
      </c>
      <c r="C1397" s="307" t="str">
        <f>("3")</f>
        <v>3</v>
      </c>
      <c r="D1397" s="307" t="s">
        <v>862</v>
      </c>
      <c r="E1397" s="307" t="s">
        <v>3677</v>
      </c>
      <c r="F1397" s="307" t="s">
        <v>3678</v>
      </c>
      <c r="G1397" s="307">
        <v>6</v>
      </c>
      <c r="H1397" s="307" t="s">
        <v>858</v>
      </c>
      <c r="I1397" s="307" t="str">
        <f>("1011040259")</f>
        <v>1011040259</v>
      </c>
    </row>
    <row r="1398" spans="1:9" ht="13.5">
      <c r="A1398" s="419" t="str">
        <f t="shared" si="21"/>
        <v>朝日ＦＣ_4</v>
      </c>
      <c r="B1398" s="307" t="s">
        <v>3672</v>
      </c>
      <c r="C1398" s="307" t="str">
        <f>("4")</f>
        <v>4</v>
      </c>
      <c r="D1398" s="307" t="s">
        <v>859</v>
      </c>
      <c r="E1398" s="307" t="s">
        <v>3679</v>
      </c>
      <c r="F1398" s="307" t="s">
        <v>3680</v>
      </c>
      <c r="G1398" s="307">
        <v>5</v>
      </c>
      <c r="H1398" s="307" t="s">
        <v>858</v>
      </c>
      <c r="I1398" s="307" t="str">
        <f>("1106200111")</f>
        <v>1106200111</v>
      </c>
    </row>
    <row r="1399" spans="1:9" ht="13.5">
      <c r="A1399" s="419" t="str">
        <f t="shared" si="21"/>
        <v>朝日ＦＣ_6</v>
      </c>
      <c r="B1399" s="307" t="s">
        <v>3672</v>
      </c>
      <c r="C1399" s="307" t="str">
        <f>("6")</f>
        <v>6</v>
      </c>
      <c r="D1399" s="307" t="s">
        <v>862</v>
      </c>
      <c r="E1399" s="307" t="s">
        <v>3681</v>
      </c>
      <c r="F1399" s="307" t="s">
        <v>3682</v>
      </c>
      <c r="G1399" s="307">
        <v>5</v>
      </c>
      <c r="H1399" s="307" t="s">
        <v>858</v>
      </c>
      <c r="I1399" s="307" t="str">
        <f>("1202110074")</f>
        <v>1202110074</v>
      </c>
    </row>
    <row r="1400" spans="1:9" ht="13.5">
      <c r="A1400" s="419" t="str">
        <f t="shared" si="21"/>
        <v>朝日ＦＣ_7</v>
      </c>
      <c r="B1400" s="307" t="s">
        <v>3672</v>
      </c>
      <c r="C1400" s="307" t="str">
        <f>("7")</f>
        <v>7</v>
      </c>
      <c r="D1400" s="307" t="s">
        <v>859</v>
      </c>
      <c r="E1400" s="307" t="s">
        <v>3683</v>
      </c>
      <c r="F1400" s="307" t="s">
        <v>3684</v>
      </c>
      <c r="G1400" s="307">
        <v>6</v>
      </c>
      <c r="H1400" s="307" t="s">
        <v>858</v>
      </c>
      <c r="I1400" s="307" t="str">
        <f>("1004220111")</f>
        <v>1004220111</v>
      </c>
    </row>
    <row r="1401" spans="1:9" ht="13.5">
      <c r="A1401" s="419" t="str">
        <f t="shared" si="21"/>
        <v>朝日ＦＣ_8</v>
      </c>
      <c r="B1401" s="307" t="s">
        <v>3672</v>
      </c>
      <c r="C1401" s="307" t="str">
        <f>("8")</f>
        <v>8</v>
      </c>
      <c r="D1401" s="307" t="s">
        <v>862</v>
      </c>
      <c r="E1401" s="307" t="s">
        <v>3685</v>
      </c>
      <c r="F1401" s="307" t="s">
        <v>3686</v>
      </c>
      <c r="G1401" s="307">
        <v>5</v>
      </c>
      <c r="H1401" s="307" t="s">
        <v>869</v>
      </c>
      <c r="I1401" s="307" t="str">
        <f>("1109080133")</f>
        <v>1109080133</v>
      </c>
    </row>
    <row r="1402" spans="1:10" ht="13.5">
      <c r="A1402" s="419" t="str">
        <f t="shared" si="21"/>
        <v>朝日ＦＣ_10</v>
      </c>
      <c r="B1402" s="307" t="s">
        <v>3672</v>
      </c>
      <c r="C1402" s="307" t="str">
        <f>("10")</f>
        <v>10</v>
      </c>
      <c r="D1402" s="307" t="s">
        <v>884</v>
      </c>
      <c r="E1402" s="307" t="s">
        <v>3687</v>
      </c>
      <c r="F1402" s="307" t="s">
        <v>3688</v>
      </c>
      <c r="G1402" s="307">
        <v>6</v>
      </c>
      <c r="H1402" s="307" t="s">
        <v>858</v>
      </c>
      <c r="I1402" s="307" t="str">
        <f>("1010020093")</f>
        <v>1010020093</v>
      </c>
      <c r="J1402" s="307" t="s">
        <v>15</v>
      </c>
    </row>
    <row r="1403" spans="1:9" ht="13.5">
      <c r="A1403" s="419" t="str">
        <f t="shared" si="21"/>
        <v>朝日ＦＣ_11</v>
      </c>
      <c r="B1403" s="307" t="s">
        <v>3672</v>
      </c>
      <c r="C1403" s="307" t="str">
        <f>("11")</f>
        <v>11</v>
      </c>
      <c r="D1403" s="307" t="s">
        <v>862</v>
      </c>
      <c r="E1403" s="307" t="s">
        <v>3689</v>
      </c>
      <c r="F1403" s="307" t="s">
        <v>3690</v>
      </c>
      <c r="G1403" s="307">
        <v>6</v>
      </c>
      <c r="H1403" s="307" t="s">
        <v>858</v>
      </c>
      <c r="I1403" s="307" t="str">
        <f>("1007200103")</f>
        <v>1007200103</v>
      </c>
    </row>
    <row r="1404" spans="1:9" ht="13.5">
      <c r="A1404" s="419" t="str">
        <f t="shared" si="21"/>
        <v>朝日ＦＣ_12</v>
      </c>
      <c r="B1404" s="307" t="s">
        <v>3672</v>
      </c>
      <c r="C1404" s="307" t="str">
        <f>("12")</f>
        <v>12</v>
      </c>
      <c r="D1404" s="307" t="s">
        <v>884</v>
      </c>
      <c r="E1404" s="307" t="s">
        <v>3691</v>
      </c>
      <c r="F1404" s="307" t="s">
        <v>3692</v>
      </c>
      <c r="G1404" s="307">
        <v>4</v>
      </c>
      <c r="H1404" s="307" t="s">
        <v>858</v>
      </c>
      <c r="I1404" s="307" t="str">
        <f>("1206060078")</f>
        <v>1206060078</v>
      </c>
    </row>
    <row r="1405" spans="1:9" ht="13.5">
      <c r="A1405" s="419" t="str">
        <f t="shared" si="21"/>
        <v>朝日ＦＣ_14</v>
      </c>
      <c r="B1405" s="307" t="s">
        <v>3672</v>
      </c>
      <c r="C1405" s="307" t="str">
        <f>("14")</f>
        <v>14</v>
      </c>
      <c r="D1405" s="307" t="s">
        <v>862</v>
      </c>
      <c r="E1405" s="307" t="s">
        <v>3693</v>
      </c>
      <c r="F1405" s="307" t="s">
        <v>3694</v>
      </c>
      <c r="G1405" s="307">
        <v>4</v>
      </c>
      <c r="H1405" s="307" t="s">
        <v>858</v>
      </c>
      <c r="I1405" s="307" t="str">
        <f>("1211020056")</f>
        <v>1211020056</v>
      </c>
    </row>
    <row r="1406" spans="1:9" ht="13.5">
      <c r="A1406" s="419" t="str">
        <f t="shared" si="21"/>
        <v>朝日ＦＣ_15</v>
      </c>
      <c r="B1406" s="307" t="s">
        <v>3672</v>
      </c>
      <c r="C1406" s="307" t="str">
        <f>("15")</f>
        <v>15</v>
      </c>
      <c r="D1406" s="307" t="s">
        <v>859</v>
      </c>
      <c r="E1406" s="307" t="s">
        <v>3695</v>
      </c>
      <c r="F1406" s="307" t="s">
        <v>3696</v>
      </c>
      <c r="G1406" s="307">
        <v>5</v>
      </c>
      <c r="H1406" s="307" t="s">
        <v>858</v>
      </c>
      <c r="I1406" s="307" t="str">
        <f>("1109230109")</f>
        <v>1109230109</v>
      </c>
    </row>
    <row r="1407" spans="1:9" ht="13.5">
      <c r="A1407" s="419" t="str">
        <f t="shared" si="21"/>
        <v>スマイス　セレソン　スポーツクラブ_1</v>
      </c>
      <c r="B1407" s="307" t="s">
        <v>26</v>
      </c>
      <c r="C1407" s="307" t="str">
        <f>("1")</f>
        <v>1</v>
      </c>
      <c r="D1407" s="307" t="s">
        <v>855</v>
      </c>
      <c r="E1407" s="307" t="s">
        <v>3697</v>
      </c>
      <c r="F1407" s="307" t="s">
        <v>3698</v>
      </c>
      <c r="G1407" s="307">
        <v>6</v>
      </c>
      <c r="H1407" s="307" t="s">
        <v>858</v>
      </c>
      <c r="I1407" s="307" t="str">
        <f>("1006070153")</f>
        <v>1006070153</v>
      </c>
    </row>
    <row r="1408" spans="1:10" ht="13.5">
      <c r="A1408" s="419" t="str">
        <f t="shared" si="21"/>
        <v>スマイス　セレソン　スポーツクラブ_2</v>
      </c>
      <c r="B1408" s="307" t="s">
        <v>26</v>
      </c>
      <c r="C1408" s="307" t="str">
        <f>("2")</f>
        <v>2</v>
      </c>
      <c r="D1408" s="307" t="s">
        <v>859</v>
      </c>
      <c r="E1408" s="307" t="s">
        <v>3699</v>
      </c>
      <c r="F1408" s="307" t="s">
        <v>3700</v>
      </c>
      <c r="G1408" s="307">
        <v>6</v>
      </c>
      <c r="H1408" s="307" t="s">
        <v>858</v>
      </c>
      <c r="I1408" s="307" t="str">
        <f>("1009030128")</f>
        <v>1009030128</v>
      </c>
      <c r="J1408" s="307" t="s">
        <v>15</v>
      </c>
    </row>
    <row r="1409" spans="1:9" ht="13.5">
      <c r="A1409" s="419" t="str">
        <f aca="true" t="shared" si="22" ref="A1409:A1472">CONCATENATE(B1409,"_",C1409)</f>
        <v>スマイス　セレソン　スポーツクラブ_3</v>
      </c>
      <c r="B1409" s="307" t="s">
        <v>26</v>
      </c>
      <c r="C1409" s="307" t="str">
        <f>("3")</f>
        <v>3</v>
      </c>
      <c r="D1409" s="307" t="s">
        <v>859</v>
      </c>
      <c r="E1409" s="307" t="s">
        <v>3701</v>
      </c>
      <c r="F1409" s="307" t="s">
        <v>3702</v>
      </c>
      <c r="G1409" s="307">
        <v>6</v>
      </c>
      <c r="H1409" s="307" t="s">
        <v>858</v>
      </c>
      <c r="I1409" s="307" t="str">
        <f>("1008090140")</f>
        <v>1008090140</v>
      </c>
    </row>
    <row r="1410" spans="1:9" ht="13.5">
      <c r="A1410" s="419" t="str">
        <f t="shared" si="22"/>
        <v>スマイス　セレソン　スポーツクラブ_4</v>
      </c>
      <c r="B1410" s="307" t="s">
        <v>26</v>
      </c>
      <c r="C1410" s="307" t="str">
        <f>("4")</f>
        <v>4</v>
      </c>
      <c r="D1410" s="307" t="s">
        <v>862</v>
      </c>
      <c r="E1410" s="307" t="s">
        <v>3703</v>
      </c>
      <c r="F1410" s="307" t="s">
        <v>3704</v>
      </c>
      <c r="G1410" s="307">
        <v>6</v>
      </c>
      <c r="H1410" s="307" t="s">
        <v>858</v>
      </c>
      <c r="I1410" s="307" t="str">
        <f>("1006120118")</f>
        <v>1006120118</v>
      </c>
    </row>
    <row r="1411" spans="1:9" ht="13.5">
      <c r="A1411" s="419" t="str">
        <f t="shared" si="22"/>
        <v>スマイス　セレソン　スポーツクラブ_5</v>
      </c>
      <c r="B1411" s="307" t="s">
        <v>26</v>
      </c>
      <c r="C1411" s="307" t="str">
        <f>("5")</f>
        <v>5</v>
      </c>
      <c r="D1411" s="307" t="s">
        <v>884</v>
      </c>
      <c r="E1411" s="307" t="s">
        <v>3705</v>
      </c>
      <c r="F1411" s="307" t="s">
        <v>1785</v>
      </c>
      <c r="G1411" s="307">
        <v>6</v>
      </c>
      <c r="H1411" s="307" t="s">
        <v>858</v>
      </c>
      <c r="I1411" s="307" t="str">
        <f>("1007210221")</f>
        <v>1007210221</v>
      </c>
    </row>
    <row r="1412" spans="1:9" ht="13.5">
      <c r="A1412" s="419" t="str">
        <f t="shared" si="22"/>
        <v>スマイス　セレソン　スポーツクラブ_6</v>
      </c>
      <c r="B1412" s="307" t="s">
        <v>26</v>
      </c>
      <c r="C1412" s="307" t="str">
        <f>("6")</f>
        <v>6</v>
      </c>
      <c r="D1412" s="307" t="s">
        <v>862</v>
      </c>
      <c r="E1412" s="307" t="s">
        <v>3706</v>
      </c>
      <c r="F1412" s="307" t="s">
        <v>3707</v>
      </c>
      <c r="G1412" s="307">
        <v>6</v>
      </c>
      <c r="H1412" s="307" t="s">
        <v>858</v>
      </c>
      <c r="I1412" s="307" t="str">
        <f>("1102280072")</f>
        <v>1102280072</v>
      </c>
    </row>
    <row r="1413" spans="1:9" ht="13.5">
      <c r="A1413" s="419" t="str">
        <f t="shared" si="22"/>
        <v>スマイス　セレソン　スポーツクラブ_7</v>
      </c>
      <c r="B1413" s="307" t="s">
        <v>26</v>
      </c>
      <c r="C1413" s="307" t="str">
        <f>("7")</f>
        <v>7</v>
      </c>
      <c r="D1413" s="307" t="s">
        <v>859</v>
      </c>
      <c r="E1413" s="307" t="s">
        <v>3708</v>
      </c>
      <c r="F1413" s="307" t="s">
        <v>3709</v>
      </c>
      <c r="G1413" s="307">
        <v>6</v>
      </c>
      <c r="H1413" s="307" t="s">
        <v>858</v>
      </c>
      <c r="I1413" s="307" t="str">
        <f>("1102140104")</f>
        <v>1102140104</v>
      </c>
    </row>
    <row r="1414" spans="1:9" ht="13.5">
      <c r="A1414" s="419" t="str">
        <f t="shared" si="22"/>
        <v>スマイス　セレソン　スポーツクラブ_8</v>
      </c>
      <c r="B1414" s="307" t="s">
        <v>26</v>
      </c>
      <c r="C1414" s="307" t="str">
        <f>("8")</f>
        <v>8</v>
      </c>
      <c r="D1414" s="307" t="s">
        <v>862</v>
      </c>
      <c r="E1414" s="307" t="s">
        <v>3710</v>
      </c>
      <c r="F1414" s="307" t="s">
        <v>3711</v>
      </c>
      <c r="G1414" s="307">
        <v>6</v>
      </c>
      <c r="H1414" s="307" t="s">
        <v>858</v>
      </c>
      <c r="I1414" s="307" t="str">
        <f>("1101080082")</f>
        <v>1101080082</v>
      </c>
    </row>
    <row r="1415" spans="1:9" ht="13.5">
      <c r="A1415" s="419" t="str">
        <f t="shared" si="22"/>
        <v>スマイス　セレソン　スポーツクラブ_9</v>
      </c>
      <c r="B1415" s="307" t="s">
        <v>26</v>
      </c>
      <c r="C1415" s="307" t="str">
        <f>("9")</f>
        <v>9</v>
      </c>
      <c r="D1415" s="307" t="s">
        <v>859</v>
      </c>
      <c r="E1415" s="307" t="s">
        <v>3712</v>
      </c>
      <c r="F1415" s="307" t="s">
        <v>2274</v>
      </c>
      <c r="G1415" s="307">
        <v>6</v>
      </c>
      <c r="H1415" s="307" t="s">
        <v>858</v>
      </c>
      <c r="I1415" s="307" t="str">
        <f>("1006300128")</f>
        <v>1006300128</v>
      </c>
    </row>
    <row r="1416" spans="1:9" ht="13.5">
      <c r="A1416" s="419" t="str">
        <f t="shared" si="22"/>
        <v>スマイス　セレソン　スポーツクラブ_10</v>
      </c>
      <c r="B1416" s="307" t="s">
        <v>26</v>
      </c>
      <c r="C1416" s="307" t="str">
        <f>("10")</f>
        <v>10</v>
      </c>
      <c r="D1416" s="307" t="s">
        <v>862</v>
      </c>
      <c r="E1416" s="307" t="s">
        <v>3713</v>
      </c>
      <c r="F1416" s="307" t="s">
        <v>3714</v>
      </c>
      <c r="G1416" s="307">
        <v>6</v>
      </c>
      <c r="H1416" s="307" t="s">
        <v>858</v>
      </c>
      <c r="I1416" s="307" t="str">
        <f>("1007240064")</f>
        <v>1007240064</v>
      </c>
    </row>
    <row r="1417" spans="1:9" ht="13.5">
      <c r="A1417" s="419" t="str">
        <f t="shared" si="22"/>
        <v>スマイス　セレソン　スポーツクラブ_11</v>
      </c>
      <c r="B1417" s="307" t="s">
        <v>26</v>
      </c>
      <c r="C1417" s="307" t="str">
        <f>("11")</f>
        <v>11</v>
      </c>
      <c r="D1417" s="307" t="s">
        <v>884</v>
      </c>
      <c r="E1417" s="307" t="s">
        <v>3715</v>
      </c>
      <c r="F1417" s="307" t="s">
        <v>3716</v>
      </c>
      <c r="G1417" s="307">
        <v>6</v>
      </c>
      <c r="H1417" s="307" t="s">
        <v>858</v>
      </c>
      <c r="I1417" s="307" t="str">
        <f>("1010310097")</f>
        <v>1010310097</v>
      </c>
    </row>
    <row r="1418" spans="1:9" ht="13.5">
      <c r="A1418" s="419" t="str">
        <f t="shared" si="22"/>
        <v>スマイス　セレソン　スポーツクラブ_12</v>
      </c>
      <c r="B1418" s="307" t="s">
        <v>26</v>
      </c>
      <c r="C1418" s="307" t="str">
        <f>("12")</f>
        <v>12</v>
      </c>
      <c r="D1418" s="307" t="s">
        <v>884</v>
      </c>
      <c r="E1418" s="307" t="s">
        <v>3717</v>
      </c>
      <c r="F1418" s="307" t="s">
        <v>3718</v>
      </c>
      <c r="G1418" s="307">
        <v>6</v>
      </c>
      <c r="H1418" s="307" t="s">
        <v>858</v>
      </c>
      <c r="I1418" s="307" t="str">
        <f>("1010150128")</f>
        <v>1010150128</v>
      </c>
    </row>
    <row r="1419" spans="1:9" ht="13.5">
      <c r="A1419" s="419" t="str">
        <f t="shared" si="22"/>
        <v>スマイス　セレソン　スポーツクラブ_13</v>
      </c>
      <c r="B1419" s="307" t="s">
        <v>26</v>
      </c>
      <c r="C1419" s="307" t="str">
        <f>("13")</f>
        <v>13</v>
      </c>
      <c r="D1419" s="307" t="s">
        <v>862</v>
      </c>
      <c r="E1419" s="307" t="s">
        <v>3719</v>
      </c>
      <c r="F1419" s="307" t="s">
        <v>3720</v>
      </c>
      <c r="G1419" s="307">
        <v>6</v>
      </c>
      <c r="H1419" s="307" t="s">
        <v>858</v>
      </c>
      <c r="I1419" s="307" t="str">
        <f>("1012220119")</f>
        <v>1012220119</v>
      </c>
    </row>
    <row r="1420" spans="1:9" ht="13.5">
      <c r="A1420" s="419" t="str">
        <f t="shared" si="22"/>
        <v>スマイス　セレソン　スポーツクラブ_14</v>
      </c>
      <c r="B1420" s="307" t="s">
        <v>26</v>
      </c>
      <c r="C1420" s="307" t="str">
        <f>("14")</f>
        <v>14</v>
      </c>
      <c r="D1420" s="307" t="s">
        <v>884</v>
      </c>
      <c r="E1420" s="307" t="s">
        <v>3721</v>
      </c>
      <c r="F1420" s="307" t="s">
        <v>3722</v>
      </c>
      <c r="G1420" s="307">
        <v>6</v>
      </c>
      <c r="H1420" s="307" t="s">
        <v>858</v>
      </c>
      <c r="I1420" s="307" t="str">
        <f>("1011040128")</f>
        <v>1011040128</v>
      </c>
    </row>
    <row r="1421" spans="1:9" ht="13.5">
      <c r="A1421" s="419" t="str">
        <f t="shared" si="22"/>
        <v>スマイス　セレソン　スポーツクラブ_15</v>
      </c>
      <c r="B1421" s="307" t="s">
        <v>26</v>
      </c>
      <c r="C1421" s="307" t="str">
        <f>("15")</f>
        <v>15</v>
      </c>
      <c r="D1421" s="307" t="s">
        <v>884</v>
      </c>
      <c r="E1421" s="307" t="s">
        <v>3723</v>
      </c>
      <c r="F1421" s="307" t="s">
        <v>3724</v>
      </c>
      <c r="G1421" s="307">
        <v>6</v>
      </c>
      <c r="H1421" s="307" t="s">
        <v>869</v>
      </c>
      <c r="I1421" s="307" t="str">
        <f>("1005150077")</f>
        <v>1005150077</v>
      </c>
    </row>
    <row r="1422" spans="1:9" ht="13.5">
      <c r="A1422" s="419" t="str">
        <f t="shared" si="22"/>
        <v>スマイス　セレソン　スポーツクラブ_16</v>
      </c>
      <c r="B1422" s="307" t="s">
        <v>26</v>
      </c>
      <c r="C1422" s="307" t="str">
        <f>("16")</f>
        <v>16</v>
      </c>
      <c r="D1422" s="307" t="s">
        <v>859</v>
      </c>
      <c r="E1422" s="307" t="s">
        <v>3725</v>
      </c>
      <c r="F1422" s="307" t="s">
        <v>3726</v>
      </c>
      <c r="G1422" s="307">
        <v>6</v>
      </c>
      <c r="H1422" s="307" t="s">
        <v>858</v>
      </c>
      <c r="I1422" s="307" t="str">
        <f>("1006190096")</f>
        <v>1006190096</v>
      </c>
    </row>
    <row r="1423" spans="1:10" ht="13.5">
      <c r="A1423" s="419" t="str">
        <f t="shared" si="22"/>
        <v>ＦＣ中津ジュニア_1</v>
      </c>
      <c r="B1423" s="307" t="s">
        <v>20</v>
      </c>
      <c r="C1423" s="307" t="str">
        <f>("1")</f>
        <v>1</v>
      </c>
      <c r="D1423" s="307" t="s">
        <v>855</v>
      </c>
      <c r="E1423" s="307" t="s">
        <v>3727</v>
      </c>
      <c r="F1423" s="307" t="s">
        <v>3728</v>
      </c>
      <c r="G1423" s="307">
        <v>6</v>
      </c>
      <c r="H1423" s="307" t="s">
        <v>858</v>
      </c>
      <c r="I1423" s="307" t="str">
        <f>("1011280107")</f>
        <v>1011280107</v>
      </c>
      <c r="J1423" s="307" t="s">
        <v>15</v>
      </c>
    </row>
    <row r="1424" spans="1:9" ht="13.5">
      <c r="A1424" s="419" t="str">
        <f t="shared" si="22"/>
        <v>ＦＣ中津ジュニア_3</v>
      </c>
      <c r="B1424" s="307" t="s">
        <v>20</v>
      </c>
      <c r="C1424" s="307" t="str">
        <f>("3")</f>
        <v>3</v>
      </c>
      <c r="D1424" s="307" t="s">
        <v>862</v>
      </c>
      <c r="E1424" s="307" t="s">
        <v>3729</v>
      </c>
      <c r="F1424" s="307" t="s">
        <v>3730</v>
      </c>
      <c r="G1424" s="307">
        <v>6</v>
      </c>
      <c r="H1424" s="307" t="s">
        <v>858</v>
      </c>
      <c r="I1424" s="307" t="str">
        <f>("1007110142")</f>
        <v>1007110142</v>
      </c>
    </row>
    <row r="1425" spans="1:9" ht="13.5">
      <c r="A1425" s="419" t="str">
        <f t="shared" si="22"/>
        <v>ＦＣ中津ジュニア_4</v>
      </c>
      <c r="B1425" s="307" t="s">
        <v>20</v>
      </c>
      <c r="C1425" s="307" t="str">
        <f>("4")</f>
        <v>4</v>
      </c>
      <c r="D1425" s="307" t="s">
        <v>859</v>
      </c>
      <c r="E1425" s="307" t="s">
        <v>3731</v>
      </c>
      <c r="F1425" s="307" t="s">
        <v>3732</v>
      </c>
      <c r="G1425" s="307">
        <v>6</v>
      </c>
      <c r="H1425" s="307" t="s">
        <v>858</v>
      </c>
      <c r="I1425" s="307" t="str">
        <f>("1103260090")</f>
        <v>1103260090</v>
      </c>
    </row>
    <row r="1426" spans="1:9" ht="13.5">
      <c r="A1426" s="419" t="str">
        <f t="shared" si="22"/>
        <v>ＦＣ中津ジュニア_5</v>
      </c>
      <c r="B1426" s="307" t="s">
        <v>20</v>
      </c>
      <c r="C1426" s="307" t="str">
        <f>("5")</f>
        <v>5</v>
      </c>
      <c r="D1426" s="307" t="s">
        <v>859</v>
      </c>
      <c r="E1426" s="307" t="s">
        <v>3733</v>
      </c>
      <c r="F1426" s="307" t="s">
        <v>3734</v>
      </c>
      <c r="G1426" s="307">
        <v>6</v>
      </c>
      <c r="H1426" s="307" t="s">
        <v>858</v>
      </c>
      <c r="I1426" s="307" t="str">
        <f>("1010060142")</f>
        <v>1010060142</v>
      </c>
    </row>
    <row r="1427" spans="1:9" ht="13.5">
      <c r="A1427" s="419" t="str">
        <f t="shared" si="22"/>
        <v>ＦＣ中津ジュニア_6</v>
      </c>
      <c r="B1427" s="307" t="s">
        <v>20</v>
      </c>
      <c r="C1427" s="307" t="str">
        <f>("6")</f>
        <v>6</v>
      </c>
      <c r="D1427" s="307" t="s">
        <v>884</v>
      </c>
      <c r="E1427" s="307" t="s">
        <v>3735</v>
      </c>
      <c r="F1427" s="307" t="s">
        <v>3736</v>
      </c>
      <c r="G1427" s="307">
        <v>6</v>
      </c>
      <c r="H1427" s="307" t="s">
        <v>858</v>
      </c>
      <c r="I1427" s="307" t="str">
        <f>("1004200046")</f>
        <v>1004200046</v>
      </c>
    </row>
    <row r="1428" spans="1:9" ht="13.5">
      <c r="A1428" s="419" t="str">
        <f t="shared" si="22"/>
        <v>ＦＣ中津ジュニア_7</v>
      </c>
      <c r="B1428" s="307" t="s">
        <v>20</v>
      </c>
      <c r="C1428" s="307" t="str">
        <f>("7")</f>
        <v>7</v>
      </c>
      <c r="D1428" s="307" t="s">
        <v>862</v>
      </c>
      <c r="E1428" s="307" t="s">
        <v>3737</v>
      </c>
      <c r="F1428" s="307" t="s">
        <v>3738</v>
      </c>
      <c r="G1428" s="307">
        <v>6</v>
      </c>
      <c r="H1428" s="307" t="s">
        <v>858</v>
      </c>
      <c r="I1428" s="307" t="str">
        <f>("1010060143")</f>
        <v>1010060143</v>
      </c>
    </row>
    <row r="1429" spans="1:9" ht="13.5">
      <c r="A1429" s="419" t="str">
        <f t="shared" si="22"/>
        <v>ＦＣ中津ジュニア_8</v>
      </c>
      <c r="B1429" s="307" t="s">
        <v>20</v>
      </c>
      <c r="C1429" s="307" t="str">
        <f>("8")</f>
        <v>8</v>
      </c>
      <c r="D1429" s="307" t="s">
        <v>862</v>
      </c>
      <c r="E1429" s="307" t="s">
        <v>3739</v>
      </c>
      <c r="F1429" s="307" t="s">
        <v>3740</v>
      </c>
      <c r="G1429" s="307">
        <v>5</v>
      </c>
      <c r="H1429" s="307" t="s">
        <v>858</v>
      </c>
      <c r="I1429" s="307" t="str">
        <f>("1105100136")</f>
        <v>1105100136</v>
      </c>
    </row>
    <row r="1430" spans="1:9" ht="13.5">
      <c r="A1430" s="419" t="str">
        <f t="shared" si="22"/>
        <v>ＦＣ中津ジュニア_9</v>
      </c>
      <c r="B1430" s="421" t="s">
        <v>20</v>
      </c>
      <c r="C1430" s="307" t="str">
        <f>("9")</f>
        <v>9</v>
      </c>
      <c r="D1430" s="307" t="s">
        <v>884</v>
      </c>
      <c r="E1430" s="307" t="s">
        <v>3741</v>
      </c>
      <c r="F1430" s="307" t="s">
        <v>3742</v>
      </c>
      <c r="G1430" s="307">
        <v>6</v>
      </c>
      <c r="H1430" s="307" t="s">
        <v>858</v>
      </c>
      <c r="I1430" s="307" t="str">
        <f>("1103170155")</f>
        <v>1103170155</v>
      </c>
    </row>
    <row r="1431" spans="1:9" ht="13.5">
      <c r="A1431" s="419" t="str">
        <f t="shared" si="22"/>
        <v>ＦＣ中津ジュニア_10</v>
      </c>
      <c r="B1431" s="307" t="s">
        <v>20</v>
      </c>
      <c r="C1431" s="307" t="str">
        <f>("10")</f>
        <v>10</v>
      </c>
      <c r="D1431" s="307" t="s">
        <v>862</v>
      </c>
      <c r="E1431" s="307" t="s">
        <v>3743</v>
      </c>
      <c r="F1431" s="307" t="s">
        <v>3744</v>
      </c>
      <c r="G1431" s="307">
        <v>6</v>
      </c>
      <c r="H1431" s="307" t="s">
        <v>858</v>
      </c>
      <c r="I1431" s="307" t="str">
        <f>("1004060045")</f>
        <v>1004060045</v>
      </c>
    </row>
    <row r="1432" spans="1:9" ht="13.5">
      <c r="A1432" s="419" t="str">
        <f t="shared" si="22"/>
        <v>ＦＣ中津ジュニア_11</v>
      </c>
      <c r="B1432" s="307" t="s">
        <v>20</v>
      </c>
      <c r="C1432" s="307" t="str">
        <f>("11")</f>
        <v>11</v>
      </c>
      <c r="D1432" s="307" t="s">
        <v>859</v>
      </c>
      <c r="E1432" s="307" t="s">
        <v>3745</v>
      </c>
      <c r="F1432" s="307" t="s">
        <v>3746</v>
      </c>
      <c r="G1432" s="307">
        <v>5</v>
      </c>
      <c r="H1432" s="307" t="s">
        <v>858</v>
      </c>
      <c r="I1432" s="307" t="str">
        <f>("1203070184")</f>
        <v>1203070184</v>
      </c>
    </row>
    <row r="1433" spans="1:9" ht="13.5">
      <c r="A1433" s="419" t="str">
        <f t="shared" si="22"/>
        <v>ＦＣ中津ジュニア_13</v>
      </c>
      <c r="B1433" s="307" t="s">
        <v>20</v>
      </c>
      <c r="C1433" s="307" t="str">
        <f>("13")</f>
        <v>13</v>
      </c>
      <c r="D1433" s="307" t="s">
        <v>859</v>
      </c>
      <c r="E1433" s="307" t="s">
        <v>3747</v>
      </c>
      <c r="F1433" s="307" t="s">
        <v>3748</v>
      </c>
      <c r="G1433" s="307">
        <v>5</v>
      </c>
      <c r="H1433" s="307" t="s">
        <v>858</v>
      </c>
      <c r="I1433" s="307" t="str">
        <f>("1107290217")</f>
        <v>1107290217</v>
      </c>
    </row>
    <row r="1434" spans="1:9" ht="13.5">
      <c r="A1434" s="419" t="str">
        <f t="shared" si="22"/>
        <v>ＦＣ中津ジュニア_14</v>
      </c>
      <c r="B1434" s="307" t="s">
        <v>20</v>
      </c>
      <c r="C1434" s="307" t="str">
        <f>("14")</f>
        <v>14</v>
      </c>
      <c r="D1434" s="307" t="s">
        <v>859</v>
      </c>
      <c r="E1434" s="307" t="s">
        <v>3749</v>
      </c>
      <c r="F1434" s="307" t="s">
        <v>3750</v>
      </c>
      <c r="G1434" s="307">
        <v>5</v>
      </c>
      <c r="H1434" s="307" t="s">
        <v>858</v>
      </c>
      <c r="I1434" s="307" t="str">
        <f>("1010040277")</f>
        <v>1010040277</v>
      </c>
    </row>
    <row r="1435" spans="1:9" ht="13.5">
      <c r="A1435" s="419" t="str">
        <f t="shared" si="22"/>
        <v>ＦＣ中津ジュニア_15</v>
      </c>
      <c r="B1435" s="307" t="s">
        <v>20</v>
      </c>
      <c r="C1435" s="307" t="str">
        <f>("15")</f>
        <v>15</v>
      </c>
      <c r="D1435" s="307" t="s">
        <v>884</v>
      </c>
      <c r="E1435" s="307" t="s">
        <v>3751</v>
      </c>
      <c r="F1435" s="307" t="s">
        <v>3752</v>
      </c>
      <c r="G1435" s="307">
        <v>5</v>
      </c>
      <c r="H1435" s="307" t="s">
        <v>858</v>
      </c>
      <c r="I1435" s="307" t="str">
        <f>("1202250150")</f>
        <v>1202250150</v>
      </c>
    </row>
    <row r="1436" spans="1:9" ht="13.5">
      <c r="A1436" s="419" t="str">
        <f t="shared" si="22"/>
        <v>ＦＣ中津ジュニア_16</v>
      </c>
      <c r="B1436" s="307" t="s">
        <v>20</v>
      </c>
      <c r="C1436" s="307" t="str">
        <f>("16")</f>
        <v>16</v>
      </c>
      <c r="D1436" s="307" t="s">
        <v>884</v>
      </c>
      <c r="E1436" s="307" t="s">
        <v>3753</v>
      </c>
      <c r="F1436" s="307" t="s">
        <v>3754</v>
      </c>
      <c r="G1436" s="307">
        <v>5</v>
      </c>
      <c r="H1436" s="307" t="s">
        <v>858</v>
      </c>
      <c r="I1436" s="307" t="str">
        <f>("1202250149")</f>
        <v>1202250149</v>
      </c>
    </row>
    <row r="1437" spans="1:9" ht="13.5">
      <c r="A1437" s="419" t="str">
        <f t="shared" si="22"/>
        <v>ＦＣリーベル_1</v>
      </c>
      <c r="B1437" s="307" t="s">
        <v>3755</v>
      </c>
      <c r="C1437" s="307" t="str">
        <f>("1")</f>
        <v>1</v>
      </c>
      <c r="D1437" s="307" t="s">
        <v>855</v>
      </c>
      <c r="E1437" s="307" t="s">
        <v>3756</v>
      </c>
      <c r="F1437" s="307" t="s">
        <v>3757</v>
      </c>
      <c r="G1437" s="307">
        <v>5</v>
      </c>
      <c r="H1437" s="307" t="s">
        <v>858</v>
      </c>
      <c r="I1437" s="307" t="str">
        <f>("1104150015")</f>
        <v>1104150015</v>
      </c>
    </row>
    <row r="1438" spans="1:9" ht="13.5">
      <c r="A1438" s="419" t="str">
        <f t="shared" si="22"/>
        <v>ＦＣリーベル_2</v>
      </c>
      <c r="B1438" s="307" t="s">
        <v>3755</v>
      </c>
      <c r="C1438" s="307" t="str">
        <f>("2")</f>
        <v>2</v>
      </c>
      <c r="D1438" s="307" t="s">
        <v>862</v>
      </c>
      <c r="E1438" s="307" t="s">
        <v>3758</v>
      </c>
      <c r="F1438" s="307" t="s">
        <v>3759</v>
      </c>
      <c r="G1438" s="307">
        <v>4</v>
      </c>
      <c r="H1438" s="307" t="s">
        <v>869</v>
      </c>
      <c r="I1438" s="307" t="str">
        <f>("1206280003")</f>
        <v>1206280003</v>
      </c>
    </row>
    <row r="1439" spans="1:9" ht="13.5">
      <c r="A1439" s="419" t="str">
        <f t="shared" si="22"/>
        <v>ＦＣリーベル_3</v>
      </c>
      <c r="B1439" s="307" t="s">
        <v>3755</v>
      </c>
      <c r="C1439" s="307" t="str">
        <f>("3")</f>
        <v>3</v>
      </c>
      <c r="D1439" s="307" t="s">
        <v>862</v>
      </c>
      <c r="E1439" s="307" t="s">
        <v>3760</v>
      </c>
      <c r="F1439" s="307" t="s">
        <v>3761</v>
      </c>
      <c r="G1439" s="307">
        <v>3</v>
      </c>
      <c r="H1439" s="307" t="s">
        <v>858</v>
      </c>
      <c r="I1439" s="307" t="str">
        <f>("1309130001")</f>
        <v>1309130001</v>
      </c>
    </row>
    <row r="1440" spans="1:9" ht="13.5">
      <c r="A1440" s="419" t="str">
        <f t="shared" si="22"/>
        <v>ＦＣリーベル_5</v>
      </c>
      <c r="B1440" s="307" t="s">
        <v>3755</v>
      </c>
      <c r="C1440" s="307" t="str">
        <f>("5")</f>
        <v>5</v>
      </c>
      <c r="D1440" s="307" t="s">
        <v>862</v>
      </c>
      <c r="E1440" s="307" t="s">
        <v>3762</v>
      </c>
      <c r="F1440" s="307" t="s">
        <v>3763</v>
      </c>
      <c r="G1440" s="307">
        <v>3</v>
      </c>
      <c r="H1440" s="307" t="s">
        <v>858</v>
      </c>
      <c r="I1440" s="307" t="str">
        <f>("1301140093")</f>
        <v>1301140093</v>
      </c>
    </row>
    <row r="1441" spans="1:9" ht="13.5">
      <c r="A1441" s="419" t="str">
        <f t="shared" si="22"/>
        <v>ＦＣリーベル_7</v>
      </c>
      <c r="B1441" s="307" t="s">
        <v>3755</v>
      </c>
      <c r="C1441" s="307" t="str">
        <f>("7")</f>
        <v>7</v>
      </c>
      <c r="D1441" s="307" t="s">
        <v>859</v>
      </c>
      <c r="E1441" s="307" t="s">
        <v>3764</v>
      </c>
      <c r="F1441" s="307" t="s">
        <v>3765</v>
      </c>
      <c r="G1441" s="307">
        <v>5</v>
      </c>
      <c r="H1441" s="307" t="s">
        <v>858</v>
      </c>
      <c r="I1441" s="307" t="str">
        <f>("1110110037")</f>
        <v>1110110037</v>
      </c>
    </row>
    <row r="1442" spans="1:9" ht="13.5">
      <c r="A1442" s="419" t="str">
        <f t="shared" si="22"/>
        <v>ＦＣリーベル_8</v>
      </c>
      <c r="B1442" s="307" t="s">
        <v>3755</v>
      </c>
      <c r="C1442" s="307" t="str">
        <f>("8")</f>
        <v>8</v>
      </c>
      <c r="D1442" s="307" t="s">
        <v>862</v>
      </c>
      <c r="E1442" s="307" t="s">
        <v>3766</v>
      </c>
      <c r="F1442" s="307" t="s">
        <v>3767</v>
      </c>
      <c r="G1442" s="307">
        <v>3</v>
      </c>
      <c r="H1442" s="307" t="s">
        <v>858</v>
      </c>
      <c r="I1442" s="307" t="str">
        <f>("1307030012")</f>
        <v>1307030012</v>
      </c>
    </row>
    <row r="1443" spans="1:9" ht="13.5">
      <c r="A1443" s="419" t="str">
        <f t="shared" si="22"/>
        <v>ＦＣリーベル_9</v>
      </c>
      <c r="B1443" s="307" t="s">
        <v>3755</v>
      </c>
      <c r="C1443" s="307" t="str">
        <f>("9")</f>
        <v>9</v>
      </c>
      <c r="D1443" s="307" t="s">
        <v>859</v>
      </c>
      <c r="E1443" s="307" t="s">
        <v>3768</v>
      </c>
      <c r="F1443" s="307" t="s">
        <v>3769</v>
      </c>
      <c r="G1443" s="307">
        <v>6</v>
      </c>
      <c r="H1443" s="307" t="s">
        <v>858</v>
      </c>
      <c r="I1443" s="307" t="str">
        <f>("1010080035")</f>
        <v>1010080035</v>
      </c>
    </row>
    <row r="1444" spans="1:9" ht="13.5">
      <c r="A1444" s="419" t="str">
        <f t="shared" si="22"/>
        <v>ＦＣリーベル_10</v>
      </c>
      <c r="B1444" s="307" t="s">
        <v>3755</v>
      </c>
      <c r="C1444" s="307" t="str">
        <f>("10")</f>
        <v>10</v>
      </c>
      <c r="D1444" s="307" t="s">
        <v>884</v>
      </c>
      <c r="E1444" s="307" t="s">
        <v>3770</v>
      </c>
      <c r="F1444" s="307" t="s">
        <v>3771</v>
      </c>
      <c r="G1444" s="307">
        <v>3</v>
      </c>
      <c r="H1444" s="307" t="s">
        <v>858</v>
      </c>
      <c r="I1444" s="307" t="str">
        <f>("1307220004")</f>
        <v>1307220004</v>
      </c>
    </row>
    <row r="1445" spans="1:9" ht="13.5">
      <c r="A1445" s="419" t="str">
        <f t="shared" si="22"/>
        <v>ＦＣリーベル_11</v>
      </c>
      <c r="B1445" s="307" t="s">
        <v>3755</v>
      </c>
      <c r="C1445" s="307" t="str">
        <f>("11")</f>
        <v>11</v>
      </c>
      <c r="D1445" s="307" t="s">
        <v>884</v>
      </c>
      <c r="E1445" s="307" t="s">
        <v>3772</v>
      </c>
      <c r="F1445" s="307" t="s">
        <v>3773</v>
      </c>
      <c r="G1445" s="307">
        <v>4</v>
      </c>
      <c r="H1445" s="307" t="s">
        <v>858</v>
      </c>
      <c r="I1445" s="307" t="str">
        <f>("1205160007")</f>
        <v>1205160007</v>
      </c>
    </row>
    <row r="1446" spans="1:9" ht="13.5">
      <c r="A1446" s="419" t="str">
        <f t="shared" si="22"/>
        <v>ＦＣリーベル_12</v>
      </c>
      <c r="B1446" s="307" t="s">
        <v>3755</v>
      </c>
      <c r="C1446" s="307" t="str">
        <f>("12")</f>
        <v>12</v>
      </c>
      <c r="D1446" s="307" t="s">
        <v>855</v>
      </c>
      <c r="E1446" s="307" t="s">
        <v>3774</v>
      </c>
      <c r="F1446" s="307" t="s">
        <v>3775</v>
      </c>
      <c r="G1446" s="307">
        <v>5</v>
      </c>
      <c r="H1446" s="307" t="s">
        <v>858</v>
      </c>
      <c r="I1446" s="307" t="str">
        <f>("1110160124")</f>
        <v>1110160124</v>
      </c>
    </row>
    <row r="1447" spans="1:9" ht="13.5">
      <c r="A1447" s="419" t="str">
        <f t="shared" si="22"/>
        <v>ＦＣリーベル_13</v>
      </c>
      <c r="B1447" s="307" t="s">
        <v>3755</v>
      </c>
      <c r="C1447" s="307" t="str">
        <f>("13")</f>
        <v>13</v>
      </c>
      <c r="D1447" s="307" t="s">
        <v>859</v>
      </c>
      <c r="E1447" s="307" t="s">
        <v>3776</v>
      </c>
      <c r="F1447" s="307" t="s">
        <v>3777</v>
      </c>
      <c r="G1447" s="307">
        <v>5</v>
      </c>
      <c r="H1447" s="307" t="s">
        <v>858</v>
      </c>
      <c r="I1447" s="307" t="str">
        <f>("1109030033")</f>
        <v>1109030033</v>
      </c>
    </row>
    <row r="1448" spans="1:10" ht="13.5">
      <c r="A1448" s="419" t="str">
        <f t="shared" si="22"/>
        <v>ＦＣリーベル_14</v>
      </c>
      <c r="B1448" s="307" t="s">
        <v>3755</v>
      </c>
      <c r="C1448" s="307" t="str">
        <f>("14")</f>
        <v>14</v>
      </c>
      <c r="D1448" s="307" t="s">
        <v>862</v>
      </c>
      <c r="E1448" s="307" t="s">
        <v>3778</v>
      </c>
      <c r="F1448" s="307" t="s">
        <v>3779</v>
      </c>
      <c r="G1448" s="307">
        <v>6</v>
      </c>
      <c r="H1448" s="307" t="s">
        <v>858</v>
      </c>
      <c r="I1448" s="307" t="str">
        <f>("1007060023")</f>
        <v>1007060023</v>
      </c>
      <c r="J1448" s="307" t="s">
        <v>15</v>
      </c>
    </row>
    <row r="1449" spans="1:9" ht="13.5">
      <c r="A1449" s="419" t="str">
        <f t="shared" si="22"/>
        <v>ＦＣリーベル_15</v>
      </c>
      <c r="B1449" s="307" t="s">
        <v>3755</v>
      </c>
      <c r="C1449" s="307" t="str">
        <f>("15")</f>
        <v>15</v>
      </c>
      <c r="D1449" s="307" t="s">
        <v>862</v>
      </c>
      <c r="E1449" s="307" t="s">
        <v>3780</v>
      </c>
      <c r="F1449" s="307" t="s">
        <v>3781</v>
      </c>
      <c r="G1449" s="307">
        <v>5</v>
      </c>
      <c r="H1449" s="307" t="s">
        <v>858</v>
      </c>
      <c r="I1449" s="307" t="str">
        <f>("1104130153")</f>
        <v>1104130153</v>
      </c>
    </row>
    <row r="1450" spans="1:9" ht="13.5">
      <c r="A1450" s="419" t="str">
        <f t="shared" si="22"/>
        <v>如水ジュニアサッカークラブ_1</v>
      </c>
      <c r="B1450" s="307" t="s">
        <v>3782</v>
      </c>
      <c r="C1450" s="307" t="str">
        <f>("1")</f>
        <v>1</v>
      </c>
      <c r="D1450" s="307" t="s">
        <v>855</v>
      </c>
      <c r="E1450" s="307" t="s">
        <v>3588</v>
      </c>
      <c r="F1450" s="307" t="s">
        <v>3589</v>
      </c>
      <c r="G1450" s="307">
        <v>5</v>
      </c>
      <c r="H1450" s="307" t="s">
        <v>858</v>
      </c>
      <c r="I1450" s="307" t="str">
        <f>("1106110121")</f>
        <v>1106110121</v>
      </c>
    </row>
    <row r="1451" spans="1:9" ht="13.5">
      <c r="A1451" s="419" t="str">
        <f t="shared" si="22"/>
        <v>如水ジュニアサッカークラブ_2</v>
      </c>
      <c r="B1451" s="307" t="s">
        <v>3782</v>
      </c>
      <c r="C1451" s="307" t="str">
        <f>("2")</f>
        <v>2</v>
      </c>
      <c r="D1451" s="307" t="s">
        <v>859</v>
      </c>
      <c r="E1451" s="307" t="s">
        <v>3783</v>
      </c>
      <c r="F1451" s="307" t="s">
        <v>3784</v>
      </c>
      <c r="G1451" s="307">
        <v>5</v>
      </c>
      <c r="H1451" s="307" t="s">
        <v>858</v>
      </c>
      <c r="I1451" s="307" t="str">
        <f>("1108010127")</f>
        <v>1108010127</v>
      </c>
    </row>
    <row r="1452" spans="1:9" ht="13.5">
      <c r="A1452" s="419" t="str">
        <f t="shared" si="22"/>
        <v>如水ジュニアサッカークラブ_3</v>
      </c>
      <c r="B1452" s="307" t="s">
        <v>3782</v>
      </c>
      <c r="C1452" s="307" t="str">
        <f>("3")</f>
        <v>3</v>
      </c>
      <c r="D1452" s="307" t="s">
        <v>859</v>
      </c>
      <c r="E1452" s="307" t="s">
        <v>3785</v>
      </c>
      <c r="F1452" s="307" t="s">
        <v>3786</v>
      </c>
      <c r="G1452" s="307">
        <v>5</v>
      </c>
      <c r="H1452" s="307" t="s">
        <v>858</v>
      </c>
      <c r="I1452" s="307" t="str">
        <f>("1104190153")</f>
        <v>1104190153</v>
      </c>
    </row>
    <row r="1453" spans="1:9" ht="13.5">
      <c r="A1453" s="419" t="str">
        <f t="shared" si="22"/>
        <v>如水ジュニアサッカークラブ_4</v>
      </c>
      <c r="B1453" s="307" t="s">
        <v>3782</v>
      </c>
      <c r="C1453" s="307" t="str">
        <f>("4")</f>
        <v>4</v>
      </c>
      <c r="D1453" s="307" t="s">
        <v>862</v>
      </c>
      <c r="E1453" s="307" t="s">
        <v>3787</v>
      </c>
      <c r="F1453" s="307" t="s">
        <v>3788</v>
      </c>
      <c r="G1453" s="307">
        <v>6</v>
      </c>
      <c r="H1453" s="307" t="s">
        <v>858</v>
      </c>
      <c r="I1453" s="307" t="str">
        <f>("1103220044")</f>
        <v>1103220044</v>
      </c>
    </row>
    <row r="1454" spans="1:9" ht="13.5">
      <c r="A1454" s="419" t="str">
        <f t="shared" si="22"/>
        <v>如水ジュニアサッカークラブ_5</v>
      </c>
      <c r="B1454" s="307" t="s">
        <v>3782</v>
      </c>
      <c r="C1454" s="307" t="str">
        <f>("5")</f>
        <v>5</v>
      </c>
      <c r="D1454" s="307" t="s">
        <v>859</v>
      </c>
      <c r="E1454" s="307" t="s">
        <v>3789</v>
      </c>
      <c r="F1454" s="307" t="s">
        <v>3790</v>
      </c>
      <c r="G1454" s="307">
        <v>5</v>
      </c>
      <c r="H1454" s="307" t="s">
        <v>858</v>
      </c>
      <c r="I1454" s="307" t="str">
        <f>("1106240133")</f>
        <v>1106240133</v>
      </c>
    </row>
    <row r="1455" spans="1:9" ht="13.5">
      <c r="A1455" s="419" t="str">
        <f t="shared" si="22"/>
        <v>如水ジュニアサッカークラブ_6</v>
      </c>
      <c r="B1455" s="307" t="s">
        <v>3782</v>
      </c>
      <c r="C1455" s="307" t="str">
        <f>("6")</f>
        <v>6</v>
      </c>
      <c r="D1455" s="307" t="s">
        <v>862</v>
      </c>
      <c r="E1455" s="307" t="s">
        <v>3791</v>
      </c>
      <c r="F1455" s="307" t="s">
        <v>3792</v>
      </c>
      <c r="G1455" s="307">
        <v>6</v>
      </c>
      <c r="H1455" s="307" t="s">
        <v>858</v>
      </c>
      <c r="I1455" s="307" t="str">
        <f>("1005300033")</f>
        <v>1005300033</v>
      </c>
    </row>
    <row r="1456" spans="1:9" ht="13.5">
      <c r="A1456" s="419" t="str">
        <f t="shared" si="22"/>
        <v>如水ジュニアサッカークラブ_7</v>
      </c>
      <c r="B1456" s="307" t="s">
        <v>3782</v>
      </c>
      <c r="C1456" s="307" t="str">
        <f>("7")</f>
        <v>7</v>
      </c>
      <c r="D1456" s="307" t="s">
        <v>862</v>
      </c>
      <c r="E1456" s="307" t="s">
        <v>3793</v>
      </c>
      <c r="F1456" s="307" t="s">
        <v>3794</v>
      </c>
      <c r="G1456" s="307">
        <v>5</v>
      </c>
      <c r="H1456" s="307" t="s">
        <v>858</v>
      </c>
      <c r="I1456" s="307" t="str">
        <f>("1107150199")</f>
        <v>1107150199</v>
      </c>
    </row>
    <row r="1457" spans="1:9" ht="13.5">
      <c r="A1457" s="419" t="str">
        <f t="shared" si="22"/>
        <v>如水ジュニアサッカークラブ_8</v>
      </c>
      <c r="B1457" s="307" t="s">
        <v>3782</v>
      </c>
      <c r="C1457" s="307" t="str">
        <f>("8")</f>
        <v>8</v>
      </c>
      <c r="D1457" s="307" t="s">
        <v>862</v>
      </c>
      <c r="E1457" s="307" t="s">
        <v>3795</v>
      </c>
      <c r="F1457" s="307" t="s">
        <v>3796</v>
      </c>
      <c r="G1457" s="307">
        <v>4</v>
      </c>
      <c r="H1457" s="307" t="s">
        <v>858</v>
      </c>
      <c r="I1457" s="307" t="str">
        <f>("1207140043")</f>
        <v>1207140043</v>
      </c>
    </row>
    <row r="1458" spans="1:9" ht="13.5">
      <c r="A1458" s="419" t="str">
        <f t="shared" si="22"/>
        <v>如水ジュニアサッカークラブ_9</v>
      </c>
      <c r="B1458" s="307" t="s">
        <v>3782</v>
      </c>
      <c r="C1458" s="307" t="str">
        <f>("9")</f>
        <v>9</v>
      </c>
      <c r="D1458" s="307" t="s">
        <v>862</v>
      </c>
      <c r="E1458" s="307" t="s">
        <v>3797</v>
      </c>
      <c r="F1458" s="307" t="s">
        <v>3798</v>
      </c>
      <c r="G1458" s="307">
        <v>4</v>
      </c>
      <c r="H1458" s="307" t="s">
        <v>858</v>
      </c>
      <c r="I1458" s="307" t="str">
        <f>("1209220035")</f>
        <v>1209220035</v>
      </c>
    </row>
    <row r="1459" spans="1:9" ht="13.5">
      <c r="A1459" s="419" t="str">
        <f t="shared" si="22"/>
        <v>如水ジュニアサッカークラブ_10</v>
      </c>
      <c r="B1459" s="307" t="s">
        <v>3782</v>
      </c>
      <c r="C1459" s="307" t="str">
        <f>("10")</f>
        <v>10</v>
      </c>
      <c r="D1459" s="307" t="s">
        <v>884</v>
      </c>
      <c r="E1459" s="307" t="s">
        <v>3799</v>
      </c>
      <c r="F1459" s="307" t="s">
        <v>3800</v>
      </c>
      <c r="G1459" s="307">
        <v>5</v>
      </c>
      <c r="H1459" s="307" t="s">
        <v>858</v>
      </c>
      <c r="I1459" s="307" t="str">
        <f>("1105310148")</f>
        <v>1105310148</v>
      </c>
    </row>
    <row r="1460" spans="1:9" ht="13.5">
      <c r="A1460" s="419" t="str">
        <f t="shared" si="22"/>
        <v>如水ジュニアサッカークラブ_11</v>
      </c>
      <c r="B1460" s="307" t="s">
        <v>3782</v>
      </c>
      <c r="C1460" s="307" t="str">
        <f>("11")</f>
        <v>11</v>
      </c>
      <c r="D1460" s="307" t="s">
        <v>859</v>
      </c>
      <c r="E1460" s="307" t="s">
        <v>3801</v>
      </c>
      <c r="F1460" s="307" t="s">
        <v>3802</v>
      </c>
      <c r="G1460" s="307">
        <v>5</v>
      </c>
      <c r="H1460" s="307" t="s">
        <v>858</v>
      </c>
      <c r="I1460" s="307" t="str">
        <f>("1108270102")</f>
        <v>1108270102</v>
      </c>
    </row>
    <row r="1461" spans="1:9" ht="13.5">
      <c r="A1461" s="419" t="str">
        <f t="shared" si="22"/>
        <v>如水ジュニアサッカークラブ_12</v>
      </c>
      <c r="B1461" s="307" t="s">
        <v>3782</v>
      </c>
      <c r="C1461" s="307" t="str">
        <f>("12")</f>
        <v>12</v>
      </c>
      <c r="D1461" s="307" t="s">
        <v>855</v>
      </c>
      <c r="E1461" s="307" t="s">
        <v>3803</v>
      </c>
      <c r="F1461" s="307" t="s">
        <v>3804</v>
      </c>
      <c r="G1461" s="307">
        <v>4</v>
      </c>
      <c r="H1461" s="307" t="s">
        <v>858</v>
      </c>
      <c r="I1461" s="307" t="str">
        <f>("1208030060")</f>
        <v>1208030060</v>
      </c>
    </row>
    <row r="1462" spans="1:9" ht="13.5">
      <c r="A1462" s="419" t="str">
        <f t="shared" si="22"/>
        <v>如水ジュニアサッカークラブ_13</v>
      </c>
      <c r="B1462" s="307" t="s">
        <v>3782</v>
      </c>
      <c r="C1462" s="307" t="str">
        <f>("13")</f>
        <v>13</v>
      </c>
      <c r="D1462" s="307" t="s">
        <v>859</v>
      </c>
      <c r="E1462" s="307" t="s">
        <v>3805</v>
      </c>
      <c r="F1462" s="307" t="s">
        <v>3806</v>
      </c>
      <c r="G1462" s="307">
        <v>5</v>
      </c>
      <c r="H1462" s="307" t="s">
        <v>858</v>
      </c>
      <c r="I1462" s="307" t="str">
        <f>("1112190108")</f>
        <v>1112190108</v>
      </c>
    </row>
    <row r="1463" spans="1:9" ht="13.5">
      <c r="A1463" s="419" t="str">
        <f t="shared" si="22"/>
        <v>如水ジュニアサッカークラブ_14</v>
      </c>
      <c r="B1463" s="307" t="s">
        <v>3782</v>
      </c>
      <c r="C1463" s="307" t="str">
        <f>("14")</f>
        <v>14</v>
      </c>
      <c r="D1463" s="307" t="s">
        <v>859</v>
      </c>
      <c r="E1463" s="307" t="s">
        <v>3807</v>
      </c>
      <c r="F1463" s="307" t="s">
        <v>3808</v>
      </c>
      <c r="G1463" s="307">
        <v>6</v>
      </c>
      <c r="H1463" s="307" t="s">
        <v>858</v>
      </c>
      <c r="I1463" s="307" t="str">
        <f>("1004130055")</f>
        <v>1004130055</v>
      </c>
    </row>
    <row r="1464" spans="1:9" ht="13.5">
      <c r="A1464" s="419" t="str">
        <f t="shared" si="22"/>
        <v>如水ジュニアサッカークラブ_15</v>
      </c>
      <c r="B1464" s="307" t="s">
        <v>3782</v>
      </c>
      <c r="C1464" s="307" t="str">
        <f>("15")</f>
        <v>15</v>
      </c>
      <c r="D1464" s="307" t="s">
        <v>862</v>
      </c>
      <c r="E1464" s="307" t="s">
        <v>3809</v>
      </c>
      <c r="F1464" s="307" t="s">
        <v>3810</v>
      </c>
      <c r="G1464" s="307">
        <v>4</v>
      </c>
      <c r="H1464" s="307" t="s">
        <v>858</v>
      </c>
      <c r="I1464" s="307" t="str">
        <f>("1302020037")</f>
        <v>1302020037</v>
      </c>
    </row>
    <row r="1465" spans="1:10" ht="13.5">
      <c r="A1465" s="419" t="str">
        <f t="shared" si="22"/>
        <v>如水ジュニアサッカークラブ_18</v>
      </c>
      <c r="B1465" s="307" t="s">
        <v>3782</v>
      </c>
      <c r="C1465" s="307" t="str">
        <f>("18")</f>
        <v>18</v>
      </c>
      <c r="D1465" s="307" t="s">
        <v>862</v>
      </c>
      <c r="E1465" s="307" t="s">
        <v>3811</v>
      </c>
      <c r="F1465" s="307" t="s">
        <v>3812</v>
      </c>
      <c r="G1465" s="307">
        <v>6</v>
      </c>
      <c r="H1465" s="307" t="s">
        <v>858</v>
      </c>
      <c r="I1465" s="307" t="str">
        <f>("1004220054")</f>
        <v>1004220054</v>
      </c>
      <c r="J1465" s="307" t="s">
        <v>15</v>
      </c>
    </row>
    <row r="1466" spans="1:9" ht="13.5">
      <c r="A1466" s="419" t="str">
        <f t="shared" si="22"/>
        <v>ａｎｉｍｏｓｅｌｅｃｔ　ｆｏｏｔｂａｌｌ　ｃｌｕｂ　Ｕ－１２_1</v>
      </c>
      <c r="B1466" s="307" t="s">
        <v>206</v>
      </c>
      <c r="C1466" s="307" t="str">
        <f>("1")</f>
        <v>1</v>
      </c>
      <c r="D1466" s="307" t="s">
        <v>855</v>
      </c>
      <c r="E1466" s="307" t="s">
        <v>3813</v>
      </c>
      <c r="F1466" s="307" t="s">
        <v>3814</v>
      </c>
      <c r="G1466" s="307">
        <v>6</v>
      </c>
      <c r="H1466" s="307" t="s">
        <v>858</v>
      </c>
      <c r="I1466" s="307" t="str">
        <f>("1010220027")</f>
        <v>1010220027</v>
      </c>
    </row>
    <row r="1467" spans="1:10" ht="13.5">
      <c r="A1467" s="419" t="str">
        <f t="shared" si="22"/>
        <v>ａｎｉｍｏｓｅｌｅｃｔ　ｆｏｏｔｂａｌｌ　ｃｌｕｂ　Ｕ－１２_2</v>
      </c>
      <c r="B1467" s="307" t="s">
        <v>206</v>
      </c>
      <c r="C1467" s="307" t="str">
        <f>("2")</f>
        <v>2</v>
      </c>
      <c r="D1467" s="307" t="s">
        <v>859</v>
      </c>
      <c r="E1467" s="307" t="s">
        <v>3815</v>
      </c>
      <c r="F1467" s="307" t="s">
        <v>3816</v>
      </c>
      <c r="G1467" s="307">
        <v>6</v>
      </c>
      <c r="H1467" s="307" t="s">
        <v>858</v>
      </c>
      <c r="I1467" s="307" t="str">
        <f>("1008220092")</f>
        <v>1008220092</v>
      </c>
      <c r="J1467" s="307" t="s">
        <v>15</v>
      </c>
    </row>
    <row r="1468" spans="1:9" ht="13.5">
      <c r="A1468" s="419" t="str">
        <f t="shared" si="22"/>
        <v>ａｎｉｍｏｓｅｌｅｃｔ　ｆｏｏｔｂａｌｌ　ｃｌｕｂ　Ｕ－１２_3</v>
      </c>
      <c r="B1468" s="307" t="s">
        <v>206</v>
      </c>
      <c r="C1468" s="307" t="str">
        <f>("3")</f>
        <v>3</v>
      </c>
      <c r="D1468" s="307" t="s">
        <v>859</v>
      </c>
      <c r="E1468" s="307" t="s">
        <v>3817</v>
      </c>
      <c r="F1468" s="307" t="s">
        <v>3818</v>
      </c>
      <c r="G1468" s="307">
        <v>6</v>
      </c>
      <c r="H1468" s="307" t="s">
        <v>858</v>
      </c>
      <c r="I1468" s="307" t="str">
        <f>("1011260151")</f>
        <v>1011260151</v>
      </c>
    </row>
    <row r="1469" spans="1:9" ht="13.5">
      <c r="A1469" s="419" t="str">
        <f t="shared" si="22"/>
        <v>ａｎｉｍｏｓｅｌｅｃｔ　ｆｏｏｔｂａｌｌ　ｃｌｕｂ　Ｕ－１２_4</v>
      </c>
      <c r="B1469" s="307" t="s">
        <v>206</v>
      </c>
      <c r="C1469" s="307" t="str">
        <f>("4")</f>
        <v>4</v>
      </c>
      <c r="D1469" s="307" t="s">
        <v>859</v>
      </c>
      <c r="E1469" s="307" t="s">
        <v>3819</v>
      </c>
      <c r="F1469" s="307" t="s">
        <v>3820</v>
      </c>
      <c r="G1469" s="307">
        <v>6</v>
      </c>
      <c r="H1469" s="307" t="s">
        <v>858</v>
      </c>
      <c r="I1469" s="307" t="str">
        <f>("1011110027")</f>
        <v>1011110027</v>
      </c>
    </row>
    <row r="1470" spans="1:9" ht="13.5">
      <c r="A1470" s="419" t="str">
        <f t="shared" si="22"/>
        <v>ａｎｉｍｏｓｅｌｅｃｔ　ｆｏｏｔｂａｌｌ　ｃｌｕｂ　Ｕ－１２_5</v>
      </c>
      <c r="B1470" s="307" t="s">
        <v>206</v>
      </c>
      <c r="C1470" s="307" t="str">
        <f>("5")</f>
        <v>5</v>
      </c>
      <c r="D1470" s="307" t="s">
        <v>862</v>
      </c>
      <c r="E1470" s="307" t="s">
        <v>3821</v>
      </c>
      <c r="F1470" s="307" t="s">
        <v>3822</v>
      </c>
      <c r="G1470" s="307">
        <v>5</v>
      </c>
      <c r="H1470" s="307" t="s">
        <v>858</v>
      </c>
      <c r="I1470" s="307" t="str">
        <f>("1202280109")</f>
        <v>1202280109</v>
      </c>
    </row>
    <row r="1471" spans="1:9" ht="13.5">
      <c r="A1471" s="419" t="str">
        <f t="shared" si="22"/>
        <v>ａｎｉｍｏｓｅｌｅｃｔ　ｆｏｏｔｂａｌｌ　ｃｌｕｂ　Ｕ－１２_6</v>
      </c>
      <c r="B1471" s="307" t="s">
        <v>206</v>
      </c>
      <c r="C1471" s="307" t="str">
        <f>("6")</f>
        <v>6</v>
      </c>
      <c r="D1471" s="307" t="s">
        <v>884</v>
      </c>
      <c r="E1471" s="307" t="s">
        <v>3823</v>
      </c>
      <c r="F1471" s="307" t="s">
        <v>3824</v>
      </c>
      <c r="G1471" s="307">
        <v>5</v>
      </c>
      <c r="H1471" s="307" t="s">
        <v>858</v>
      </c>
      <c r="I1471" s="307" t="str">
        <f>("1104020039")</f>
        <v>1104020039</v>
      </c>
    </row>
    <row r="1472" spans="1:9" ht="13.5">
      <c r="A1472" s="419" t="str">
        <f t="shared" si="22"/>
        <v>ａｎｉｍｏｓｅｌｅｃｔ　ｆｏｏｔｂａｌｌ　ｃｌｕｂ　Ｕ－１２_7</v>
      </c>
      <c r="B1472" s="307" t="s">
        <v>206</v>
      </c>
      <c r="C1472" s="307" t="str">
        <f>("7")</f>
        <v>7</v>
      </c>
      <c r="D1472" s="307" t="s">
        <v>862</v>
      </c>
      <c r="E1472" s="307" t="s">
        <v>3825</v>
      </c>
      <c r="F1472" s="307" t="s">
        <v>3826</v>
      </c>
      <c r="G1472" s="307">
        <v>5</v>
      </c>
      <c r="H1472" s="307" t="s">
        <v>858</v>
      </c>
      <c r="I1472" s="307" t="str">
        <f>("1106160221")</f>
        <v>1106160221</v>
      </c>
    </row>
    <row r="1473" spans="1:9" ht="13.5">
      <c r="A1473" s="419" t="str">
        <f aca="true" t="shared" si="23" ref="A1473:A1504">CONCATENATE(B1473,"_",C1473)</f>
        <v>ａｎｉｍｏｓｅｌｅｃｔ　ｆｏｏｔｂａｌｌ　ｃｌｕｂ　Ｕ－１２_10</v>
      </c>
      <c r="B1473" s="307" t="s">
        <v>206</v>
      </c>
      <c r="C1473" s="307" t="str">
        <f>("10")</f>
        <v>10</v>
      </c>
      <c r="D1473" s="307" t="s">
        <v>862</v>
      </c>
      <c r="E1473" s="307" t="s">
        <v>3827</v>
      </c>
      <c r="F1473" s="307" t="s">
        <v>3828</v>
      </c>
      <c r="G1473" s="307">
        <v>5</v>
      </c>
      <c r="H1473" s="307" t="s">
        <v>858</v>
      </c>
      <c r="I1473" s="307" t="str">
        <f>("1107200120")</f>
        <v>1107200120</v>
      </c>
    </row>
    <row r="1474" spans="1:9" ht="13.5">
      <c r="A1474" s="419" t="str">
        <f t="shared" si="23"/>
        <v>ａｎｉｍｏｓｅｌｅｃｔ　ｆｏｏｔｂａｌｌ　ｃｌｕｂ　Ｕ－１２_11</v>
      </c>
      <c r="B1474" s="307" t="s">
        <v>206</v>
      </c>
      <c r="C1474" s="307" t="str">
        <f>("11")</f>
        <v>11</v>
      </c>
      <c r="D1474" s="307" t="s">
        <v>862</v>
      </c>
      <c r="E1474" s="307" t="s">
        <v>3829</v>
      </c>
      <c r="F1474" s="307" t="s">
        <v>3830</v>
      </c>
      <c r="G1474" s="307">
        <v>5</v>
      </c>
      <c r="H1474" s="307" t="s">
        <v>858</v>
      </c>
      <c r="I1474" s="307" t="str">
        <f>("1108130138")</f>
        <v>1108130138</v>
      </c>
    </row>
    <row r="1475" spans="1:9" ht="13.5">
      <c r="A1475" s="419" t="str">
        <f t="shared" si="23"/>
        <v>ａｎｉｍｏｓｅｌｅｃｔ　ｆｏｏｔｂａｌｌ　ｃｌｕｂ　Ｕ－１２_12</v>
      </c>
      <c r="B1475" s="307" t="s">
        <v>206</v>
      </c>
      <c r="C1475" s="307" t="str">
        <f>("12")</f>
        <v>12</v>
      </c>
      <c r="D1475" s="307" t="s">
        <v>862</v>
      </c>
      <c r="E1475" s="307" t="s">
        <v>3831</v>
      </c>
      <c r="F1475" s="307" t="s">
        <v>3832</v>
      </c>
      <c r="G1475" s="307">
        <v>5</v>
      </c>
      <c r="H1475" s="307" t="s">
        <v>858</v>
      </c>
      <c r="I1475" s="307" t="str">
        <f>("1105030133")</f>
        <v>1105030133</v>
      </c>
    </row>
    <row r="1476" spans="1:9" ht="13.5">
      <c r="A1476" s="419" t="str">
        <f t="shared" si="23"/>
        <v>ａｎｉｍｏｓｅｌｅｃｔ　ｆｏｏｔｂａｌｌ　ｃｌｕｂ　Ｕ－１２_13</v>
      </c>
      <c r="B1476" s="307" t="s">
        <v>206</v>
      </c>
      <c r="C1476" s="307" t="str">
        <f>("13")</f>
        <v>13</v>
      </c>
      <c r="D1476" s="307" t="s">
        <v>862</v>
      </c>
      <c r="E1476" s="307" t="s">
        <v>3833</v>
      </c>
      <c r="F1476" s="307" t="s">
        <v>3834</v>
      </c>
      <c r="G1476" s="307">
        <v>5</v>
      </c>
      <c r="H1476" s="307" t="s">
        <v>858</v>
      </c>
      <c r="I1476" s="307" t="str">
        <f>("1104270055")</f>
        <v>1104270055</v>
      </c>
    </row>
    <row r="1477" spans="1:9" ht="13.5">
      <c r="A1477" s="419" t="str">
        <f t="shared" si="23"/>
        <v>ＦＣ．ＲＥ．ＳＴＡＲＴ　_3</v>
      </c>
      <c r="B1477" s="307" t="s">
        <v>3835</v>
      </c>
      <c r="C1477" s="307" t="str">
        <f>("3")</f>
        <v>3</v>
      </c>
      <c r="D1477" s="307" t="s">
        <v>859</v>
      </c>
      <c r="E1477" s="307" t="s">
        <v>3836</v>
      </c>
      <c r="F1477" s="307" t="s">
        <v>3837</v>
      </c>
      <c r="G1477" s="307">
        <v>6</v>
      </c>
      <c r="H1477" s="307" t="s">
        <v>858</v>
      </c>
      <c r="I1477" s="307" t="str">
        <f>("1101310172")</f>
        <v>1101310172</v>
      </c>
    </row>
    <row r="1478" spans="1:9" ht="13.5">
      <c r="A1478" s="419" t="str">
        <f t="shared" si="23"/>
        <v>ＦＣ．ＲＥ．ＳＴＡＲＴ　_4</v>
      </c>
      <c r="B1478" s="307" t="s">
        <v>3835</v>
      </c>
      <c r="C1478" s="307" t="str">
        <f>("4")</f>
        <v>4</v>
      </c>
      <c r="D1478" s="307" t="s">
        <v>859</v>
      </c>
      <c r="E1478" s="307" t="s">
        <v>3838</v>
      </c>
      <c r="F1478" s="307" t="s">
        <v>3839</v>
      </c>
      <c r="G1478" s="307">
        <v>6</v>
      </c>
      <c r="H1478" s="307" t="s">
        <v>858</v>
      </c>
      <c r="I1478" s="307" t="str">
        <f>("1103280084")</f>
        <v>1103280084</v>
      </c>
    </row>
    <row r="1479" spans="1:9" ht="13.5">
      <c r="A1479" s="419" t="str">
        <f t="shared" si="23"/>
        <v>ＦＣ．ＲＥ．ＳＴＡＲＴ　_5</v>
      </c>
      <c r="B1479" s="307" t="s">
        <v>3835</v>
      </c>
      <c r="C1479" s="307" t="str">
        <f>("5")</f>
        <v>5</v>
      </c>
      <c r="D1479" s="307" t="s">
        <v>884</v>
      </c>
      <c r="E1479" s="307" t="s">
        <v>3840</v>
      </c>
      <c r="F1479" s="307" t="s">
        <v>3841</v>
      </c>
      <c r="G1479" s="307">
        <v>4</v>
      </c>
      <c r="H1479" s="307" t="s">
        <v>858</v>
      </c>
      <c r="I1479" s="307" t="str">
        <f>("1211250074")</f>
        <v>1211250074</v>
      </c>
    </row>
    <row r="1480" spans="1:9" ht="13.5">
      <c r="A1480" s="419" t="str">
        <f t="shared" si="23"/>
        <v>ＦＣ．ＲＥ．ＳＴＡＲＴ　_6</v>
      </c>
      <c r="B1480" s="307" t="s">
        <v>3835</v>
      </c>
      <c r="C1480" s="307" t="str">
        <f>("6")</f>
        <v>6</v>
      </c>
      <c r="D1480" s="307" t="s">
        <v>859</v>
      </c>
      <c r="E1480" s="307" t="s">
        <v>3842</v>
      </c>
      <c r="F1480" s="307" t="s">
        <v>3843</v>
      </c>
      <c r="G1480" s="307">
        <v>5</v>
      </c>
      <c r="H1480" s="307" t="s">
        <v>858</v>
      </c>
      <c r="I1480" s="307" t="str">
        <f>("1106090198")</f>
        <v>1106090198</v>
      </c>
    </row>
    <row r="1481" spans="1:9" ht="13.5">
      <c r="A1481" s="419" t="str">
        <f t="shared" si="23"/>
        <v>ＦＣ．ＲＥ．ＳＴＡＲＴ　_7</v>
      </c>
      <c r="B1481" s="307" t="s">
        <v>3835</v>
      </c>
      <c r="C1481" s="307" t="str">
        <f>("7")</f>
        <v>7</v>
      </c>
      <c r="D1481" s="307" t="s">
        <v>862</v>
      </c>
      <c r="E1481" s="307" t="s">
        <v>3844</v>
      </c>
      <c r="F1481" s="307" t="s">
        <v>3845</v>
      </c>
      <c r="G1481" s="307">
        <v>4</v>
      </c>
      <c r="H1481" s="307" t="s">
        <v>858</v>
      </c>
      <c r="I1481" s="307" t="str">
        <f>("1303010009")</f>
        <v>1303010009</v>
      </c>
    </row>
    <row r="1482" spans="1:9" ht="13.5">
      <c r="A1482" s="419" t="str">
        <f t="shared" si="23"/>
        <v>ＦＣ．ＲＥ．ＳＴＡＲＴ　_8</v>
      </c>
      <c r="B1482" s="307" t="s">
        <v>3835</v>
      </c>
      <c r="C1482" s="307" t="str">
        <f>("8")</f>
        <v>8</v>
      </c>
      <c r="D1482" s="307" t="s">
        <v>862</v>
      </c>
      <c r="E1482" s="307" t="s">
        <v>3846</v>
      </c>
      <c r="F1482" s="307" t="s">
        <v>3847</v>
      </c>
      <c r="G1482" s="307">
        <v>4</v>
      </c>
      <c r="H1482" s="307" t="s">
        <v>858</v>
      </c>
      <c r="I1482" s="307" t="str">
        <f>("1209140017")</f>
        <v>1209140017</v>
      </c>
    </row>
    <row r="1483" spans="1:9" ht="13.5">
      <c r="A1483" s="419" t="str">
        <f t="shared" si="23"/>
        <v>ＦＣ．ＲＥ．ＳＴＡＲＴ　_9</v>
      </c>
      <c r="B1483" s="307" t="s">
        <v>3835</v>
      </c>
      <c r="C1483" s="307" t="str">
        <f>("9")</f>
        <v>9</v>
      </c>
      <c r="D1483" s="307" t="s">
        <v>884</v>
      </c>
      <c r="E1483" s="307" t="s">
        <v>3848</v>
      </c>
      <c r="F1483" s="307" t="s">
        <v>3849</v>
      </c>
      <c r="G1483" s="307">
        <v>4</v>
      </c>
      <c r="H1483" s="307" t="s">
        <v>858</v>
      </c>
      <c r="I1483" s="307" t="str">
        <f>("1209150013")</f>
        <v>1209150013</v>
      </c>
    </row>
    <row r="1484" spans="1:9" ht="13.5">
      <c r="A1484" s="419" t="str">
        <f t="shared" si="23"/>
        <v>ＦＣ．ＲＥ．ＳＴＡＲＴ　_10</v>
      </c>
      <c r="B1484" s="307" t="s">
        <v>3835</v>
      </c>
      <c r="C1484" s="307" t="str">
        <f>("10")</f>
        <v>10</v>
      </c>
      <c r="D1484" s="307" t="s">
        <v>884</v>
      </c>
      <c r="E1484" s="307" t="s">
        <v>3850</v>
      </c>
      <c r="F1484" s="307" t="s">
        <v>3851</v>
      </c>
      <c r="G1484" s="307">
        <v>6</v>
      </c>
      <c r="H1484" s="307" t="s">
        <v>858</v>
      </c>
      <c r="I1484" s="307" t="str">
        <f>("1109260220")</f>
        <v>1109260220</v>
      </c>
    </row>
    <row r="1485" spans="1:10" ht="13.5">
      <c r="A1485" s="419" t="str">
        <f t="shared" si="23"/>
        <v>ＦＣ．ＲＥ．ＳＴＡＲＴ　_11</v>
      </c>
      <c r="B1485" s="307" t="s">
        <v>3835</v>
      </c>
      <c r="C1485" s="307" t="str">
        <f>("11")</f>
        <v>11</v>
      </c>
      <c r="D1485" s="307" t="s">
        <v>862</v>
      </c>
      <c r="E1485" s="307" t="s">
        <v>3852</v>
      </c>
      <c r="F1485" s="307" t="s">
        <v>3853</v>
      </c>
      <c r="G1485" s="307">
        <v>5</v>
      </c>
      <c r="H1485" s="307" t="s">
        <v>858</v>
      </c>
      <c r="I1485" s="307" t="str">
        <f>("1111150113")</f>
        <v>1111150113</v>
      </c>
      <c r="J1485" s="307" t="s">
        <v>15</v>
      </c>
    </row>
    <row r="1486" spans="1:9" ht="13.5">
      <c r="A1486" s="419" t="str">
        <f t="shared" si="23"/>
        <v>ＦＣ．ＲＥ．ＳＴＡＲＴ　_12</v>
      </c>
      <c r="B1486" s="307" t="s">
        <v>3835</v>
      </c>
      <c r="C1486" s="307" t="str">
        <f>("12")</f>
        <v>12</v>
      </c>
      <c r="D1486" s="307" t="s">
        <v>859</v>
      </c>
      <c r="E1486" s="307" t="s">
        <v>3854</v>
      </c>
      <c r="F1486" s="307" t="s">
        <v>3855</v>
      </c>
      <c r="G1486" s="307">
        <v>4</v>
      </c>
      <c r="H1486" s="307" t="s">
        <v>858</v>
      </c>
      <c r="I1486" s="307" t="str">
        <f>("1212040024")</f>
        <v>1212040024</v>
      </c>
    </row>
    <row r="1487" spans="1:9" ht="13.5">
      <c r="A1487" s="419" t="str">
        <f t="shared" si="23"/>
        <v>ＦＣ．ＲＥ．ＳＴＡＲＴ　_13</v>
      </c>
      <c r="B1487" s="307" t="s">
        <v>3835</v>
      </c>
      <c r="C1487" s="307" t="str">
        <f>("13")</f>
        <v>13</v>
      </c>
      <c r="D1487" s="307" t="s">
        <v>855</v>
      </c>
      <c r="E1487" s="307" t="s">
        <v>3856</v>
      </c>
      <c r="F1487" s="307" t="s">
        <v>3857</v>
      </c>
      <c r="G1487" s="307">
        <v>4</v>
      </c>
      <c r="H1487" s="307" t="s">
        <v>858</v>
      </c>
      <c r="I1487" s="307" t="str">
        <f>("1205290036")</f>
        <v>1205290036</v>
      </c>
    </row>
    <row r="1488" spans="1:9" ht="13.5">
      <c r="A1488" s="419" t="str">
        <f t="shared" si="23"/>
        <v>ＦＣ．ＲＥ．ＳＴＡＲＴ　_15</v>
      </c>
      <c r="B1488" s="307" t="s">
        <v>3835</v>
      </c>
      <c r="C1488" s="307" t="str">
        <f>("15")</f>
        <v>15</v>
      </c>
      <c r="D1488" s="307" t="s">
        <v>855</v>
      </c>
      <c r="E1488" s="307" t="s">
        <v>3858</v>
      </c>
      <c r="F1488" s="307" t="s">
        <v>3859</v>
      </c>
      <c r="G1488" s="307">
        <v>4</v>
      </c>
      <c r="H1488" s="307" t="s">
        <v>858</v>
      </c>
      <c r="I1488" s="307" t="str">
        <f>("1210100029")</f>
        <v>1210100029</v>
      </c>
    </row>
    <row r="1489" spans="1:9" ht="13.5">
      <c r="A1489" s="419" t="str">
        <f t="shared" si="23"/>
        <v>大分セントラルＦＣ_1</v>
      </c>
      <c r="B1489" s="307" t="s">
        <v>3860</v>
      </c>
      <c r="C1489" s="307" t="str">
        <f>("1")</f>
        <v>1</v>
      </c>
      <c r="D1489" s="307" t="s">
        <v>855</v>
      </c>
      <c r="E1489" s="307" t="s">
        <v>3861</v>
      </c>
      <c r="F1489" s="307" t="s">
        <v>3862</v>
      </c>
      <c r="G1489" s="307">
        <v>5</v>
      </c>
      <c r="H1489" s="307" t="s">
        <v>858</v>
      </c>
      <c r="I1489" s="307" t="str">
        <f>("1005260007")</f>
        <v>1005260007</v>
      </c>
    </row>
    <row r="1490" spans="1:9" ht="13.5">
      <c r="A1490" s="419" t="str">
        <f t="shared" si="23"/>
        <v>大分セントラルＦＣ_2</v>
      </c>
      <c r="B1490" s="307" t="s">
        <v>3860</v>
      </c>
      <c r="C1490" s="307" t="str">
        <f>("2")</f>
        <v>2</v>
      </c>
      <c r="D1490" s="307" t="s">
        <v>859</v>
      </c>
      <c r="E1490" s="307" t="s">
        <v>3863</v>
      </c>
      <c r="F1490" s="307" t="s">
        <v>3864</v>
      </c>
      <c r="G1490" s="307">
        <v>5</v>
      </c>
      <c r="H1490" s="307" t="s">
        <v>858</v>
      </c>
      <c r="I1490" s="307" t="str">
        <f>("1011050059")</f>
        <v>1011050059</v>
      </c>
    </row>
    <row r="1491" spans="1:9" ht="13.5">
      <c r="A1491" s="419" t="str">
        <f t="shared" si="23"/>
        <v>大分セントラルＦＣ_3</v>
      </c>
      <c r="B1491" s="307" t="s">
        <v>3860</v>
      </c>
      <c r="C1491" s="307" t="str">
        <f>("3")</f>
        <v>3</v>
      </c>
      <c r="D1491" s="307" t="s">
        <v>862</v>
      </c>
      <c r="E1491" s="307" t="s">
        <v>3865</v>
      </c>
      <c r="F1491" s="307" t="s">
        <v>3866</v>
      </c>
      <c r="G1491" s="307">
        <v>4</v>
      </c>
      <c r="H1491" s="307" t="s">
        <v>858</v>
      </c>
      <c r="I1491" s="307" t="str">
        <f>("1201190078")</f>
        <v>1201190078</v>
      </c>
    </row>
    <row r="1492" spans="1:9" ht="13.5">
      <c r="A1492" s="419" t="str">
        <f t="shared" si="23"/>
        <v>大分セントラルＦＣ_4</v>
      </c>
      <c r="B1492" s="307" t="s">
        <v>3860</v>
      </c>
      <c r="C1492" s="307" t="str">
        <f>("4")</f>
        <v>4</v>
      </c>
      <c r="D1492" s="307" t="s">
        <v>862</v>
      </c>
      <c r="E1492" s="307" t="s">
        <v>3867</v>
      </c>
      <c r="F1492" s="307" t="s">
        <v>3868</v>
      </c>
      <c r="G1492" s="307">
        <v>5</v>
      </c>
      <c r="H1492" s="307" t="s">
        <v>858</v>
      </c>
      <c r="I1492" s="307" t="str">
        <f>("1012160149")</f>
        <v>1012160149</v>
      </c>
    </row>
    <row r="1493" spans="1:9" ht="13.5">
      <c r="A1493" s="419" t="str">
        <f t="shared" si="23"/>
        <v>大分セントラルＦＣ_5</v>
      </c>
      <c r="B1493" s="307" t="s">
        <v>3860</v>
      </c>
      <c r="C1493" s="307" t="str">
        <f>("5")</f>
        <v>5</v>
      </c>
      <c r="D1493" s="307" t="s">
        <v>859</v>
      </c>
      <c r="E1493" s="307" t="s">
        <v>3869</v>
      </c>
      <c r="F1493" s="307" t="s">
        <v>3870</v>
      </c>
      <c r="G1493" s="307">
        <v>5</v>
      </c>
      <c r="H1493" s="307" t="s">
        <v>858</v>
      </c>
      <c r="I1493" s="307" t="str">
        <f>("1110210107")</f>
        <v>1110210107</v>
      </c>
    </row>
    <row r="1494" spans="1:9" ht="13.5">
      <c r="A1494" s="419" t="str">
        <f t="shared" si="23"/>
        <v>大分セントラルＦＣ_6</v>
      </c>
      <c r="B1494" s="307" t="s">
        <v>3860</v>
      </c>
      <c r="C1494" s="307" t="str">
        <f>("6")</f>
        <v>6</v>
      </c>
      <c r="D1494" s="307" t="s">
        <v>862</v>
      </c>
      <c r="E1494" s="307" t="s">
        <v>3871</v>
      </c>
      <c r="F1494" s="307" t="s">
        <v>3872</v>
      </c>
      <c r="G1494" s="307">
        <v>6</v>
      </c>
      <c r="H1494" s="307" t="s">
        <v>858</v>
      </c>
      <c r="I1494" s="307" t="str">
        <f>("1006030153")</f>
        <v>1006030153</v>
      </c>
    </row>
    <row r="1495" spans="1:9" ht="13.5">
      <c r="A1495" s="419" t="str">
        <f t="shared" si="23"/>
        <v>大分セントラルＦＣ_7</v>
      </c>
      <c r="B1495" s="307" t="s">
        <v>3860</v>
      </c>
      <c r="C1495" s="307" t="str">
        <f>("7")</f>
        <v>7</v>
      </c>
      <c r="D1495" s="307" t="s">
        <v>862</v>
      </c>
      <c r="E1495" s="307" t="s">
        <v>3873</v>
      </c>
      <c r="F1495" s="307" t="s">
        <v>3874</v>
      </c>
      <c r="G1495" s="307">
        <v>5</v>
      </c>
      <c r="H1495" s="307" t="s">
        <v>858</v>
      </c>
      <c r="I1495" s="307" t="str">
        <f>("1103270090")</f>
        <v>1103270090</v>
      </c>
    </row>
    <row r="1496" spans="1:9" ht="13.5">
      <c r="A1496" s="419" t="str">
        <f t="shared" si="23"/>
        <v>大分セントラルＦＣ_8</v>
      </c>
      <c r="B1496" s="307" t="s">
        <v>3860</v>
      </c>
      <c r="C1496" s="307" t="str">
        <f>("8")</f>
        <v>8</v>
      </c>
      <c r="D1496" s="307" t="s">
        <v>884</v>
      </c>
      <c r="E1496" s="307" t="s">
        <v>3875</v>
      </c>
      <c r="F1496" s="307" t="s">
        <v>3876</v>
      </c>
      <c r="G1496" s="307">
        <v>6</v>
      </c>
      <c r="H1496" s="307" t="s">
        <v>858</v>
      </c>
      <c r="I1496" s="307" t="str">
        <f>("1006010246")</f>
        <v>1006010246</v>
      </c>
    </row>
    <row r="1497" spans="1:9" ht="13.5">
      <c r="A1497" s="419" t="str">
        <f t="shared" si="23"/>
        <v>大分セントラルＦＣ_9</v>
      </c>
      <c r="B1497" s="307" t="s">
        <v>3860</v>
      </c>
      <c r="C1497" s="307" t="str">
        <f>("9")</f>
        <v>9</v>
      </c>
      <c r="D1497" s="307" t="s">
        <v>862</v>
      </c>
      <c r="E1497" s="307" t="s">
        <v>3877</v>
      </c>
      <c r="F1497" s="307" t="s">
        <v>3878</v>
      </c>
      <c r="G1497" s="307">
        <v>6</v>
      </c>
      <c r="H1497" s="307" t="s">
        <v>858</v>
      </c>
      <c r="I1497" s="307" t="str">
        <f>("1009140185")</f>
        <v>1009140185</v>
      </c>
    </row>
    <row r="1498" spans="1:10" ht="13.5">
      <c r="A1498" s="419" t="str">
        <f t="shared" si="23"/>
        <v>大分セントラルＦＣ_10</v>
      </c>
      <c r="B1498" s="307" t="s">
        <v>3860</v>
      </c>
      <c r="C1498" s="307" t="str">
        <f>("10")</f>
        <v>10</v>
      </c>
      <c r="D1498" s="307" t="s">
        <v>862</v>
      </c>
      <c r="E1498" s="307" t="s">
        <v>3879</v>
      </c>
      <c r="F1498" s="307" t="s">
        <v>3880</v>
      </c>
      <c r="G1498" s="307">
        <v>6</v>
      </c>
      <c r="H1498" s="307" t="s">
        <v>858</v>
      </c>
      <c r="I1498" s="307" t="str">
        <f>("1011230105")</f>
        <v>1011230105</v>
      </c>
      <c r="J1498" s="307" t="s">
        <v>15</v>
      </c>
    </row>
    <row r="1499" spans="1:9" ht="13.5">
      <c r="A1499" s="419" t="str">
        <f t="shared" si="23"/>
        <v>大分セントラルＦＣ_11</v>
      </c>
      <c r="B1499" s="307" t="s">
        <v>3860</v>
      </c>
      <c r="C1499" s="307" t="str">
        <f>("11")</f>
        <v>11</v>
      </c>
      <c r="D1499" s="307" t="s">
        <v>862</v>
      </c>
      <c r="E1499" s="307" t="s">
        <v>3881</v>
      </c>
      <c r="F1499" s="307" t="s">
        <v>3882</v>
      </c>
      <c r="G1499" s="307">
        <v>6</v>
      </c>
      <c r="H1499" s="307" t="s">
        <v>858</v>
      </c>
      <c r="I1499" s="307" t="str">
        <f>("1008010002")</f>
        <v>1008010002</v>
      </c>
    </row>
    <row r="1500" spans="1:9" ht="13.5">
      <c r="A1500" s="419" t="str">
        <f t="shared" si="23"/>
        <v>大分セントラルＦＣ_12</v>
      </c>
      <c r="B1500" s="307" t="s">
        <v>3860</v>
      </c>
      <c r="C1500" s="307" t="str">
        <f>("12")</f>
        <v>12</v>
      </c>
      <c r="D1500" s="307" t="s">
        <v>862</v>
      </c>
      <c r="E1500" s="307" t="s">
        <v>3883</v>
      </c>
      <c r="F1500" s="307" t="s">
        <v>3884</v>
      </c>
      <c r="G1500" s="307">
        <v>4</v>
      </c>
      <c r="H1500" s="307" t="s">
        <v>858</v>
      </c>
      <c r="I1500" s="307" t="str">
        <f>("1112270114")</f>
        <v>1112270114</v>
      </c>
    </row>
    <row r="1501" spans="1:9" ht="13.5">
      <c r="A1501" s="419" t="str">
        <f t="shared" si="23"/>
        <v>大分セントラルＦＣ_13</v>
      </c>
      <c r="B1501" s="307" t="s">
        <v>3860</v>
      </c>
      <c r="C1501" s="307" t="str">
        <f>("13")</f>
        <v>13</v>
      </c>
      <c r="D1501" s="307" t="s">
        <v>884</v>
      </c>
      <c r="E1501" s="307" t="s">
        <v>3885</v>
      </c>
      <c r="F1501" s="307" t="s">
        <v>3886</v>
      </c>
      <c r="G1501" s="307">
        <v>4</v>
      </c>
      <c r="H1501" s="307" t="s">
        <v>858</v>
      </c>
      <c r="I1501" s="307" t="str">
        <f>("1208280152")</f>
        <v>1208280152</v>
      </c>
    </row>
    <row r="1502" spans="1:9" ht="13.5">
      <c r="A1502" s="419" t="str">
        <f t="shared" si="23"/>
        <v>大分セントラルＦＣ_14</v>
      </c>
      <c r="B1502" s="307" t="s">
        <v>3860</v>
      </c>
      <c r="C1502" s="307" t="str">
        <f>("14")</f>
        <v>14</v>
      </c>
      <c r="D1502" s="307" t="s">
        <v>884</v>
      </c>
      <c r="E1502" s="307" t="s">
        <v>3887</v>
      </c>
      <c r="F1502" s="307" t="s">
        <v>3888</v>
      </c>
      <c r="G1502" s="307">
        <v>4</v>
      </c>
      <c r="H1502" s="307" t="s">
        <v>858</v>
      </c>
      <c r="I1502" s="307" t="str">
        <f>("1206050153")</f>
        <v>1206050153</v>
      </c>
    </row>
    <row r="1503" spans="1:9" ht="13.5">
      <c r="A1503" s="419" t="str">
        <f t="shared" si="23"/>
        <v>大分セントラルＦＣ_15</v>
      </c>
      <c r="B1503" s="307" t="s">
        <v>3860</v>
      </c>
      <c r="C1503" s="307" t="str">
        <f>("15")</f>
        <v>15</v>
      </c>
      <c r="D1503" s="307" t="s">
        <v>862</v>
      </c>
      <c r="E1503" s="307" t="s">
        <v>3889</v>
      </c>
      <c r="F1503" s="307" t="s">
        <v>3890</v>
      </c>
      <c r="G1503" s="307">
        <v>4</v>
      </c>
      <c r="H1503" s="307" t="s">
        <v>869</v>
      </c>
      <c r="I1503" s="307" t="str">
        <f>("1208030154")</f>
        <v>1208030154</v>
      </c>
    </row>
    <row r="1504" spans="1:9" ht="13.5">
      <c r="A1504" s="419" t="str">
        <f t="shared" si="23"/>
        <v>大分セントラルＦＣ_16</v>
      </c>
      <c r="B1504" s="307" t="s">
        <v>3860</v>
      </c>
      <c r="C1504" s="307" t="str">
        <f>("16")</f>
        <v>16</v>
      </c>
      <c r="D1504" s="307" t="s">
        <v>884</v>
      </c>
      <c r="E1504" s="307" t="s">
        <v>3891</v>
      </c>
      <c r="F1504" s="307" t="s">
        <v>3892</v>
      </c>
      <c r="G1504" s="307">
        <v>4</v>
      </c>
      <c r="H1504" s="307" t="s">
        <v>858</v>
      </c>
      <c r="I1504" s="307" t="str">
        <f>("1212200148")</f>
        <v>1212200148</v>
      </c>
    </row>
  </sheetData>
  <printOptions/>
  <pageMargins left="0.7" right="0.7" top="0.75" bottom="0.75" header="0.3" footer="0.3"/>
  <pageSetup horizontalDpi="600" verticalDpi="600" orientation="portrait" paperSize="9"/>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indexed="10"/>
  </sheetPr>
  <dimension ref="A1:L2657"/>
  <sheetViews>
    <sheetView zoomScale="70" zoomScaleNormal="70" workbookViewId="0" topLeftCell="A1">
      <selection activeCell="O16" sqref="O16"/>
    </sheetView>
  </sheetViews>
  <sheetFormatPr defaultColWidth="9.00390625" defaultRowHeight="13.5"/>
  <cols>
    <col min="1" max="1" width="13.25390625" style="307" bestFit="1" customWidth="1"/>
    <col min="2" max="2" width="25.125" style="307" bestFit="1" customWidth="1"/>
    <col min="3" max="3" width="5.00390625" style="307" bestFit="1" customWidth="1"/>
    <col min="4" max="4" width="25.125" style="307" bestFit="1" customWidth="1"/>
    <col min="5" max="5" width="5.00390625" style="307" bestFit="1" customWidth="1"/>
    <col min="6" max="7" width="9.125" style="307" bestFit="1" customWidth="1"/>
    <col min="8" max="8" width="13.25390625" style="307" bestFit="1" customWidth="1"/>
    <col min="9" max="9" width="9.00390625" style="415" customWidth="1"/>
    <col min="10" max="10" width="10.375" style="415" bestFit="1" customWidth="1"/>
    <col min="11" max="11" width="9.00390625" style="415" customWidth="1"/>
    <col min="12" max="12" width="15.375" style="415" bestFit="1" customWidth="1"/>
    <col min="13" max="16384" width="9.00390625" style="415" customWidth="1"/>
  </cols>
  <sheetData>
    <row r="1" spans="1:12" ht="13.5">
      <c r="A1" s="307" t="s">
        <v>3893</v>
      </c>
      <c r="B1" s="307" t="s">
        <v>418</v>
      </c>
      <c r="C1" s="307" t="s">
        <v>3894</v>
      </c>
      <c r="D1" s="307" t="s">
        <v>3895</v>
      </c>
      <c r="E1" s="307" t="s">
        <v>3896</v>
      </c>
      <c r="F1" s="307" t="s">
        <v>3897</v>
      </c>
      <c r="G1" s="307" t="s">
        <v>3898</v>
      </c>
      <c r="H1" s="307" t="s">
        <v>3899</v>
      </c>
      <c r="J1" s="415" t="s">
        <v>3900</v>
      </c>
      <c r="L1" s="415" t="s">
        <v>796</v>
      </c>
    </row>
    <row r="2" spans="1:12" ht="13.5">
      <c r="A2" s="307" t="s">
        <v>3901</v>
      </c>
      <c r="B2" s="307" t="s">
        <v>3902</v>
      </c>
      <c r="C2" s="307" t="s">
        <v>3903</v>
      </c>
      <c r="D2" s="307" t="s">
        <v>3904</v>
      </c>
      <c r="E2" s="307" t="s">
        <v>3905</v>
      </c>
      <c r="F2" s="307" t="s">
        <v>3906</v>
      </c>
      <c r="G2" s="307" t="s">
        <v>3907</v>
      </c>
      <c r="J2" s="415" t="s">
        <v>421</v>
      </c>
      <c r="L2" s="415" t="s">
        <v>422</v>
      </c>
    </row>
    <row r="3" spans="1:12" ht="13.5">
      <c r="A3" s="307" t="s">
        <v>3908</v>
      </c>
      <c r="B3" s="307" t="s">
        <v>3909</v>
      </c>
      <c r="C3" s="307" t="s">
        <v>3910</v>
      </c>
      <c r="D3" s="307" t="s">
        <v>3911</v>
      </c>
      <c r="E3" s="307" t="s">
        <v>3905</v>
      </c>
      <c r="F3" s="307" t="s">
        <v>3906</v>
      </c>
      <c r="G3" s="307" t="s">
        <v>3907</v>
      </c>
      <c r="J3" s="415" t="s">
        <v>802</v>
      </c>
      <c r="L3" s="415" t="s">
        <v>423</v>
      </c>
    </row>
    <row r="4" spans="1:12" ht="13.5">
      <c r="A4" s="307" t="s">
        <v>3912</v>
      </c>
      <c r="B4" s="307" t="s">
        <v>3913</v>
      </c>
      <c r="C4" s="307" t="s">
        <v>3910</v>
      </c>
      <c r="D4" s="307" t="s">
        <v>3914</v>
      </c>
      <c r="E4" s="307" t="s">
        <v>3905</v>
      </c>
      <c r="F4" s="307" t="s">
        <v>3906</v>
      </c>
      <c r="G4" s="307" t="s">
        <v>3907</v>
      </c>
      <c r="L4" s="415" t="s">
        <v>805</v>
      </c>
    </row>
    <row r="5" spans="1:12" ht="13.5">
      <c r="A5" s="307" t="s">
        <v>3915</v>
      </c>
      <c r="B5" s="307" t="s">
        <v>3916</v>
      </c>
      <c r="C5" s="307" t="s">
        <v>3910</v>
      </c>
      <c r="D5" s="307" t="s">
        <v>3917</v>
      </c>
      <c r="E5" s="307" t="s">
        <v>3905</v>
      </c>
      <c r="F5" s="307" t="s">
        <v>3906</v>
      </c>
      <c r="G5" s="307" t="s">
        <v>3907</v>
      </c>
      <c r="L5" s="415" t="s">
        <v>809</v>
      </c>
    </row>
    <row r="6" spans="1:12" ht="13.5">
      <c r="A6" s="307" t="s">
        <v>3918</v>
      </c>
      <c r="B6" s="307" t="s">
        <v>3919</v>
      </c>
      <c r="C6" s="307" t="s">
        <v>3910</v>
      </c>
      <c r="D6" s="307" t="s">
        <v>3920</v>
      </c>
      <c r="E6" s="307" t="s">
        <v>3905</v>
      </c>
      <c r="F6" s="307" t="s">
        <v>3906</v>
      </c>
      <c r="G6" s="307" t="s">
        <v>3907</v>
      </c>
      <c r="L6" s="415" t="s">
        <v>811</v>
      </c>
    </row>
    <row r="7" spans="1:12" ht="13.5">
      <c r="A7" s="307" t="s">
        <v>3921</v>
      </c>
      <c r="B7" s="307" t="s">
        <v>585</v>
      </c>
      <c r="C7" s="307" t="s">
        <v>3910</v>
      </c>
      <c r="D7" s="307" t="s">
        <v>3922</v>
      </c>
      <c r="E7" s="307" t="s">
        <v>3905</v>
      </c>
      <c r="F7" s="307" t="s">
        <v>3906</v>
      </c>
      <c r="G7" s="307" t="s">
        <v>3907</v>
      </c>
      <c r="L7" s="415" t="s">
        <v>813</v>
      </c>
    </row>
    <row r="8" spans="1:12" ht="13.5">
      <c r="A8" s="307" t="s">
        <v>3923</v>
      </c>
      <c r="B8" s="307" t="s">
        <v>3924</v>
      </c>
      <c r="C8" s="307" t="s">
        <v>3910</v>
      </c>
      <c r="D8" s="307" t="s">
        <v>3925</v>
      </c>
      <c r="E8" s="307" t="s">
        <v>3905</v>
      </c>
      <c r="F8" s="307" t="s">
        <v>3906</v>
      </c>
      <c r="G8" s="307" t="s">
        <v>3907</v>
      </c>
      <c r="L8" s="415" t="s">
        <v>815</v>
      </c>
    </row>
    <row r="9" spans="1:12" ht="13.5">
      <c r="A9" s="307" t="s">
        <v>3926</v>
      </c>
      <c r="B9" s="307" t="s">
        <v>3927</v>
      </c>
      <c r="C9" s="307" t="s">
        <v>3910</v>
      </c>
      <c r="D9" s="307" t="s">
        <v>3928</v>
      </c>
      <c r="E9" s="307" t="s">
        <v>3905</v>
      </c>
      <c r="F9" s="307" t="s">
        <v>3906</v>
      </c>
      <c r="G9" s="307" t="s">
        <v>3907</v>
      </c>
      <c r="L9" s="415" t="s">
        <v>818</v>
      </c>
    </row>
    <row r="10" spans="1:12" ht="13.5">
      <c r="A10" s="307" t="s">
        <v>3929</v>
      </c>
      <c r="B10" s="307" t="s">
        <v>3930</v>
      </c>
      <c r="C10" s="307" t="s">
        <v>3910</v>
      </c>
      <c r="D10" s="307" t="s">
        <v>3931</v>
      </c>
      <c r="E10" s="307" t="s">
        <v>3905</v>
      </c>
      <c r="F10" s="307" t="s">
        <v>3906</v>
      </c>
      <c r="G10" s="307" t="s">
        <v>3907</v>
      </c>
      <c r="L10" s="415" t="s">
        <v>821</v>
      </c>
    </row>
    <row r="11" spans="1:12" ht="13.5">
      <c r="A11" s="307" t="s">
        <v>3932</v>
      </c>
      <c r="B11" s="307" t="s">
        <v>3933</v>
      </c>
      <c r="C11" s="307" t="s">
        <v>3910</v>
      </c>
      <c r="D11" s="307" t="s">
        <v>3934</v>
      </c>
      <c r="E11" s="307" t="s">
        <v>3905</v>
      </c>
      <c r="F11" s="307" t="s">
        <v>3906</v>
      </c>
      <c r="G11" s="307" t="s">
        <v>3907</v>
      </c>
      <c r="L11" s="415" t="s">
        <v>824</v>
      </c>
    </row>
    <row r="12" spans="1:12" ht="13.5">
      <c r="A12" s="307" t="s">
        <v>603</v>
      </c>
      <c r="B12" s="307" t="s">
        <v>3935</v>
      </c>
      <c r="C12" s="307" t="s">
        <v>3910</v>
      </c>
      <c r="D12" s="307" t="s">
        <v>3936</v>
      </c>
      <c r="E12" s="307" t="s">
        <v>3905</v>
      </c>
      <c r="F12" s="307" t="s">
        <v>3906</v>
      </c>
      <c r="G12" s="307" t="s">
        <v>3907</v>
      </c>
      <c r="L12" s="415" t="s">
        <v>827</v>
      </c>
    </row>
    <row r="13" spans="1:12" ht="13.5">
      <c r="A13" s="307" t="s">
        <v>3937</v>
      </c>
      <c r="B13" s="307" t="s">
        <v>3938</v>
      </c>
      <c r="C13" s="307" t="s">
        <v>3910</v>
      </c>
      <c r="D13" s="307" t="s">
        <v>3939</v>
      </c>
      <c r="E13" s="307" t="s">
        <v>3905</v>
      </c>
      <c r="F13" s="307" t="s">
        <v>3906</v>
      </c>
      <c r="G13" s="307" t="s">
        <v>3907</v>
      </c>
      <c r="L13" s="415" t="s">
        <v>830</v>
      </c>
    </row>
    <row r="14" spans="1:12" ht="13.5">
      <c r="A14" s="307" t="s">
        <v>3940</v>
      </c>
      <c r="B14" s="307" t="s">
        <v>3941</v>
      </c>
      <c r="C14" s="307" t="s">
        <v>3910</v>
      </c>
      <c r="D14" s="307" t="s">
        <v>3942</v>
      </c>
      <c r="E14" s="307" t="s">
        <v>3905</v>
      </c>
      <c r="F14" s="307" t="s">
        <v>3906</v>
      </c>
      <c r="G14" s="307" t="s">
        <v>3907</v>
      </c>
      <c r="L14" s="415" t="s">
        <v>832</v>
      </c>
    </row>
    <row r="15" spans="1:12" ht="13.5">
      <c r="A15" s="307" t="s">
        <v>3943</v>
      </c>
      <c r="B15" s="307" t="s">
        <v>3944</v>
      </c>
      <c r="C15" s="307" t="s">
        <v>3910</v>
      </c>
      <c r="D15" s="307" t="s">
        <v>3945</v>
      </c>
      <c r="E15" s="307" t="s">
        <v>3905</v>
      </c>
      <c r="F15" s="307" t="s">
        <v>3906</v>
      </c>
      <c r="G15" s="307" t="s">
        <v>3907</v>
      </c>
      <c r="L15" s="415" t="s">
        <v>835</v>
      </c>
    </row>
    <row r="16" spans="1:12" ht="13.5">
      <c r="A16" s="307" t="s">
        <v>3946</v>
      </c>
      <c r="B16" s="307" t="s">
        <v>3947</v>
      </c>
      <c r="C16" s="307" t="s">
        <v>3910</v>
      </c>
      <c r="D16" s="307" t="s">
        <v>3948</v>
      </c>
      <c r="E16" s="307" t="s">
        <v>3905</v>
      </c>
      <c r="F16" s="307" t="s">
        <v>3906</v>
      </c>
      <c r="G16" s="307" t="s">
        <v>3907</v>
      </c>
      <c r="L16" s="415" t="s">
        <v>838</v>
      </c>
    </row>
    <row r="17" spans="1:12" ht="13.5">
      <c r="A17" s="307" t="s">
        <v>3949</v>
      </c>
      <c r="B17" s="307" t="s">
        <v>3950</v>
      </c>
      <c r="C17" s="307" t="s">
        <v>3910</v>
      </c>
      <c r="D17" s="307" t="s">
        <v>3951</v>
      </c>
      <c r="E17" s="307" t="s">
        <v>3905</v>
      </c>
      <c r="F17" s="307" t="s">
        <v>3906</v>
      </c>
      <c r="G17" s="307" t="s">
        <v>3907</v>
      </c>
      <c r="L17" s="415" t="s">
        <v>839</v>
      </c>
    </row>
    <row r="18" spans="1:7" ht="13.5">
      <c r="A18" s="307" t="s">
        <v>3952</v>
      </c>
      <c r="B18" s="307" t="s">
        <v>3953</v>
      </c>
      <c r="C18" s="307" t="s">
        <v>3910</v>
      </c>
      <c r="D18" s="307" t="s">
        <v>3954</v>
      </c>
      <c r="E18" s="307" t="s">
        <v>3905</v>
      </c>
      <c r="F18" s="307" t="s">
        <v>3906</v>
      </c>
      <c r="G18" s="307" t="s">
        <v>3907</v>
      </c>
    </row>
    <row r="19" spans="1:7" ht="13.5">
      <c r="A19" s="307" t="s">
        <v>3955</v>
      </c>
      <c r="B19" s="307" t="s">
        <v>3956</v>
      </c>
      <c r="C19" s="307" t="s">
        <v>3910</v>
      </c>
      <c r="D19" s="307" t="s">
        <v>3957</v>
      </c>
      <c r="E19" s="307" t="s">
        <v>3905</v>
      </c>
      <c r="F19" s="307" t="s">
        <v>3906</v>
      </c>
      <c r="G19" s="307" t="s">
        <v>3907</v>
      </c>
    </row>
    <row r="20" spans="1:7" ht="13.5">
      <c r="A20" s="307" t="s">
        <v>3958</v>
      </c>
      <c r="B20" s="307" t="s">
        <v>3959</v>
      </c>
      <c r="C20" s="307" t="s">
        <v>3910</v>
      </c>
      <c r="D20" s="307" t="s">
        <v>3960</v>
      </c>
      <c r="E20" s="307" t="s">
        <v>3905</v>
      </c>
      <c r="F20" s="307" t="s">
        <v>3906</v>
      </c>
      <c r="G20" s="307" t="s">
        <v>3907</v>
      </c>
    </row>
    <row r="21" spans="1:7" ht="13.5">
      <c r="A21" s="307" t="s">
        <v>3961</v>
      </c>
      <c r="B21" s="307" t="s">
        <v>3962</v>
      </c>
      <c r="C21" s="307" t="s">
        <v>3910</v>
      </c>
      <c r="D21" s="307" t="s">
        <v>3963</v>
      </c>
      <c r="E21" s="307" t="s">
        <v>3905</v>
      </c>
      <c r="F21" s="307" t="s">
        <v>3906</v>
      </c>
      <c r="G21" s="307" t="s">
        <v>3907</v>
      </c>
    </row>
    <row r="22" spans="1:7" ht="13.5">
      <c r="A22" s="307" t="s">
        <v>3964</v>
      </c>
      <c r="B22" s="307" t="s">
        <v>3965</v>
      </c>
      <c r="C22" s="307" t="s">
        <v>3910</v>
      </c>
      <c r="D22" s="307" t="s">
        <v>3966</v>
      </c>
      <c r="E22" s="307" t="s">
        <v>3905</v>
      </c>
      <c r="F22" s="307" t="s">
        <v>3906</v>
      </c>
      <c r="G22" s="307" t="s">
        <v>3907</v>
      </c>
    </row>
    <row r="23" spans="1:7" ht="13.5">
      <c r="A23" s="307" t="s">
        <v>3967</v>
      </c>
      <c r="B23" s="307" t="s">
        <v>3968</v>
      </c>
      <c r="C23" s="307" t="s">
        <v>3910</v>
      </c>
      <c r="D23" s="307" t="s">
        <v>3969</v>
      </c>
      <c r="E23" s="307" t="s">
        <v>3905</v>
      </c>
      <c r="F23" s="307" t="s">
        <v>3906</v>
      </c>
      <c r="G23" s="307" t="s">
        <v>3907</v>
      </c>
    </row>
    <row r="24" spans="1:7" ht="13.5">
      <c r="A24" s="307" t="s">
        <v>3970</v>
      </c>
      <c r="B24" s="307" t="s">
        <v>3971</v>
      </c>
      <c r="C24" s="307" t="s">
        <v>3910</v>
      </c>
      <c r="D24" s="307" t="s">
        <v>3972</v>
      </c>
      <c r="E24" s="307" t="s">
        <v>3905</v>
      </c>
      <c r="F24" s="307" t="s">
        <v>3906</v>
      </c>
      <c r="G24" s="307" t="s">
        <v>3907</v>
      </c>
    </row>
    <row r="25" spans="1:7" ht="13.5">
      <c r="A25" s="307" t="s">
        <v>3973</v>
      </c>
      <c r="B25" s="307" t="s">
        <v>3974</v>
      </c>
      <c r="C25" s="307" t="s">
        <v>3910</v>
      </c>
      <c r="D25" s="307" t="s">
        <v>3975</v>
      </c>
      <c r="E25" s="307" t="s">
        <v>3905</v>
      </c>
      <c r="F25" s="307" t="s">
        <v>3906</v>
      </c>
      <c r="G25" s="307" t="s">
        <v>3907</v>
      </c>
    </row>
    <row r="26" spans="1:7" ht="13.5">
      <c r="A26" s="307" t="s">
        <v>3976</v>
      </c>
      <c r="B26" s="307" t="s">
        <v>3977</v>
      </c>
      <c r="C26" s="307" t="s">
        <v>3910</v>
      </c>
      <c r="D26" s="307" t="s">
        <v>3978</v>
      </c>
      <c r="E26" s="307" t="s">
        <v>3905</v>
      </c>
      <c r="F26" s="307" t="s">
        <v>3906</v>
      </c>
      <c r="G26" s="307" t="s">
        <v>3907</v>
      </c>
    </row>
    <row r="27" spans="1:7" ht="13.5">
      <c r="A27" s="307" t="s">
        <v>3979</v>
      </c>
      <c r="B27" s="307" t="s">
        <v>3980</v>
      </c>
      <c r="C27" s="307" t="s">
        <v>3910</v>
      </c>
      <c r="D27" s="307" t="s">
        <v>3981</v>
      </c>
      <c r="E27" s="307" t="s">
        <v>3905</v>
      </c>
      <c r="F27" s="307" t="s">
        <v>3906</v>
      </c>
      <c r="G27" s="307" t="s">
        <v>3907</v>
      </c>
    </row>
    <row r="28" spans="1:7" ht="13.5">
      <c r="A28" s="307" t="s">
        <v>3982</v>
      </c>
      <c r="B28" s="307" t="s">
        <v>3983</v>
      </c>
      <c r="C28" s="307" t="s">
        <v>3910</v>
      </c>
      <c r="D28" s="307" t="s">
        <v>3984</v>
      </c>
      <c r="E28" s="307" t="s">
        <v>3905</v>
      </c>
      <c r="F28" s="307" t="s">
        <v>3906</v>
      </c>
      <c r="G28" s="307" t="s">
        <v>3907</v>
      </c>
    </row>
    <row r="29" spans="1:7" ht="13.5">
      <c r="A29" s="307" t="s">
        <v>3985</v>
      </c>
      <c r="B29" s="307" t="s">
        <v>3986</v>
      </c>
      <c r="C29" s="307" t="s">
        <v>3910</v>
      </c>
      <c r="D29" s="307" t="s">
        <v>3987</v>
      </c>
      <c r="E29" s="307" t="s">
        <v>3905</v>
      </c>
      <c r="F29" s="307" t="s">
        <v>3906</v>
      </c>
      <c r="G29" s="307" t="s">
        <v>3907</v>
      </c>
    </row>
    <row r="30" spans="1:7" ht="13.5">
      <c r="A30" s="307" t="s">
        <v>3988</v>
      </c>
      <c r="B30" s="307" t="s">
        <v>3989</v>
      </c>
      <c r="C30" s="307" t="s">
        <v>3910</v>
      </c>
      <c r="D30" s="307" t="s">
        <v>3990</v>
      </c>
      <c r="E30" s="307" t="s">
        <v>3905</v>
      </c>
      <c r="F30" s="307" t="s">
        <v>3906</v>
      </c>
      <c r="G30" s="307" t="s">
        <v>3907</v>
      </c>
    </row>
    <row r="31" spans="1:7" ht="13.5">
      <c r="A31" s="307" t="s">
        <v>3991</v>
      </c>
      <c r="B31" s="307" t="s">
        <v>3992</v>
      </c>
      <c r="C31" s="307" t="s">
        <v>3910</v>
      </c>
      <c r="D31" s="307" t="s">
        <v>3993</v>
      </c>
      <c r="E31" s="307" t="s">
        <v>3905</v>
      </c>
      <c r="F31" s="307" t="s">
        <v>3906</v>
      </c>
      <c r="G31" s="307" t="s">
        <v>3907</v>
      </c>
    </row>
    <row r="32" spans="1:7" ht="13.5">
      <c r="A32" s="307" t="s">
        <v>3994</v>
      </c>
      <c r="B32" s="307" t="s">
        <v>3995</v>
      </c>
      <c r="C32" s="307" t="s">
        <v>3910</v>
      </c>
      <c r="D32" s="307" t="s">
        <v>3996</v>
      </c>
      <c r="E32" s="307" t="s">
        <v>3905</v>
      </c>
      <c r="F32" s="307" t="s">
        <v>3906</v>
      </c>
      <c r="G32" s="307" t="s">
        <v>3907</v>
      </c>
    </row>
    <row r="33" spans="1:7" ht="13.5">
      <c r="A33" s="307" t="s">
        <v>3997</v>
      </c>
      <c r="B33" s="307" t="s">
        <v>3998</v>
      </c>
      <c r="C33" s="307" t="s">
        <v>3910</v>
      </c>
      <c r="D33" s="307" t="s">
        <v>3999</v>
      </c>
      <c r="E33" s="307" t="s">
        <v>3905</v>
      </c>
      <c r="F33" s="307" t="s">
        <v>3906</v>
      </c>
      <c r="G33" s="307" t="s">
        <v>3907</v>
      </c>
    </row>
    <row r="34" spans="1:7" ht="13.5">
      <c r="A34" s="307" t="s">
        <v>4000</v>
      </c>
      <c r="B34" s="307" t="s">
        <v>4001</v>
      </c>
      <c r="C34" s="307" t="s">
        <v>3910</v>
      </c>
      <c r="D34" s="307" t="s">
        <v>4002</v>
      </c>
      <c r="E34" s="307" t="s">
        <v>3905</v>
      </c>
      <c r="F34" s="307" t="s">
        <v>3906</v>
      </c>
      <c r="G34" s="307" t="s">
        <v>3907</v>
      </c>
    </row>
    <row r="35" spans="1:7" ht="13.5">
      <c r="A35" s="307" t="s">
        <v>4003</v>
      </c>
      <c r="B35" s="307" t="s">
        <v>4004</v>
      </c>
      <c r="C35" s="307" t="s">
        <v>3910</v>
      </c>
      <c r="D35" s="307" t="s">
        <v>4005</v>
      </c>
      <c r="E35" s="307" t="s">
        <v>3905</v>
      </c>
      <c r="F35" s="307" t="s">
        <v>3906</v>
      </c>
      <c r="G35" s="307" t="s">
        <v>3907</v>
      </c>
    </row>
    <row r="36" spans="1:7" ht="13.5">
      <c r="A36" s="307" t="s">
        <v>4006</v>
      </c>
      <c r="B36" s="307" t="s">
        <v>4007</v>
      </c>
      <c r="C36" s="307" t="s">
        <v>3910</v>
      </c>
      <c r="D36" s="307" t="s">
        <v>4008</v>
      </c>
      <c r="E36" s="307" t="s">
        <v>3905</v>
      </c>
      <c r="F36" s="307" t="s">
        <v>3906</v>
      </c>
      <c r="G36" s="307" t="s">
        <v>3907</v>
      </c>
    </row>
    <row r="37" spans="1:7" ht="13.5">
      <c r="A37" s="307" t="s">
        <v>4009</v>
      </c>
      <c r="B37" s="307" t="s">
        <v>4010</v>
      </c>
      <c r="C37" s="307" t="s">
        <v>3910</v>
      </c>
      <c r="D37" s="307" t="s">
        <v>4011</v>
      </c>
      <c r="E37" s="307" t="s">
        <v>3905</v>
      </c>
      <c r="F37" s="307" t="s">
        <v>3906</v>
      </c>
      <c r="G37" s="307" t="s">
        <v>3907</v>
      </c>
    </row>
    <row r="38" spans="1:7" ht="13.5">
      <c r="A38" s="307" t="s">
        <v>4012</v>
      </c>
      <c r="B38" s="307" t="s">
        <v>4013</v>
      </c>
      <c r="C38" s="307" t="s">
        <v>3910</v>
      </c>
      <c r="D38" s="307" t="s">
        <v>4014</v>
      </c>
      <c r="E38" s="307" t="s">
        <v>3905</v>
      </c>
      <c r="F38" s="307" t="s">
        <v>3906</v>
      </c>
      <c r="G38" s="307" t="s">
        <v>3907</v>
      </c>
    </row>
    <row r="39" spans="1:7" ht="13.5">
      <c r="A39" s="307" t="s">
        <v>4015</v>
      </c>
      <c r="B39" s="307" t="s">
        <v>4016</v>
      </c>
      <c r="C39" s="307" t="s">
        <v>3910</v>
      </c>
      <c r="D39" s="307" t="s">
        <v>4017</v>
      </c>
      <c r="E39" s="307" t="s">
        <v>3905</v>
      </c>
      <c r="F39" s="307" t="s">
        <v>3906</v>
      </c>
      <c r="G39" s="307" t="s">
        <v>3907</v>
      </c>
    </row>
    <row r="40" spans="1:7" ht="13.5">
      <c r="A40" s="307" t="s">
        <v>4018</v>
      </c>
      <c r="B40" s="307" t="s">
        <v>4019</v>
      </c>
      <c r="C40" s="307" t="s">
        <v>3910</v>
      </c>
      <c r="D40" s="307" t="s">
        <v>4020</v>
      </c>
      <c r="E40" s="307" t="s">
        <v>4021</v>
      </c>
      <c r="F40" s="307" t="s">
        <v>3906</v>
      </c>
      <c r="G40" s="307" t="s">
        <v>3907</v>
      </c>
    </row>
    <row r="41" spans="1:7" ht="13.5">
      <c r="A41" s="307" t="s">
        <v>4022</v>
      </c>
      <c r="B41" s="307" t="s">
        <v>4023</v>
      </c>
      <c r="C41" s="307" t="s">
        <v>3910</v>
      </c>
      <c r="D41" s="307" t="s">
        <v>4024</v>
      </c>
      <c r="E41" s="307" t="s">
        <v>3905</v>
      </c>
      <c r="F41" s="307" t="s">
        <v>3906</v>
      </c>
      <c r="G41" s="307" t="s">
        <v>3907</v>
      </c>
    </row>
    <row r="42" spans="1:7" ht="13.5">
      <c r="A42" s="307" t="s">
        <v>4025</v>
      </c>
      <c r="B42" s="307" t="s">
        <v>4026</v>
      </c>
      <c r="C42" s="307" t="s">
        <v>3910</v>
      </c>
      <c r="D42" s="307" t="s">
        <v>4027</v>
      </c>
      <c r="E42" s="307" t="s">
        <v>3905</v>
      </c>
      <c r="F42" s="307" t="s">
        <v>3906</v>
      </c>
      <c r="G42" s="307" t="s">
        <v>3907</v>
      </c>
    </row>
    <row r="43" spans="1:7" ht="13.5">
      <c r="A43" s="307" t="s">
        <v>4028</v>
      </c>
      <c r="B43" s="307" t="s">
        <v>4029</v>
      </c>
      <c r="C43" s="307" t="s">
        <v>3910</v>
      </c>
      <c r="D43" s="307" t="s">
        <v>4030</v>
      </c>
      <c r="E43" s="307" t="s">
        <v>3905</v>
      </c>
      <c r="F43" s="307" t="s">
        <v>3906</v>
      </c>
      <c r="G43" s="307" t="s">
        <v>3907</v>
      </c>
    </row>
    <row r="44" spans="1:7" ht="13.5">
      <c r="A44" s="307" t="s">
        <v>4031</v>
      </c>
      <c r="B44" s="307" t="s">
        <v>4032</v>
      </c>
      <c r="C44" s="307" t="s">
        <v>3910</v>
      </c>
      <c r="D44" s="307" t="s">
        <v>4033</v>
      </c>
      <c r="E44" s="307" t="s">
        <v>3905</v>
      </c>
      <c r="F44" s="307" t="s">
        <v>3906</v>
      </c>
      <c r="G44" s="307" t="s">
        <v>3907</v>
      </c>
    </row>
    <row r="45" spans="1:7" ht="13.5">
      <c r="A45" s="307" t="s">
        <v>4034</v>
      </c>
      <c r="B45" s="307" t="s">
        <v>4035</v>
      </c>
      <c r="C45" s="307" t="s">
        <v>3910</v>
      </c>
      <c r="D45" s="307" t="s">
        <v>4036</v>
      </c>
      <c r="E45" s="307" t="s">
        <v>3905</v>
      </c>
      <c r="F45" s="307" t="s">
        <v>3906</v>
      </c>
      <c r="G45" s="307" t="s">
        <v>3907</v>
      </c>
    </row>
    <row r="46" spans="1:7" ht="13.5">
      <c r="A46" s="307" t="s">
        <v>4037</v>
      </c>
      <c r="B46" s="307" t="s">
        <v>4038</v>
      </c>
      <c r="C46" s="307" t="s">
        <v>3910</v>
      </c>
      <c r="D46" s="307" t="s">
        <v>4039</v>
      </c>
      <c r="E46" s="307" t="s">
        <v>3905</v>
      </c>
      <c r="F46" s="307" t="s">
        <v>3906</v>
      </c>
      <c r="G46" s="307" t="s">
        <v>3907</v>
      </c>
    </row>
    <row r="47" spans="1:7" ht="13.5">
      <c r="A47" s="307" t="s">
        <v>4040</v>
      </c>
      <c r="B47" s="307" t="s">
        <v>4041</v>
      </c>
      <c r="C47" s="307" t="s">
        <v>3910</v>
      </c>
      <c r="D47" s="307" t="s">
        <v>4042</v>
      </c>
      <c r="E47" s="307" t="s">
        <v>4021</v>
      </c>
      <c r="F47" s="307" t="s">
        <v>3906</v>
      </c>
      <c r="G47" s="307" t="s">
        <v>3907</v>
      </c>
    </row>
    <row r="48" spans="1:7" ht="13.5">
      <c r="A48" s="307" t="s">
        <v>4043</v>
      </c>
      <c r="B48" s="307" t="s">
        <v>4044</v>
      </c>
      <c r="C48" s="307" t="s">
        <v>3910</v>
      </c>
      <c r="D48" s="307" t="s">
        <v>4045</v>
      </c>
      <c r="E48" s="307" t="s">
        <v>3905</v>
      </c>
      <c r="F48" s="307" t="s">
        <v>3906</v>
      </c>
      <c r="G48" s="307" t="s">
        <v>3907</v>
      </c>
    </row>
    <row r="49" spans="1:7" ht="13.5">
      <c r="A49" s="307" t="s">
        <v>4046</v>
      </c>
      <c r="B49" s="307" t="s">
        <v>4047</v>
      </c>
      <c r="C49" s="307" t="s">
        <v>3910</v>
      </c>
      <c r="D49" s="307" t="s">
        <v>4048</v>
      </c>
      <c r="E49" s="307" t="s">
        <v>3905</v>
      </c>
      <c r="F49" s="307" t="s">
        <v>3906</v>
      </c>
      <c r="G49" s="307" t="s">
        <v>3907</v>
      </c>
    </row>
    <row r="50" spans="1:7" ht="13.5">
      <c r="A50" s="307" t="s">
        <v>4049</v>
      </c>
      <c r="B50" s="307" t="s">
        <v>4050</v>
      </c>
      <c r="C50" s="307" t="s">
        <v>3910</v>
      </c>
      <c r="D50" s="307" t="s">
        <v>4051</v>
      </c>
      <c r="E50" s="307" t="s">
        <v>3905</v>
      </c>
      <c r="F50" s="307" t="s">
        <v>3906</v>
      </c>
      <c r="G50" s="307" t="s">
        <v>3907</v>
      </c>
    </row>
    <row r="51" spans="1:7" ht="13.5">
      <c r="A51" s="307" t="s">
        <v>4052</v>
      </c>
      <c r="B51" s="307" t="s">
        <v>4053</v>
      </c>
      <c r="C51" s="307" t="s">
        <v>3910</v>
      </c>
      <c r="D51" s="307" t="s">
        <v>4054</v>
      </c>
      <c r="E51" s="307" t="s">
        <v>3905</v>
      </c>
      <c r="F51" s="307" t="s">
        <v>3906</v>
      </c>
      <c r="G51" s="307" t="s">
        <v>3907</v>
      </c>
    </row>
    <row r="52" spans="1:7" ht="13.5">
      <c r="A52" s="307" t="s">
        <v>4055</v>
      </c>
      <c r="B52" s="307" t="s">
        <v>4056</v>
      </c>
      <c r="C52" s="307" t="s">
        <v>3910</v>
      </c>
      <c r="D52" s="307" t="s">
        <v>4057</v>
      </c>
      <c r="E52" s="307" t="s">
        <v>3905</v>
      </c>
      <c r="F52" s="307" t="s">
        <v>3906</v>
      </c>
      <c r="G52" s="307" t="s">
        <v>3907</v>
      </c>
    </row>
    <row r="53" spans="1:7" ht="13.5">
      <c r="A53" s="307" t="s">
        <v>678</v>
      </c>
      <c r="B53" s="307" t="s">
        <v>722</v>
      </c>
      <c r="C53" s="307" t="s">
        <v>3910</v>
      </c>
      <c r="D53" s="307" t="s">
        <v>4058</v>
      </c>
      <c r="E53" s="307" t="s">
        <v>3905</v>
      </c>
      <c r="F53" s="307" t="s">
        <v>3906</v>
      </c>
      <c r="G53" s="307" t="s">
        <v>3907</v>
      </c>
    </row>
    <row r="54" spans="1:7" ht="13.5">
      <c r="A54" s="307" t="s">
        <v>4059</v>
      </c>
      <c r="B54" s="307" t="s">
        <v>4060</v>
      </c>
      <c r="C54" s="307" t="s">
        <v>3910</v>
      </c>
      <c r="D54" s="307" t="s">
        <v>4061</v>
      </c>
      <c r="E54" s="307" t="s">
        <v>3905</v>
      </c>
      <c r="F54" s="307" t="s">
        <v>3906</v>
      </c>
      <c r="G54" s="307" t="s">
        <v>3907</v>
      </c>
    </row>
    <row r="55" spans="1:7" ht="13.5">
      <c r="A55" s="307" t="s">
        <v>594</v>
      </c>
      <c r="B55" s="307" t="s">
        <v>4062</v>
      </c>
      <c r="C55" s="307" t="s">
        <v>3910</v>
      </c>
      <c r="D55" s="307" t="s">
        <v>4063</v>
      </c>
      <c r="E55" s="307" t="s">
        <v>3905</v>
      </c>
      <c r="F55" s="307" t="s">
        <v>3906</v>
      </c>
      <c r="G55" s="307" t="s">
        <v>3907</v>
      </c>
    </row>
    <row r="56" spans="1:7" ht="13.5">
      <c r="A56" s="307" t="s">
        <v>4064</v>
      </c>
      <c r="B56" s="307" t="s">
        <v>4065</v>
      </c>
      <c r="C56" s="307" t="s">
        <v>3910</v>
      </c>
      <c r="D56" s="307" t="s">
        <v>4066</v>
      </c>
      <c r="E56" s="307" t="s">
        <v>3905</v>
      </c>
      <c r="F56" s="307" t="s">
        <v>3906</v>
      </c>
      <c r="G56" s="307" t="s">
        <v>3907</v>
      </c>
    </row>
    <row r="57" spans="1:7" ht="13.5">
      <c r="A57" s="307" t="s">
        <v>4067</v>
      </c>
      <c r="B57" s="307" t="s">
        <v>4068</v>
      </c>
      <c r="C57" s="307" t="s">
        <v>4069</v>
      </c>
      <c r="D57" s="307" t="s">
        <v>4070</v>
      </c>
      <c r="E57" s="307" t="s">
        <v>3905</v>
      </c>
      <c r="F57" s="307" t="s">
        <v>3906</v>
      </c>
      <c r="G57" s="307" t="s">
        <v>3907</v>
      </c>
    </row>
    <row r="58" spans="1:7" ht="13.5">
      <c r="A58" s="307" t="s">
        <v>4071</v>
      </c>
      <c r="B58" s="307" t="s">
        <v>4072</v>
      </c>
      <c r="C58" s="307" t="s">
        <v>4069</v>
      </c>
      <c r="D58" s="307" t="s">
        <v>4073</v>
      </c>
      <c r="E58" s="307" t="s">
        <v>3905</v>
      </c>
      <c r="F58" s="307" t="s">
        <v>3906</v>
      </c>
      <c r="G58" s="307" t="s">
        <v>3907</v>
      </c>
    </row>
    <row r="59" spans="1:7" ht="13.5">
      <c r="A59" s="307" t="s">
        <v>4074</v>
      </c>
      <c r="B59" s="307" t="s">
        <v>4075</v>
      </c>
      <c r="C59" s="307" t="s">
        <v>4069</v>
      </c>
      <c r="D59" s="307" t="s">
        <v>4076</v>
      </c>
      <c r="E59" s="307" t="s">
        <v>3905</v>
      </c>
      <c r="F59" s="307" t="s">
        <v>3906</v>
      </c>
      <c r="G59" s="307" t="s">
        <v>3907</v>
      </c>
    </row>
    <row r="60" spans="1:7" ht="13.5">
      <c r="A60" s="307" t="s">
        <v>4077</v>
      </c>
      <c r="B60" s="307" t="s">
        <v>841</v>
      </c>
      <c r="C60" s="307" t="s">
        <v>4069</v>
      </c>
      <c r="D60" s="307" t="s">
        <v>4078</v>
      </c>
      <c r="E60" s="307" t="s">
        <v>3905</v>
      </c>
      <c r="F60" s="307" t="s">
        <v>3906</v>
      </c>
      <c r="G60" s="307" t="s">
        <v>3907</v>
      </c>
    </row>
    <row r="61" spans="1:7" ht="13.5">
      <c r="A61" s="307" t="s">
        <v>4079</v>
      </c>
      <c r="B61" s="307" t="s">
        <v>4080</v>
      </c>
      <c r="C61" s="307" t="s">
        <v>4069</v>
      </c>
      <c r="D61" s="307" t="s">
        <v>4081</v>
      </c>
      <c r="E61" s="307" t="s">
        <v>3905</v>
      </c>
      <c r="F61" s="307" t="s">
        <v>3906</v>
      </c>
      <c r="G61" s="307" t="s">
        <v>3907</v>
      </c>
    </row>
    <row r="62" spans="1:7" ht="13.5">
      <c r="A62" s="307" t="s">
        <v>4082</v>
      </c>
      <c r="B62" s="307" t="s">
        <v>4083</v>
      </c>
      <c r="C62" s="307" t="s">
        <v>4069</v>
      </c>
      <c r="D62" s="307" t="s">
        <v>4084</v>
      </c>
      <c r="E62" s="307" t="s">
        <v>3905</v>
      </c>
      <c r="F62" s="307" t="s">
        <v>3906</v>
      </c>
      <c r="G62" s="307" t="s">
        <v>3907</v>
      </c>
    </row>
    <row r="63" spans="1:7" ht="13.5">
      <c r="A63" s="307" t="s">
        <v>4085</v>
      </c>
      <c r="B63" s="307" t="s">
        <v>4086</v>
      </c>
      <c r="C63" s="307" t="s">
        <v>4069</v>
      </c>
      <c r="D63" s="307" t="s">
        <v>4087</v>
      </c>
      <c r="E63" s="307" t="s">
        <v>3905</v>
      </c>
      <c r="F63" s="307" t="s">
        <v>3906</v>
      </c>
      <c r="G63" s="307" t="s">
        <v>3907</v>
      </c>
    </row>
    <row r="64" spans="1:7" ht="13.5">
      <c r="A64" s="307" t="s">
        <v>586</v>
      </c>
      <c r="B64" s="307" t="s">
        <v>731</v>
      </c>
      <c r="C64" s="307" t="s">
        <v>4069</v>
      </c>
      <c r="D64" s="307" t="s">
        <v>4088</v>
      </c>
      <c r="E64" s="307" t="s">
        <v>3905</v>
      </c>
      <c r="F64" s="307" t="s">
        <v>3906</v>
      </c>
      <c r="G64" s="307" t="s">
        <v>3907</v>
      </c>
    </row>
    <row r="65" spans="1:7" ht="13.5">
      <c r="A65" s="307" t="s">
        <v>4089</v>
      </c>
      <c r="B65" s="307" t="s">
        <v>4090</v>
      </c>
      <c r="C65" s="307" t="s">
        <v>4069</v>
      </c>
      <c r="D65" s="307" t="s">
        <v>4091</v>
      </c>
      <c r="E65" s="307" t="s">
        <v>3905</v>
      </c>
      <c r="F65" s="307" t="s">
        <v>3906</v>
      </c>
      <c r="G65" s="307" t="s">
        <v>3907</v>
      </c>
    </row>
    <row r="66" spans="1:7" ht="13.5">
      <c r="A66" s="307" t="s">
        <v>4092</v>
      </c>
      <c r="B66" s="307" t="s">
        <v>4093</v>
      </c>
      <c r="C66" s="307" t="s">
        <v>4069</v>
      </c>
      <c r="D66" s="307" t="s">
        <v>4094</v>
      </c>
      <c r="E66" s="307" t="s">
        <v>3905</v>
      </c>
      <c r="F66" s="307" t="s">
        <v>3906</v>
      </c>
      <c r="G66" s="307" t="s">
        <v>3907</v>
      </c>
    </row>
    <row r="67" spans="1:7" ht="13.5">
      <c r="A67" s="307" t="s">
        <v>4095</v>
      </c>
      <c r="B67" s="307" t="s">
        <v>4096</v>
      </c>
      <c r="C67" s="307" t="s">
        <v>4069</v>
      </c>
      <c r="D67" s="307" t="s">
        <v>4097</v>
      </c>
      <c r="E67" s="307" t="s">
        <v>3905</v>
      </c>
      <c r="F67" s="307" t="s">
        <v>3906</v>
      </c>
      <c r="G67" s="307" t="s">
        <v>3907</v>
      </c>
    </row>
    <row r="68" spans="1:7" ht="13.5">
      <c r="A68" s="307" t="s">
        <v>4098</v>
      </c>
      <c r="B68" s="307" t="s">
        <v>4099</v>
      </c>
      <c r="C68" s="307" t="s">
        <v>4069</v>
      </c>
      <c r="D68" s="307" t="s">
        <v>4100</v>
      </c>
      <c r="E68" s="307" t="s">
        <v>3905</v>
      </c>
      <c r="F68" s="307" t="s">
        <v>3906</v>
      </c>
      <c r="G68" s="307" t="s">
        <v>3907</v>
      </c>
    </row>
    <row r="69" spans="1:7" ht="13.5">
      <c r="A69" s="307" t="s">
        <v>4101</v>
      </c>
      <c r="B69" s="307" t="s">
        <v>4102</v>
      </c>
      <c r="C69" s="307" t="s">
        <v>4069</v>
      </c>
      <c r="D69" s="307" t="s">
        <v>4103</v>
      </c>
      <c r="E69" s="307" t="s">
        <v>3905</v>
      </c>
      <c r="F69" s="307" t="s">
        <v>3906</v>
      </c>
      <c r="G69" s="307" t="s">
        <v>3907</v>
      </c>
    </row>
    <row r="70" spans="1:7" ht="13.5">
      <c r="A70" s="307" t="s">
        <v>4104</v>
      </c>
      <c r="B70" s="307" t="s">
        <v>4105</v>
      </c>
      <c r="C70" s="307" t="s">
        <v>4069</v>
      </c>
      <c r="D70" s="307" t="s">
        <v>4106</v>
      </c>
      <c r="E70" s="307" t="s">
        <v>3905</v>
      </c>
      <c r="F70" s="307" t="s">
        <v>3906</v>
      </c>
      <c r="G70" s="307" t="s">
        <v>3907</v>
      </c>
    </row>
    <row r="71" spans="1:7" ht="13.5">
      <c r="A71" s="307" t="s">
        <v>4107</v>
      </c>
      <c r="B71" s="307" t="s">
        <v>4108</v>
      </c>
      <c r="C71" s="307" t="s">
        <v>4069</v>
      </c>
      <c r="D71" s="307" t="s">
        <v>4109</v>
      </c>
      <c r="E71" s="307" t="s">
        <v>3905</v>
      </c>
      <c r="F71" s="307" t="s">
        <v>3906</v>
      </c>
      <c r="G71" s="307" t="s">
        <v>3907</v>
      </c>
    </row>
    <row r="72" spans="1:7" ht="13.5">
      <c r="A72" s="307" t="s">
        <v>4110</v>
      </c>
      <c r="B72" s="307" t="s">
        <v>4111</v>
      </c>
      <c r="C72" s="307" t="s">
        <v>4069</v>
      </c>
      <c r="D72" s="307" t="s">
        <v>4112</v>
      </c>
      <c r="E72" s="307" t="s">
        <v>3905</v>
      </c>
      <c r="F72" s="307" t="s">
        <v>3906</v>
      </c>
      <c r="G72" s="307" t="s">
        <v>3907</v>
      </c>
    </row>
    <row r="73" spans="1:7" ht="13.5">
      <c r="A73" s="307" t="s">
        <v>4113</v>
      </c>
      <c r="B73" s="307" t="s">
        <v>4114</v>
      </c>
      <c r="C73" s="307" t="s">
        <v>4069</v>
      </c>
      <c r="D73" s="307" t="s">
        <v>4115</v>
      </c>
      <c r="E73" s="307" t="s">
        <v>3905</v>
      </c>
      <c r="F73" s="307" t="s">
        <v>3906</v>
      </c>
      <c r="G73" s="307" t="s">
        <v>3907</v>
      </c>
    </row>
    <row r="74" spans="1:7" ht="13.5">
      <c r="A74" s="307" t="s">
        <v>4116</v>
      </c>
      <c r="B74" s="307" t="s">
        <v>4117</v>
      </c>
      <c r="C74" s="307" t="s">
        <v>4069</v>
      </c>
      <c r="D74" s="307" t="s">
        <v>4118</v>
      </c>
      <c r="E74" s="307" t="s">
        <v>3905</v>
      </c>
      <c r="F74" s="307" t="s">
        <v>3906</v>
      </c>
      <c r="G74" s="307" t="s">
        <v>3907</v>
      </c>
    </row>
    <row r="75" spans="1:7" ht="13.5">
      <c r="A75" s="307" t="s">
        <v>4119</v>
      </c>
      <c r="B75" s="307" t="s">
        <v>4120</v>
      </c>
      <c r="C75" s="307" t="s">
        <v>4069</v>
      </c>
      <c r="D75" s="307" t="s">
        <v>4121</v>
      </c>
      <c r="E75" s="307" t="s">
        <v>3905</v>
      </c>
      <c r="F75" s="307" t="s">
        <v>3906</v>
      </c>
      <c r="G75" s="307" t="s">
        <v>3907</v>
      </c>
    </row>
    <row r="76" spans="1:7" ht="13.5">
      <c r="A76" s="307" t="s">
        <v>4122</v>
      </c>
      <c r="B76" s="307" t="s">
        <v>4123</v>
      </c>
      <c r="C76" s="307" t="s">
        <v>4069</v>
      </c>
      <c r="D76" s="307" t="s">
        <v>4121</v>
      </c>
      <c r="E76" s="307" t="s">
        <v>3905</v>
      </c>
      <c r="F76" s="307" t="s">
        <v>3906</v>
      </c>
      <c r="G76" s="307" t="s">
        <v>3907</v>
      </c>
    </row>
    <row r="77" spans="1:7" ht="13.5">
      <c r="A77" s="307" t="s">
        <v>4124</v>
      </c>
      <c r="B77" s="307" t="s">
        <v>4125</v>
      </c>
      <c r="C77" s="307" t="s">
        <v>4069</v>
      </c>
      <c r="D77" s="307" t="s">
        <v>4126</v>
      </c>
      <c r="E77" s="307" t="s">
        <v>3905</v>
      </c>
      <c r="F77" s="307" t="s">
        <v>3906</v>
      </c>
      <c r="G77" s="307" t="s">
        <v>3907</v>
      </c>
    </row>
    <row r="78" spans="1:7" ht="13.5">
      <c r="A78" s="307" t="s">
        <v>4127</v>
      </c>
      <c r="B78" s="307" t="s">
        <v>4128</v>
      </c>
      <c r="C78" s="307" t="s">
        <v>4069</v>
      </c>
      <c r="D78" s="307" t="s">
        <v>4129</v>
      </c>
      <c r="E78" s="307" t="s">
        <v>3905</v>
      </c>
      <c r="F78" s="307" t="s">
        <v>3906</v>
      </c>
      <c r="G78" s="307" t="s">
        <v>3907</v>
      </c>
    </row>
    <row r="79" spans="1:7" ht="13.5">
      <c r="A79" s="307" t="s">
        <v>562</v>
      </c>
      <c r="B79" s="307" t="s">
        <v>4130</v>
      </c>
      <c r="C79" s="307" t="s">
        <v>4069</v>
      </c>
      <c r="D79" s="307" t="s">
        <v>4131</v>
      </c>
      <c r="E79" s="307" t="s">
        <v>3905</v>
      </c>
      <c r="F79" s="307" t="s">
        <v>3906</v>
      </c>
      <c r="G79" s="307" t="s">
        <v>3907</v>
      </c>
    </row>
    <row r="80" spans="1:7" ht="13.5">
      <c r="A80" s="307" t="s">
        <v>4132</v>
      </c>
      <c r="B80" s="307" t="s">
        <v>4133</v>
      </c>
      <c r="C80" s="307" t="s">
        <v>4069</v>
      </c>
      <c r="D80" s="307" t="s">
        <v>4134</v>
      </c>
      <c r="E80" s="307" t="s">
        <v>3905</v>
      </c>
      <c r="F80" s="307" t="s">
        <v>3906</v>
      </c>
      <c r="G80" s="307" t="s">
        <v>3907</v>
      </c>
    </row>
    <row r="81" spans="1:7" ht="13.5">
      <c r="A81" s="307" t="s">
        <v>4135</v>
      </c>
      <c r="B81" s="307" t="s">
        <v>4136</v>
      </c>
      <c r="C81" s="307" t="s">
        <v>4069</v>
      </c>
      <c r="D81" s="307" t="s">
        <v>4137</v>
      </c>
      <c r="E81" s="307" t="s">
        <v>3905</v>
      </c>
      <c r="F81" s="307" t="s">
        <v>3906</v>
      </c>
      <c r="G81" s="307" t="s">
        <v>3907</v>
      </c>
    </row>
    <row r="82" spans="1:7" ht="13.5">
      <c r="A82" s="307" t="s">
        <v>4138</v>
      </c>
      <c r="B82" s="307" t="s">
        <v>4139</v>
      </c>
      <c r="C82" s="307" t="s">
        <v>4069</v>
      </c>
      <c r="D82" s="307" t="s">
        <v>4140</v>
      </c>
      <c r="E82" s="307" t="s">
        <v>3905</v>
      </c>
      <c r="F82" s="307" t="s">
        <v>3906</v>
      </c>
      <c r="G82" s="307" t="s">
        <v>3907</v>
      </c>
    </row>
    <row r="83" spans="1:7" ht="13.5">
      <c r="A83" s="307" t="s">
        <v>4141</v>
      </c>
      <c r="B83" s="307" t="s">
        <v>4142</v>
      </c>
      <c r="C83" s="307" t="s">
        <v>4069</v>
      </c>
      <c r="D83" s="307" t="s">
        <v>4143</v>
      </c>
      <c r="E83" s="307" t="s">
        <v>3905</v>
      </c>
      <c r="F83" s="307" t="s">
        <v>3906</v>
      </c>
      <c r="G83" s="307" t="s">
        <v>3907</v>
      </c>
    </row>
    <row r="84" spans="1:7" ht="13.5">
      <c r="A84" s="307" t="s">
        <v>4144</v>
      </c>
      <c r="B84" s="307" t="s">
        <v>4145</v>
      </c>
      <c r="C84" s="307" t="s">
        <v>4069</v>
      </c>
      <c r="D84" s="307" t="s">
        <v>4146</v>
      </c>
      <c r="E84" s="307" t="s">
        <v>3905</v>
      </c>
      <c r="F84" s="307" t="s">
        <v>3906</v>
      </c>
      <c r="G84" s="307" t="s">
        <v>3907</v>
      </c>
    </row>
    <row r="85" spans="1:7" ht="13.5">
      <c r="A85" s="307" t="s">
        <v>4147</v>
      </c>
      <c r="B85" s="307" t="s">
        <v>554</v>
      </c>
      <c r="C85" s="307" t="s">
        <v>4069</v>
      </c>
      <c r="D85" s="307" t="s">
        <v>4148</v>
      </c>
      <c r="E85" s="307" t="s">
        <v>3905</v>
      </c>
      <c r="F85" s="307" t="s">
        <v>3906</v>
      </c>
      <c r="G85" s="307" t="s">
        <v>3907</v>
      </c>
    </row>
    <row r="86" spans="1:7" ht="13.5">
      <c r="A86" s="307" t="s">
        <v>4149</v>
      </c>
      <c r="B86" s="307" t="s">
        <v>4150</v>
      </c>
      <c r="C86" s="307" t="s">
        <v>4069</v>
      </c>
      <c r="D86" s="307" t="s">
        <v>4151</v>
      </c>
      <c r="E86" s="307" t="s">
        <v>3905</v>
      </c>
      <c r="F86" s="307" t="s">
        <v>3906</v>
      </c>
      <c r="G86" s="307" t="s">
        <v>3907</v>
      </c>
    </row>
    <row r="87" spans="1:7" ht="13.5">
      <c r="A87" s="307" t="s">
        <v>4152</v>
      </c>
      <c r="B87" s="307" t="s">
        <v>4153</v>
      </c>
      <c r="C87" s="307" t="s">
        <v>4069</v>
      </c>
      <c r="D87" s="307" t="s">
        <v>4154</v>
      </c>
      <c r="E87" s="307" t="s">
        <v>3905</v>
      </c>
      <c r="F87" s="307" t="s">
        <v>3906</v>
      </c>
      <c r="G87" s="307" t="s">
        <v>3907</v>
      </c>
    </row>
    <row r="88" spans="1:7" ht="13.5">
      <c r="A88" s="307" t="s">
        <v>4155</v>
      </c>
      <c r="B88" s="307" t="s">
        <v>4156</v>
      </c>
      <c r="C88" s="307" t="s">
        <v>4069</v>
      </c>
      <c r="D88" s="307" t="s">
        <v>4157</v>
      </c>
      <c r="E88" s="307" t="s">
        <v>3905</v>
      </c>
      <c r="F88" s="307" t="s">
        <v>3906</v>
      </c>
      <c r="G88" s="307" t="s">
        <v>3907</v>
      </c>
    </row>
    <row r="89" spans="1:7" ht="13.5">
      <c r="A89" s="307" t="s">
        <v>4158</v>
      </c>
      <c r="B89" s="307" t="s">
        <v>4159</v>
      </c>
      <c r="C89" s="307" t="s">
        <v>4069</v>
      </c>
      <c r="D89" s="307" t="s">
        <v>4160</v>
      </c>
      <c r="E89" s="307" t="s">
        <v>3905</v>
      </c>
      <c r="F89" s="307" t="s">
        <v>3906</v>
      </c>
      <c r="G89" s="307" t="s">
        <v>3907</v>
      </c>
    </row>
    <row r="90" spans="1:7" ht="13.5">
      <c r="A90" s="307" t="s">
        <v>4161</v>
      </c>
      <c r="B90" s="307" t="s">
        <v>547</v>
      </c>
      <c r="C90" s="307" t="s">
        <v>4069</v>
      </c>
      <c r="D90" s="307" t="s">
        <v>4162</v>
      </c>
      <c r="E90" s="307" t="s">
        <v>3905</v>
      </c>
      <c r="F90" s="307" t="s">
        <v>3906</v>
      </c>
      <c r="G90" s="307" t="s">
        <v>3907</v>
      </c>
    </row>
    <row r="91" spans="1:7" ht="13.5">
      <c r="A91" s="307" t="s">
        <v>4163</v>
      </c>
      <c r="B91" s="307" t="s">
        <v>4164</v>
      </c>
      <c r="C91" s="307" t="s">
        <v>4069</v>
      </c>
      <c r="D91" s="307" t="s">
        <v>4165</v>
      </c>
      <c r="E91" s="307" t="s">
        <v>3905</v>
      </c>
      <c r="F91" s="307" t="s">
        <v>3906</v>
      </c>
      <c r="G91" s="307" t="s">
        <v>3907</v>
      </c>
    </row>
    <row r="92" spans="1:7" ht="13.5">
      <c r="A92" s="307" t="s">
        <v>4166</v>
      </c>
      <c r="B92" s="307" t="s">
        <v>4167</v>
      </c>
      <c r="C92" s="307" t="s">
        <v>4069</v>
      </c>
      <c r="D92" s="307" t="s">
        <v>4168</v>
      </c>
      <c r="E92" s="307" t="s">
        <v>3905</v>
      </c>
      <c r="F92" s="307" t="s">
        <v>3906</v>
      </c>
      <c r="G92" s="307" t="s">
        <v>3907</v>
      </c>
    </row>
    <row r="93" spans="1:7" ht="13.5">
      <c r="A93" s="307" t="s">
        <v>4169</v>
      </c>
      <c r="B93" s="307" t="s">
        <v>4170</v>
      </c>
      <c r="C93" s="307" t="s">
        <v>4069</v>
      </c>
      <c r="D93" s="307" t="s">
        <v>4171</v>
      </c>
      <c r="E93" s="307" t="s">
        <v>3905</v>
      </c>
      <c r="F93" s="307" t="s">
        <v>3906</v>
      </c>
      <c r="G93" s="307" t="s">
        <v>3907</v>
      </c>
    </row>
    <row r="94" spans="1:7" ht="13.5">
      <c r="A94" s="307" t="s">
        <v>4172</v>
      </c>
      <c r="B94" s="307" t="s">
        <v>4173</v>
      </c>
      <c r="C94" s="307" t="s">
        <v>4069</v>
      </c>
      <c r="D94" s="307" t="s">
        <v>4174</v>
      </c>
      <c r="E94" s="307" t="s">
        <v>3905</v>
      </c>
      <c r="F94" s="307" t="s">
        <v>3906</v>
      </c>
      <c r="G94" s="307" t="s">
        <v>3907</v>
      </c>
    </row>
    <row r="95" spans="1:7" ht="13.5">
      <c r="A95" s="307" t="s">
        <v>4175</v>
      </c>
      <c r="B95" s="307" t="s">
        <v>4176</v>
      </c>
      <c r="C95" s="307" t="s">
        <v>4069</v>
      </c>
      <c r="D95" s="307" t="s">
        <v>4177</v>
      </c>
      <c r="E95" s="307" t="s">
        <v>3905</v>
      </c>
      <c r="F95" s="307" t="s">
        <v>3906</v>
      </c>
      <c r="G95" s="307" t="s">
        <v>3907</v>
      </c>
    </row>
    <row r="96" spans="1:7" ht="13.5">
      <c r="A96" s="307" t="s">
        <v>4178</v>
      </c>
      <c r="B96" s="307" t="s">
        <v>4179</v>
      </c>
      <c r="C96" s="307" t="s">
        <v>4069</v>
      </c>
      <c r="D96" s="307" t="s">
        <v>4180</v>
      </c>
      <c r="E96" s="307" t="s">
        <v>3905</v>
      </c>
      <c r="F96" s="307" t="s">
        <v>3906</v>
      </c>
      <c r="G96" s="307" t="s">
        <v>3907</v>
      </c>
    </row>
    <row r="97" spans="1:7" ht="13.5">
      <c r="A97" s="307" t="s">
        <v>4181</v>
      </c>
      <c r="B97" s="307" t="s">
        <v>4182</v>
      </c>
      <c r="C97" s="307" t="s">
        <v>4069</v>
      </c>
      <c r="D97" s="307" t="s">
        <v>4183</v>
      </c>
      <c r="E97" s="307" t="s">
        <v>3905</v>
      </c>
      <c r="F97" s="307" t="s">
        <v>3906</v>
      </c>
      <c r="G97" s="307" t="s">
        <v>3907</v>
      </c>
    </row>
    <row r="98" spans="1:7" ht="13.5">
      <c r="A98" s="307" t="s">
        <v>4184</v>
      </c>
      <c r="B98" s="307" t="s">
        <v>4185</v>
      </c>
      <c r="C98" s="307" t="s">
        <v>4069</v>
      </c>
      <c r="D98" s="307" t="s">
        <v>4186</v>
      </c>
      <c r="E98" s="307" t="s">
        <v>3905</v>
      </c>
      <c r="F98" s="307" t="s">
        <v>3906</v>
      </c>
      <c r="G98" s="307" t="s">
        <v>3907</v>
      </c>
    </row>
    <row r="99" spans="1:7" ht="13.5">
      <c r="A99" s="307" t="s">
        <v>4187</v>
      </c>
      <c r="B99" s="307" t="s">
        <v>844</v>
      </c>
      <c r="C99" s="307" t="s">
        <v>4069</v>
      </c>
      <c r="D99" s="307" t="s">
        <v>4188</v>
      </c>
      <c r="E99" s="307" t="s">
        <v>3905</v>
      </c>
      <c r="F99" s="307" t="s">
        <v>3906</v>
      </c>
      <c r="G99" s="307" t="s">
        <v>3907</v>
      </c>
    </row>
    <row r="100" spans="1:7" ht="13.5">
      <c r="A100" s="307" t="s">
        <v>4189</v>
      </c>
      <c r="B100" s="307" t="s">
        <v>4190</v>
      </c>
      <c r="C100" s="307" t="s">
        <v>4069</v>
      </c>
      <c r="D100" s="307" t="s">
        <v>4191</v>
      </c>
      <c r="E100" s="307" t="s">
        <v>3905</v>
      </c>
      <c r="F100" s="307" t="s">
        <v>3906</v>
      </c>
      <c r="G100" s="307" t="s">
        <v>3907</v>
      </c>
    </row>
    <row r="101" spans="1:7" ht="13.5">
      <c r="A101" s="307" t="s">
        <v>4192</v>
      </c>
      <c r="B101" s="307" t="s">
        <v>4193</v>
      </c>
      <c r="C101" s="307" t="s">
        <v>4069</v>
      </c>
      <c r="D101" s="307" t="s">
        <v>4194</v>
      </c>
      <c r="E101" s="307" t="s">
        <v>3905</v>
      </c>
      <c r="F101" s="307" t="s">
        <v>3906</v>
      </c>
      <c r="G101" s="307" t="s">
        <v>3907</v>
      </c>
    </row>
    <row r="102" spans="1:7" ht="13.5">
      <c r="A102" s="307" t="s">
        <v>4195</v>
      </c>
      <c r="B102" s="307" t="s">
        <v>4196</v>
      </c>
      <c r="C102" s="307" t="s">
        <v>4069</v>
      </c>
      <c r="D102" s="307" t="s">
        <v>4197</v>
      </c>
      <c r="E102" s="307" t="s">
        <v>3905</v>
      </c>
      <c r="F102" s="307" t="s">
        <v>3906</v>
      </c>
      <c r="G102" s="307" t="s">
        <v>3907</v>
      </c>
    </row>
    <row r="103" spans="1:7" ht="13.5">
      <c r="A103" s="307" t="s">
        <v>4198</v>
      </c>
      <c r="B103" s="307" t="s">
        <v>4199</v>
      </c>
      <c r="C103" s="307" t="s">
        <v>4069</v>
      </c>
      <c r="D103" s="307" t="s">
        <v>4200</v>
      </c>
      <c r="E103" s="307" t="s">
        <v>3905</v>
      </c>
      <c r="F103" s="307" t="s">
        <v>3906</v>
      </c>
      <c r="G103" s="307" t="s">
        <v>3907</v>
      </c>
    </row>
    <row r="104" spans="1:7" ht="13.5">
      <c r="A104" s="307" t="s">
        <v>4201</v>
      </c>
      <c r="B104" s="307" t="s">
        <v>4202</v>
      </c>
      <c r="C104" s="307" t="s">
        <v>4069</v>
      </c>
      <c r="D104" s="307" t="s">
        <v>4203</v>
      </c>
      <c r="E104" s="307" t="s">
        <v>3905</v>
      </c>
      <c r="F104" s="307" t="s">
        <v>3906</v>
      </c>
      <c r="G104" s="307" t="s">
        <v>3907</v>
      </c>
    </row>
    <row r="105" spans="1:7" ht="13.5">
      <c r="A105" s="307" t="s">
        <v>4204</v>
      </c>
      <c r="B105" s="307" t="s">
        <v>4205</v>
      </c>
      <c r="C105" s="307" t="s">
        <v>4069</v>
      </c>
      <c r="D105" s="307" t="s">
        <v>4206</v>
      </c>
      <c r="E105" s="307" t="s">
        <v>3905</v>
      </c>
      <c r="F105" s="307" t="s">
        <v>3906</v>
      </c>
      <c r="G105" s="307" t="s">
        <v>3907</v>
      </c>
    </row>
    <row r="106" spans="1:7" ht="13.5">
      <c r="A106" s="307" t="s">
        <v>4207</v>
      </c>
      <c r="B106" s="307" t="s">
        <v>4208</v>
      </c>
      <c r="C106" s="307" t="s">
        <v>4069</v>
      </c>
      <c r="D106" s="307" t="s">
        <v>4209</v>
      </c>
      <c r="E106" s="307" t="s">
        <v>3905</v>
      </c>
      <c r="F106" s="307" t="s">
        <v>3906</v>
      </c>
      <c r="G106" s="307" t="s">
        <v>3907</v>
      </c>
    </row>
    <row r="107" spans="1:7" ht="13.5">
      <c r="A107" s="307" t="s">
        <v>4210</v>
      </c>
      <c r="B107" s="307" t="s">
        <v>4211</v>
      </c>
      <c r="C107" s="307" t="s">
        <v>4069</v>
      </c>
      <c r="D107" s="307" t="s">
        <v>4212</v>
      </c>
      <c r="E107" s="307" t="s">
        <v>3905</v>
      </c>
      <c r="F107" s="307" t="s">
        <v>3906</v>
      </c>
      <c r="G107" s="307" t="s">
        <v>3907</v>
      </c>
    </row>
    <row r="108" spans="1:7" ht="13.5">
      <c r="A108" s="307" t="s">
        <v>4213</v>
      </c>
      <c r="B108" s="307" t="s">
        <v>4214</v>
      </c>
      <c r="C108" s="307" t="s">
        <v>4069</v>
      </c>
      <c r="D108" s="307" t="s">
        <v>4215</v>
      </c>
      <c r="E108" s="307" t="s">
        <v>3905</v>
      </c>
      <c r="F108" s="307" t="s">
        <v>3906</v>
      </c>
      <c r="G108" s="307" t="s">
        <v>3907</v>
      </c>
    </row>
    <row r="109" spans="1:7" ht="13.5">
      <c r="A109" s="307" t="s">
        <v>4216</v>
      </c>
      <c r="B109" s="307" t="s">
        <v>4217</v>
      </c>
      <c r="C109" s="307" t="s">
        <v>4069</v>
      </c>
      <c r="D109" s="307" t="s">
        <v>4218</v>
      </c>
      <c r="E109" s="307" t="s">
        <v>3905</v>
      </c>
      <c r="F109" s="307" t="s">
        <v>3906</v>
      </c>
      <c r="G109" s="307" t="s">
        <v>3907</v>
      </c>
    </row>
    <row r="110" spans="1:7" ht="13.5">
      <c r="A110" s="307" t="s">
        <v>4219</v>
      </c>
      <c r="B110" s="307" t="s">
        <v>584</v>
      </c>
      <c r="C110" s="307" t="s">
        <v>4069</v>
      </c>
      <c r="D110" s="307" t="s">
        <v>4220</v>
      </c>
      <c r="E110" s="307" t="s">
        <v>3905</v>
      </c>
      <c r="F110" s="307" t="s">
        <v>3906</v>
      </c>
      <c r="G110" s="307" t="s">
        <v>3907</v>
      </c>
    </row>
    <row r="111" spans="1:7" ht="13.5">
      <c r="A111" s="307" t="s">
        <v>4221</v>
      </c>
      <c r="B111" s="307" t="s">
        <v>4222</v>
      </c>
      <c r="C111" s="307" t="s">
        <v>4069</v>
      </c>
      <c r="D111" s="307" t="s">
        <v>4223</v>
      </c>
      <c r="E111" s="307" t="s">
        <v>3905</v>
      </c>
      <c r="F111" s="307" t="s">
        <v>3906</v>
      </c>
      <c r="G111" s="307" t="s">
        <v>3907</v>
      </c>
    </row>
    <row r="112" spans="1:7" ht="13.5">
      <c r="A112" s="307" t="s">
        <v>4224</v>
      </c>
      <c r="B112" s="307" t="s">
        <v>4225</v>
      </c>
      <c r="C112" s="307" t="s">
        <v>4069</v>
      </c>
      <c r="D112" s="307" t="s">
        <v>4226</v>
      </c>
      <c r="E112" s="307" t="s">
        <v>3905</v>
      </c>
      <c r="F112" s="307" t="s">
        <v>3906</v>
      </c>
      <c r="G112" s="307" t="s">
        <v>3907</v>
      </c>
    </row>
    <row r="113" spans="1:7" ht="13.5">
      <c r="A113" s="307" t="s">
        <v>590</v>
      </c>
      <c r="B113" s="307" t="s">
        <v>4227</v>
      </c>
      <c r="C113" s="307" t="s">
        <v>4069</v>
      </c>
      <c r="D113" s="307" t="s">
        <v>4228</v>
      </c>
      <c r="E113" s="307" t="s">
        <v>3905</v>
      </c>
      <c r="F113" s="307" t="s">
        <v>3906</v>
      </c>
      <c r="G113" s="307" t="s">
        <v>3907</v>
      </c>
    </row>
    <row r="114" spans="1:7" ht="13.5">
      <c r="A114" s="307" t="s">
        <v>4229</v>
      </c>
      <c r="B114" s="307" t="s">
        <v>4230</v>
      </c>
      <c r="C114" s="307" t="s">
        <v>4069</v>
      </c>
      <c r="D114" s="307" t="s">
        <v>4231</v>
      </c>
      <c r="E114" s="307" t="s">
        <v>3905</v>
      </c>
      <c r="F114" s="307" t="s">
        <v>3906</v>
      </c>
      <c r="G114" s="307" t="s">
        <v>3907</v>
      </c>
    </row>
    <row r="115" spans="1:8" ht="13.5">
      <c r="A115" s="307" t="s">
        <v>4232</v>
      </c>
      <c r="B115" s="307" t="s">
        <v>4233</v>
      </c>
      <c r="C115" s="307" t="s">
        <v>4069</v>
      </c>
      <c r="D115" s="307" t="s">
        <v>4234</v>
      </c>
      <c r="E115" s="307" t="s">
        <v>3905</v>
      </c>
      <c r="F115" s="307" t="s">
        <v>3906</v>
      </c>
      <c r="G115" s="307" t="s">
        <v>3907</v>
      </c>
      <c r="H115" s="307" t="s">
        <v>4235</v>
      </c>
    </row>
    <row r="116" spans="1:7" ht="13.5">
      <c r="A116" s="307" t="s">
        <v>4236</v>
      </c>
      <c r="B116" s="307" t="s">
        <v>4237</v>
      </c>
      <c r="C116" s="307" t="s">
        <v>4069</v>
      </c>
      <c r="D116" s="307" t="s">
        <v>4238</v>
      </c>
      <c r="E116" s="307" t="s">
        <v>3905</v>
      </c>
      <c r="F116" s="307" t="s">
        <v>3906</v>
      </c>
      <c r="G116" s="307" t="s">
        <v>3907</v>
      </c>
    </row>
    <row r="117" spans="1:7" ht="13.5">
      <c r="A117" s="307" t="s">
        <v>4239</v>
      </c>
      <c r="B117" s="307" t="s">
        <v>4240</v>
      </c>
      <c r="C117" s="307" t="s">
        <v>4069</v>
      </c>
      <c r="D117" s="307" t="s">
        <v>4241</v>
      </c>
      <c r="E117" s="307" t="s">
        <v>3905</v>
      </c>
      <c r="F117" s="307" t="s">
        <v>3906</v>
      </c>
      <c r="G117" s="307" t="s">
        <v>3907</v>
      </c>
    </row>
    <row r="118" spans="1:7" ht="13.5">
      <c r="A118" s="307" t="s">
        <v>4242</v>
      </c>
      <c r="B118" s="307" t="s">
        <v>4243</v>
      </c>
      <c r="C118" s="307" t="s">
        <v>4069</v>
      </c>
      <c r="D118" s="307" t="s">
        <v>4244</v>
      </c>
      <c r="E118" s="307" t="s">
        <v>3905</v>
      </c>
      <c r="F118" s="307" t="s">
        <v>3906</v>
      </c>
      <c r="G118" s="307" t="s">
        <v>3907</v>
      </c>
    </row>
    <row r="119" spans="1:7" ht="13.5">
      <c r="A119" s="307" t="s">
        <v>4245</v>
      </c>
      <c r="B119" s="307" t="s">
        <v>4246</v>
      </c>
      <c r="C119" s="307" t="s">
        <v>4069</v>
      </c>
      <c r="D119" s="307" t="s">
        <v>4247</v>
      </c>
      <c r="E119" s="307" t="s">
        <v>3905</v>
      </c>
      <c r="F119" s="307" t="s">
        <v>3906</v>
      </c>
      <c r="G119" s="307" t="s">
        <v>3907</v>
      </c>
    </row>
    <row r="120" spans="1:7" ht="13.5">
      <c r="A120" s="307" t="s">
        <v>4248</v>
      </c>
      <c r="B120" s="307" t="s">
        <v>4249</v>
      </c>
      <c r="C120" s="307" t="s">
        <v>4069</v>
      </c>
      <c r="D120" s="307" t="s">
        <v>4250</v>
      </c>
      <c r="E120" s="307" t="s">
        <v>3905</v>
      </c>
      <c r="F120" s="307" t="s">
        <v>3906</v>
      </c>
      <c r="G120" s="307" t="s">
        <v>3907</v>
      </c>
    </row>
    <row r="121" spans="1:7" ht="13.5">
      <c r="A121" s="307" t="s">
        <v>4251</v>
      </c>
      <c r="B121" s="307" t="s">
        <v>4252</v>
      </c>
      <c r="C121" s="307" t="s">
        <v>4069</v>
      </c>
      <c r="D121" s="307" t="s">
        <v>4253</v>
      </c>
      <c r="E121" s="307" t="s">
        <v>3905</v>
      </c>
      <c r="F121" s="307" t="s">
        <v>3906</v>
      </c>
      <c r="G121" s="307" t="s">
        <v>3907</v>
      </c>
    </row>
    <row r="122" spans="1:7" ht="13.5">
      <c r="A122" s="307" t="s">
        <v>4254</v>
      </c>
      <c r="B122" s="307" t="s">
        <v>4255</v>
      </c>
      <c r="C122" s="307" t="s">
        <v>4069</v>
      </c>
      <c r="D122" s="307" t="s">
        <v>4256</v>
      </c>
      <c r="E122" s="307" t="s">
        <v>3905</v>
      </c>
      <c r="F122" s="307" t="s">
        <v>3906</v>
      </c>
      <c r="G122" s="307" t="s">
        <v>3907</v>
      </c>
    </row>
    <row r="123" spans="1:7" ht="13.5">
      <c r="A123" s="307" t="s">
        <v>4257</v>
      </c>
      <c r="B123" s="307" t="s">
        <v>4258</v>
      </c>
      <c r="C123" s="307" t="s">
        <v>4069</v>
      </c>
      <c r="D123" s="307" t="s">
        <v>4259</v>
      </c>
      <c r="E123" s="307" t="s">
        <v>3905</v>
      </c>
      <c r="F123" s="307" t="s">
        <v>3906</v>
      </c>
      <c r="G123" s="307" t="s">
        <v>3907</v>
      </c>
    </row>
    <row r="124" spans="1:7" ht="13.5">
      <c r="A124" s="307" t="s">
        <v>4260</v>
      </c>
      <c r="B124" s="307" t="s">
        <v>4261</v>
      </c>
      <c r="C124" s="307" t="s">
        <v>4069</v>
      </c>
      <c r="D124" s="307" t="s">
        <v>4262</v>
      </c>
      <c r="E124" s="307" t="s">
        <v>3905</v>
      </c>
      <c r="F124" s="307" t="s">
        <v>3906</v>
      </c>
      <c r="G124" s="307" t="s">
        <v>3907</v>
      </c>
    </row>
    <row r="125" spans="1:7" ht="13.5">
      <c r="A125" s="307" t="s">
        <v>4263</v>
      </c>
      <c r="B125" s="307" t="s">
        <v>4264</v>
      </c>
      <c r="C125" s="307" t="s">
        <v>4069</v>
      </c>
      <c r="D125" s="307" t="s">
        <v>4265</v>
      </c>
      <c r="E125" s="307" t="s">
        <v>3905</v>
      </c>
      <c r="F125" s="307" t="s">
        <v>3906</v>
      </c>
      <c r="G125" s="307" t="s">
        <v>3907</v>
      </c>
    </row>
    <row r="126" spans="1:7" ht="13.5">
      <c r="A126" s="307" t="s">
        <v>4266</v>
      </c>
      <c r="B126" s="307" t="s">
        <v>4267</v>
      </c>
      <c r="C126" s="307" t="s">
        <v>4069</v>
      </c>
      <c r="D126" s="307" t="s">
        <v>4268</v>
      </c>
      <c r="E126" s="307" t="s">
        <v>3905</v>
      </c>
      <c r="F126" s="307" t="s">
        <v>3906</v>
      </c>
      <c r="G126" s="307" t="s">
        <v>3907</v>
      </c>
    </row>
    <row r="127" spans="1:7" ht="13.5">
      <c r="A127" s="307" t="s">
        <v>4269</v>
      </c>
      <c r="B127" s="307" t="s">
        <v>4270</v>
      </c>
      <c r="C127" s="307" t="s">
        <v>4069</v>
      </c>
      <c r="D127" s="307" t="s">
        <v>4271</v>
      </c>
      <c r="E127" s="307" t="s">
        <v>3905</v>
      </c>
      <c r="F127" s="307" t="s">
        <v>3906</v>
      </c>
      <c r="G127" s="307" t="s">
        <v>3907</v>
      </c>
    </row>
    <row r="128" spans="1:7" ht="13.5">
      <c r="A128" s="307" t="s">
        <v>4272</v>
      </c>
      <c r="B128" s="307" t="s">
        <v>4273</v>
      </c>
      <c r="C128" s="307" t="s">
        <v>4069</v>
      </c>
      <c r="D128" s="307" t="s">
        <v>4274</v>
      </c>
      <c r="E128" s="307" t="s">
        <v>3905</v>
      </c>
      <c r="F128" s="307" t="s">
        <v>3906</v>
      </c>
      <c r="G128" s="307" t="s">
        <v>3907</v>
      </c>
    </row>
    <row r="129" spans="1:7" ht="13.5">
      <c r="A129" s="307" t="s">
        <v>4275</v>
      </c>
      <c r="B129" s="307" t="s">
        <v>4276</v>
      </c>
      <c r="C129" s="307" t="s">
        <v>4069</v>
      </c>
      <c r="D129" s="307" t="s">
        <v>4277</v>
      </c>
      <c r="E129" s="307" t="s">
        <v>3905</v>
      </c>
      <c r="F129" s="307" t="s">
        <v>3906</v>
      </c>
      <c r="G129" s="307" t="s">
        <v>3907</v>
      </c>
    </row>
    <row r="130" spans="1:7" ht="13.5">
      <c r="A130" s="307" t="s">
        <v>4278</v>
      </c>
      <c r="B130" s="307" t="s">
        <v>4279</v>
      </c>
      <c r="C130" s="307" t="s">
        <v>4069</v>
      </c>
      <c r="D130" s="307" t="s">
        <v>4280</v>
      </c>
      <c r="E130" s="307" t="s">
        <v>3905</v>
      </c>
      <c r="F130" s="307" t="s">
        <v>3906</v>
      </c>
      <c r="G130" s="307" t="s">
        <v>3907</v>
      </c>
    </row>
    <row r="131" spans="1:7" ht="13.5">
      <c r="A131" s="307" t="s">
        <v>4281</v>
      </c>
      <c r="B131" s="307" t="s">
        <v>4282</v>
      </c>
      <c r="C131" s="307" t="s">
        <v>4069</v>
      </c>
      <c r="D131" s="307" t="s">
        <v>4283</v>
      </c>
      <c r="E131" s="307" t="s">
        <v>3905</v>
      </c>
      <c r="F131" s="307" t="s">
        <v>3906</v>
      </c>
      <c r="G131" s="307" t="s">
        <v>3907</v>
      </c>
    </row>
    <row r="132" spans="1:7" ht="13.5">
      <c r="A132" s="307" t="s">
        <v>4284</v>
      </c>
      <c r="B132" s="307" t="s">
        <v>4285</v>
      </c>
      <c r="C132" s="307" t="s">
        <v>4069</v>
      </c>
      <c r="D132" s="307" t="s">
        <v>4286</v>
      </c>
      <c r="E132" s="307" t="s">
        <v>3905</v>
      </c>
      <c r="F132" s="307" t="s">
        <v>3906</v>
      </c>
      <c r="G132" s="307" t="s">
        <v>3907</v>
      </c>
    </row>
    <row r="133" spans="1:7" ht="13.5">
      <c r="A133" s="307" t="s">
        <v>4287</v>
      </c>
      <c r="B133" s="307" t="s">
        <v>4288</v>
      </c>
      <c r="C133" s="307" t="s">
        <v>4069</v>
      </c>
      <c r="D133" s="307" t="s">
        <v>4289</v>
      </c>
      <c r="E133" s="307" t="s">
        <v>3905</v>
      </c>
      <c r="F133" s="307" t="s">
        <v>3906</v>
      </c>
      <c r="G133" s="307" t="s">
        <v>3907</v>
      </c>
    </row>
    <row r="134" spans="1:7" ht="13.5">
      <c r="A134" s="307" t="s">
        <v>4290</v>
      </c>
      <c r="B134" s="307" t="s">
        <v>4291</v>
      </c>
      <c r="C134" s="307" t="s">
        <v>4069</v>
      </c>
      <c r="D134" s="307" t="s">
        <v>4292</v>
      </c>
      <c r="E134" s="307" t="s">
        <v>3905</v>
      </c>
      <c r="F134" s="307" t="s">
        <v>3906</v>
      </c>
      <c r="G134" s="307" t="s">
        <v>3907</v>
      </c>
    </row>
    <row r="135" spans="1:7" ht="13.5">
      <c r="A135" s="307" t="s">
        <v>4293</v>
      </c>
      <c r="B135" s="307" t="s">
        <v>4294</v>
      </c>
      <c r="C135" s="307" t="s">
        <v>4069</v>
      </c>
      <c r="D135" s="307" t="s">
        <v>4295</v>
      </c>
      <c r="E135" s="307" t="s">
        <v>3905</v>
      </c>
      <c r="F135" s="307" t="s">
        <v>3906</v>
      </c>
      <c r="G135" s="307" t="s">
        <v>3907</v>
      </c>
    </row>
    <row r="136" spans="1:7" ht="13.5">
      <c r="A136" s="307" t="s">
        <v>4296</v>
      </c>
      <c r="B136" s="307" t="s">
        <v>4297</v>
      </c>
      <c r="C136" s="307" t="s">
        <v>4069</v>
      </c>
      <c r="D136" s="307" t="s">
        <v>4298</v>
      </c>
      <c r="E136" s="307" t="s">
        <v>3905</v>
      </c>
      <c r="F136" s="307" t="s">
        <v>3906</v>
      </c>
      <c r="G136" s="307" t="s">
        <v>3907</v>
      </c>
    </row>
    <row r="137" spans="1:7" ht="13.5">
      <c r="A137" s="307" t="s">
        <v>4299</v>
      </c>
      <c r="B137" s="307" t="s">
        <v>4300</v>
      </c>
      <c r="C137" s="307" t="s">
        <v>4069</v>
      </c>
      <c r="D137" s="307" t="s">
        <v>4301</v>
      </c>
      <c r="E137" s="307" t="s">
        <v>3905</v>
      </c>
      <c r="F137" s="307" t="s">
        <v>3906</v>
      </c>
      <c r="G137" s="307" t="s">
        <v>3907</v>
      </c>
    </row>
    <row r="138" spans="1:7" ht="13.5">
      <c r="A138" s="307" t="s">
        <v>4302</v>
      </c>
      <c r="B138" s="307" t="s">
        <v>4303</v>
      </c>
      <c r="C138" s="307" t="s">
        <v>4069</v>
      </c>
      <c r="D138" s="307" t="s">
        <v>4304</v>
      </c>
      <c r="E138" s="307" t="s">
        <v>3905</v>
      </c>
      <c r="F138" s="307" t="s">
        <v>3906</v>
      </c>
      <c r="G138" s="307" t="s">
        <v>3907</v>
      </c>
    </row>
    <row r="139" spans="1:7" ht="13.5">
      <c r="A139" s="307" t="s">
        <v>4305</v>
      </c>
      <c r="B139" s="307" t="s">
        <v>4306</v>
      </c>
      <c r="C139" s="307" t="s">
        <v>4069</v>
      </c>
      <c r="D139" s="307" t="s">
        <v>4307</v>
      </c>
      <c r="E139" s="307" t="s">
        <v>3905</v>
      </c>
      <c r="F139" s="307" t="s">
        <v>3906</v>
      </c>
      <c r="G139" s="307" t="s">
        <v>3907</v>
      </c>
    </row>
    <row r="140" spans="1:7" ht="13.5">
      <c r="A140" s="307" t="s">
        <v>4308</v>
      </c>
      <c r="B140" s="307" t="s">
        <v>4309</v>
      </c>
      <c r="C140" s="307" t="s">
        <v>4069</v>
      </c>
      <c r="D140" s="307" t="s">
        <v>4310</v>
      </c>
      <c r="E140" s="307" t="s">
        <v>3905</v>
      </c>
      <c r="F140" s="307" t="s">
        <v>3906</v>
      </c>
      <c r="G140" s="307" t="s">
        <v>3907</v>
      </c>
    </row>
    <row r="141" spans="1:7" ht="13.5">
      <c r="A141" s="307" t="s">
        <v>4311</v>
      </c>
      <c r="B141" s="307" t="s">
        <v>4312</v>
      </c>
      <c r="C141" s="307" t="s">
        <v>4069</v>
      </c>
      <c r="D141" s="307" t="s">
        <v>4313</v>
      </c>
      <c r="E141" s="307" t="s">
        <v>3905</v>
      </c>
      <c r="F141" s="307" t="s">
        <v>3906</v>
      </c>
      <c r="G141" s="307" t="s">
        <v>3907</v>
      </c>
    </row>
    <row r="142" spans="1:7" ht="13.5">
      <c r="A142" s="307" t="s">
        <v>671</v>
      </c>
      <c r="B142" s="307" t="s">
        <v>834</v>
      </c>
      <c r="C142" s="307" t="s">
        <v>4069</v>
      </c>
      <c r="D142" s="307" t="s">
        <v>4314</v>
      </c>
      <c r="E142" s="307" t="s">
        <v>3905</v>
      </c>
      <c r="F142" s="307" t="s">
        <v>3906</v>
      </c>
      <c r="G142" s="307" t="s">
        <v>3907</v>
      </c>
    </row>
    <row r="143" spans="1:7" ht="13.5">
      <c r="A143" s="307" t="s">
        <v>4315</v>
      </c>
      <c r="B143" s="307" t="s">
        <v>4316</v>
      </c>
      <c r="C143" s="307" t="s">
        <v>4069</v>
      </c>
      <c r="D143" s="307" t="s">
        <v>4317</v>
      </c>
      <c r="E143" s="307" t="s">
        <v>3905</v>
      </c>
      <c r="F143" s="307" t="s">
        <v>3906</v>
      </c>
      <c r="G143" s="307" t="s">
        <v>3907</v>
      </c>
    </row>
    <row r="144" spans="1:7" ht="13.5">
      <c r="A144" s="307" t="s">
        <v>4318</v>
      </c>
      <c r="B144" s="307" t="s">
        <v>4319</v>
      </c>
      <c r="C144" s="307" t="s">
        <v>4069</v>
      </c>
      <c r="D144" s="307" t="s">
        <v>4320</v>
      </c>
      <c r="E144" s="307" t="s">
        <v>3905</v>
      </c>
      <c r="F144" s="307" t="s">
        <v>3906</v>
      </c>
      <c r="G144" s="307" t="s">
        <v>3907</v>
      </c>
    </row>
    <row r="145" spans="1:7" ht="13.5">
      <c r="A145" s="307" t="s">
        <v>4321</v>
      </c>
      <c r="B145" s="307" t="s">
        <v>4322</v>
      </c>
      <c r="C145" s="307" t="s">
        <v>4069</v>
      </c>
      <c r="D145" s="307" t="s">
        <v>4323</v>
      </c>
      <c r="E145" s="307" t="s">
        <v>3905</v>
      </c>
      <c r="F145" s="307" t="s">
        <v>3906</v>
      </c>
      <c r="G145" s="307" t="s">
        <v>3907</v>
      </c>
    </row>
    <row r="146" spans="1:7" ht="13.5">
      <c r="A146" s="307" t="s">
        <v>4324</v>
      </c>
      <c r="B146" s="307" t="s">
        <v>4325</v>
      </c>
      <c r="C146" s="307" t="s">
        <v>4069</v>
      </c>
      <c r="D146" s="307" t="s">
        <v>4326</v>
      </c>
      <c r="E146" s="307" t="s">
        <v>3905</v>
      </c>
      <c r="F146" s="307" t="s">
        <v>3906</v>
      </c>
      <c r="G146" s="307" t="s">
        <v>3907</v>
      </c>
    </row>
    <row r="147" spans="1:7" ht="13.5">
      <c r="A147" s="307" t="s">
        <v>4327</v>
      </c>
      <c r="B147" s="307" t="s">
        <v>4328</v>
      </c>
      <c r="C147" s="307" t="s">
        <v>4069</v>
      </c>
      <c r="D147" s="307" t="s">
        <v>4329</v>
      </c>
      <c r="E147" s="307" t="s">
        <v>3905</v>
      </c>
      <c r="F147" s="307" t="s">
        <v>3906</v>
      </c>
      <c r="G147" s="307" t="s">
        <v>3907</v>
      </c>
    </row>
    <row r="148" spans="1:7" ht="13.5">
      <c r="A148" s="307" t="s">
        <v>4330</v>
      </c>
      <c r="B148" s="307" t="s">
        <v>4331</v>
      </c>
      <c r="C148" s="307" t="s">
        <v>4069</v>
      </c>
      <c r="D148" s="307" t="s">
        <v>4332</v>
      </c>
      <c r="E148" s="307" t="s">
        <v>3905</v>
      </c>
      <c r="F148" s="307" t="s">
        <v>3906</v>
      </c>
      <c r="G148" s="307" t="s">
        <v>3907</v>
      </c>
    </row>
    <row r="149" spans="1:7" ht="13.5">
      <c r="A149" s="307" t="s">
        <v>4333</v>
      </c>
      <c r="B149" s="307" t="s">
        <v>4334</v>
      </c>
      <c r="C149" s="307" t="s">
        <v>4069</v>
      </c>
      <c r="D149" s="307" t="s">
        <v>4335</v>
      </c>
      <c r="E149" s="307" t="s">
        <v>3905</v>
      </c>
      <c r="F149" s="307" t="s">
        <v>3906</v>
      </c>
      <c r="G149" s="307" t="s">
        <v>3907</v>
      </c>
    </row>
    <row r="150" spans="1:7" ht="13.5">
      <c r="A150" s="307" t="s">
        <v>4336</v>
      </c>
      <c r="B150" s="307" t="s">
        <v>4337</v>
      </c>
      <c r="C150" s="307" t="s">
        <v>4069</v>
      </c>
      <c r="D150" s="307" t="s">
        <v>4338</v>
      </c>
      <c r="E150" s="307" t="s">
        <v>3905</v>
      </c>
      <c r="F150" s="307" t="s">
        <v>3906</v>
      </c>
      <c r="G150" s="307" t="s">
        <v>3907</v>
      </c>
    </row>
    <row r="151" spans="1:7" ht="13.5">
      <c r="A151" s="307" t="s">
        <v>4339</v>
      </c>
      <c r="B151" s="307" t="s">
        <v>4340</v>
      </c>
      <c r="C151" s="307" t="s">
        <v>4069</v>
      </c>
      <c r="D151" s="307" t="s">
        <v>4341</v>
      </c>
      <c r="E151" s="307" t="s">
        <v>3905</v>
      </c>
      <c r="F151" s="307" t="s">
        <v>3906</v>
      </c>
      <c r="G151" s="307" t="s">
        <v>3907</v>
      </c>
    </row>
    <row r="152" spans="1:7" ht="13.5">
      <c r="A152" s="307" t="s">
        <v>4342</v>
      </c>
      <c r="B152" s="307" t="s">
        <v>4343</v>
      </c>
      <c r="C152" s="307" t="s">
        <v>4069</v>
      </c>
      <c r="D152" s="307" t="s">
        <v>4344</v>
      </c>
      <c r="E152" s="307" t="s">
        <v>3905</v>
      </c>
      <c r="F152" s="307" t="s">
        <v>3906</v>
      </c>
      <c r="G152" s="307" t="s">
        <v>3907</v>
      </c>
    </row>
    <row r="153" spans="1:7" ht="13.5">
      <c r="A153" s="307" t="s">
        <v>4345</v>
      </c>
      <c r="B153" s="307" t="s">
        <v>4346</v>
      </c>
      <c r="C153" s="307" t="s">
        <v>4069</v>
      </c>
      <c r="D153" s="307" t="s">
        <v>4347</v>
      </c>
      <c r="E153" s="307" t="s">
        <v>3905</v>
      </c>
      <c r="F153" s="307" t="s">
        <v>3906</v>
      </c>
      <c r="G153" s="307" t="s">
        <v>3907</v>
      </c>
    </row>
    <row r="154" spans="1:7" ht="13.5">
      <c r="A154" s="307" t="s">
        <v>4348</v>
      </c>
      <c r="B154" s="307" t="s">
        <v>4349</v>
      </c>
      <c r="C154" s="307" t="s">
        <v>4069</v>
      </c>
      <c r="D154" s="307" t="s">
        <v>4350</v>
      </c>
      <c r="E154" s="307" t="s">
        <v>3905</v>
      </c>
      <c r="F154" s="307" t="s">
        <v>3906</v>
      </c>
      <c r="G154" s="307" t="s">
        <v>3907</v>
      </c>
    </row>
    <row r="155" spans="1:7" ht="13.5">
      <c r="A155" s="307" t="s">
        <v>4351</v>
      </c>
      <c r="B155" s="307" t="s">
        <v>4352</v>
      </c>
      <c r="C155" s="307" t="s">
        <v>4069</v>
      </c>
      <c r="D155" s="307" t="s">
        <v>4353</v>
      </c>
      <c r="E155" s="307" t="s">
        <v>3905</v>
      </c>
      <c r="F155" s="307" t="s">
        <v>3906</v>
      </c>
      <c r="G155" s="307" t="s">
        <v>3907</v>
      </c>
    </row>
    <row r="156" spans="1:7" ht="13.5">
      <c r="A156" s="307" t="s">
        <v>4354</v>
      </c>
      <c r="B156" s="307" t="s">
        <v>4355</v>
      </c>
      <c r="C156" s="307" t="s">
        <v>4069</v>
      </c>
      <c r="D156" s="307" t="s">
        <v>4356</v>
      </c>
      <c r="E156" s="307" t="s">
        <v>3905</v>
      </c>
      <c r="F156" s="307" t="s">
        <v>3906</v>
      </c>
      <c r="G156" s="307" t="s">
        <v>3907</v>
      </c>
    </row>
    <row r="157" spans="1:7" ht="13.5">
      <c r="A157" s="307" t="s">
        <v>4357</v>
      </c>
      <c r="B157" s="307" t="s">
        <v>4358</v>
      </c>
      <c r="C157" s="307" t="s">
        <v>4069</v>
      </c>
      <c r="D157" s="307" t="s">
        <v>4359</v>
      </c>
      <c r="E157" s="307" t="s">
        <v>3905</v>
      </c>
      <c r="F157" s="307" t="s">
        <v>3906</v>
      </c>
      <c r="G157" s="307" t="s">
        <v>3907</v>
      </c>
    </row>
    <row r="158" spans="1:7" ht="13.5">
      <c r="A158" s="307" t="s">
        <v>4360</v>
      </c>
      <c r="B158" s="307" t="s">
        <v>4361</v>
      </c>
      <c r="C158" s="307" t="s">
        <v>4069</v>
      </c>
      <c r="D158" s="307" t="s">
        <v>4362</v>
      </c>
      <c r="E158" s="307" t="s">
        <v>3905</v>
      </c>
      <c r="F158" s="307" t="s">
        <v>3906</v>
      </c>
      <c r="G158" s="307" t="s">
        <v>3907</v>
      </c>
    </row>
    <row r="159" spans="1:7" ht="13.5">
      <c r="A159" s="307" t="s">
        <v>4363</v>
      </c>
      <c r="B159" s="307" t="s">
        <v>4364</v>
      </c>
      <c r="C159" s="307" t="s">
        <v>4069</v>
      </c>
      <c r="D159" s="307" t="s">
        <v>4365</v>
      </c>
      <c r="E159" s="307" t="s">
        <v>3905</v>
      </c>
      <c r="F159" s="307" t="s">
        <v>3906</v>
      </c>
      <c r="G159" s="307" t="s">
        <v>3907</v>
      </c>
    </row>
    <row r="160" spans="1:7" ht="13.5">
      <c r="A160" s="307" t="s">
        <v>576</v>
      </c>
      <c r="B160" s="307" t="s">
        <v>4366</v>
      </c>
      <c r="C160" s="307" t="s">
        <v>4069</v>
      </c>
      <c r="D160" s="307" t="s">
        <v>4367</v>
      </c>
      <c r="E160" s="307" t="s">
        <v>3905</v>
      </c>
      <c r="F160" s="307" t="s">
        <v>3906</v>
      </c>
      <c r="G160" s="307" t="s">
        <v>3907</v>
      </c>
    </row>
    <row r="161" spans="1:7" ht="13.5">
      <c r="A161" s="307" t="s">
        <v>681</v>
      </c>
      <c r="B161" s="307" t="s">
        <v>843</v>
      </c>
      <c r="C161" s="307" t="s">
        <v>4069</v>
      </c>
      <c r="D161" s="307" t="s">
        <v>4368</v>
      </c>
      <c r="E161" s="307" t="s">
        <v>3905</v>
      </c>
      <c r="F161" s="307" t="s">
        <v>3906</v>
      </c>
      <c r="G161" s="307" t="s">
        <v>3907</v>
      </c>
    </row>
    <row r="162" spans="1:7" ht="13.5">
      <c r="A162" s="307" t="s">
        <v>4369</v>
      </c>
      <c r="B162" s="307" t="s">
        <v>4370</v>
      </c>
      <c r="C162" s="307" t="s">
        <v>4069</v>
      </c>
      <c r="D162" s="307" t="s">
        <v>4371</v>
      </c>
      <c r="E162" s="307" t="s">
        <v>3905</v>
      </c>
      <c r="F162" s="307" t="s">
        <v>3906</v>
      </c>
      <c r="G162" s="307" t="s">
        <v>3907</v>
      </c>
    </row>
    <row r="163" spans="1:7" ht="13.5">
      <c r="A163" s="307" t="s">
        <v>4372</v>
      </c>
      <c r="B163" s="307" t="s">
        <v>4373</v>
      </c>
      <c r="C163" s="307" t="s">
        <v>4069</v>
      </c>
      <c r="D163" s="307" t="s">
        <v>4374</v>
      </c>
      <c r="E163" s="307" t="s">
        <v>3905</v>
      </c>
      <c r="F163" s="307" t="s">
        <v>3906</v>
      </c>
      <c r="G163" s="307" t="s">
        <v>3907</v>
      </c>
    </row>
    <row r="164" spans="1:7" ht="13.5">
      <c r="A164" s="307" t="s">
        <v>4375</v>
      </c>
      <c r="B164" s="307" t="s">
        <v>4376</v>
      </c>
      <c r="C164" s="307" t="s">
        <v>4069</v>
      </c>
      <c r="D164" s="307" t="s">
        <v>4377</v>
      </c>
      <c r="E164" s="307" t="s">
        <v>3905</v>
      </c>
      <c r="F164" s="307" t="s">
        <v>3906</v>
      </c>
      <c r="G164" s="307" t="s">
        <v>3907</v>
      </c>
    </row>
    <row r="165" spans="1:7" ht="13.5">
      <c r="A165" s="307" t="s">
        <v>4378</v>
      </c>
      <c r="B165" s="307" t="s">
        <v>4379</v>
      </c>
      <c r="C165" s="307" t="s">
        <v>4069</v>
      </c>
      <c r="D165" s="307" t="s">
        <v>4380</v>
      </c>
      <c r="E165" s="307" t="s">
        <v>3905</v>
      </c>
      <c r="F165" s="307" t="s">
        <v>3906</v>
      </c>
      <c r="G165" s="307" t="s">
        <v>3907</v>
      </c>
    </row>
    <row r="166" spans="1:7" ht="13.5">
      <c r="A166" s="307" t="s">
        <v>4381</v>
      </c>
      <c r="B166" s="307" t="s">
        <v>4382</v>
      </c>
      <c r="C166" s="307" t="s">
        <v>4069</v>
      </c>
      <c r="D166" s="307" t="s">
        <v>4383</v>
      </c>
      <c r="E166" s="307" t="s">
        <v>3905</v>
      </c>
      <c r="F166" s="307" t="s">
        <v>3906</v>
      </c>
      <c r="G166" s="307" t="s">
        <v>3907</v>
      </c>
    </row>
    <row r="167" spans="1:7" ht="13.5">
      <c r="A167" s="307" t="s">
        <v>4384</v>
      </c>
      <c r="B167" s="307" t="s">
        <v>4385</v>
      </c>
      <c r="C167" s="307" t="s">
        <v>4069</v>
      </c>
      <c r="D167" s="307" t="s">
        <v>4386</v>
      </c>
      <c r="E167" s="307" t="s">
        <v>3905</v>
      </c>
      <c r="F167" s="307" t="s">
        <v>3906</v>
      </c>
      <c r="G167" s="307" t="s">
        <v>3907</v>
      </c>
    </row>
    <row r="168" spans="1:7" ht="13.5">
      <c r="A168" s="307" t="s">
        <v>4387</v>
      </c>
      <c r="B168" s="307" t="s">
        <v>4388</v>
      </c>
      <c r="C168" s="307" t="s">
        <v>4069</v>
      </c>
      <c r="D168" s="307" t="s">
        <v>4389</v>
      </c>
      <c r="E168" s="307" t="s">
        <v>3905</v>
      </c>
      <c r="F168" s="307" t="s">
        <v>3906</v>
      </c>
      <c r="G168" s="307" t="s">
        <v>3907</v>
      </c>
    </row>
    <row r="169" spans="1:7" ht="13.5">
      <c r="A169" s="307" t="s">
        <v>4390</v>
      </c>
      <c r="B169" s="307" t="s">
        <v>4391</v>
      </c>
      <c r="C169" s="307" t="s">
        <v>4069</v>
      </c>
      <c r="D169" s="307" t="s">
        <v>4392</v>
      </c>
      <c r="E169" s="307" t="s">
        <v>3905</v>
      </c>
      <c r="F169" s="307" t="s">
        <v>3906</v>
      </c>
      <c r="G169" s="307" t="s">
        <v>3907</v>
      </c>
    </row>
    <row r="170" spans="1:7" ht="13.5">
      <c r="A170" s="307" t="s">
        <v>673</v>
      </c>
      <c r="B170" s="307" t="s">
        <v>720</v>
      </c>
      <c r="C170" s="307" t="s">
        <v>4069</v>
      </c>
      <c r="D170" s="307" t="s">
        <v>4393</v>
      </c>
      <c r="E170" s="307" t="s">
        <v>3905</v>
      </c>
      <c r="F170" s="307" t="s">
        <v>3906</v>
      </c>
      <c r="G170" s="307" t="s">
        <v>3907</v>
      </c>
    </row>
    <row r="171" spans="1:7" ht="13.5">
      <c r="A171" s="307" t="s">
        <v>4394</v>
      </c>
      <c r="B171" s="307" t="s">
        <v>4395</v>
      </c>
      <c r="C171" s="307" t="s">
        <v>4069</v>
      </c>
      <c r="D171" s="307" t="s">
        <v>4396</v>
      </c>
      <c r="E171" s="307" t="s">
        <v>3905</v>
      </c>
      <c r="F171" s="307" t="s">
        <v>3906</v>
      </c>
      <c r="G171" s="307" t="s">
        <v>3907</v>
      </c>
    </row>
    <row r="172" spans="1:7" ht="13.5">
      <c r="A172" s="307" t="s">
        <v>4397</v>
      </c>
      <c r="B172" s="307" t="s">
        <v>4398</v>
      </c>
      <c r="C172" s="307" t="s">
        <v>4069</v>
      </c>
      <c r="D172" s="307" t="s">
        <v>4399</v>
      </c>
      <c r="E172" s="307" t="s">
        <v>3905</v>
      </c>
      <c r="F172" s="307" t="s">
        <v>3906</v>
      </c>
      <c r="G172" s="307" t="s">
        <v>3907</v>
      </c>
    </row>
    <row r="173" spans="1:7" ht="13.5">
      <c r="A173" s="307" t="s">
        <v>4400</v>
      </c>
      <c r="B173" s="307" t="s">
        <v>4401</v>
      </c>
      <c r="C173" s="307" t="s">
        <v>4069</v>
      </c>
      <c r="D173" s="307" t="s">
        <v>4402</v>
      </c>
      <c r="E173" s="307" t="s">
        <v>3905</v>
      </c>
      <c r="F173" s="307" t="s">
        <v>3906</v>
      </c>
      <c r="G173" s="307" t="s">
        <v>3907</v>
      </c>
    </row>
    <row r="174" spans="1:7" ht="13.5">
      <c r="A174" s="307" t="s">
        <v>4403</v>
      </c>
      <c r="B174" s="307" t="s">
        <v>598</v>
      </c>
      <c r="C174" s="307" t="s">
        <v>4069</v>
      </c>
      <c r="D174" s="307" t="s">
        <v>4404</v>
      </c>
      <c r="E174" s="307" t="s">
        <v>3905</v>
      </c>
      <c r="F174" s="307" t="s">
        <v>3906</v>
      </c>
      <c r="G174" s="307" t="s">
        <v>3907</v>
      </c>
    </row>
    <row r="175" spans="1:7" ht="13.5">
      <c r="A175" s="307" t="s">
        <v>4405</v>
      </c>
      <c r="B175" s="307" t="s">
        <v>4406</v>
      </c>
      <c r="C175" s="307" t="s">
        <v>4069</v>
      </c>
      <c r="D175" s="307" t="s">
        <v>4407</v>
      </c>
      <c r="E175" s="307" t="s">
        <v>3905</v>
      </c>
      <c r="F175" s="307" t="s">
        <v>3906</v>
      </c>
      <c r="G175" s="307" t="s">
        <v>3907</v>
      </c>
    </row>
    <row r="176" spans="1:7" ht="13.5">
      <c r="A176" s="307" t="s">
        <v>4408</v>
      </c>
      <c r="B176" s="307" t="s">
        <v>4409</v>
      </c>
      <c r="C176" s="307" t="s">
        <v>4069</v>
      </c>
      <c r="D176" s="307" t="s">
        <v>4410</v>
      </c>
      <c r="E176" s="307" t="s">
        <v>3905</v>
      </c>
      <c r="F176" s="307" t="s">
        <v>3906</v>
      </c>
      <c r="G176" s="307" t="s">
        <v>3907</v>
      </c>
    </row>
    <row r="177" spans="1:7" ht="13.5">
      <c r="A177" s="307" t="s">
        <v>4411</v>
      </c>
      <c r="B177" s="307" t="s">
        <v>4412</v>
      </c>
      <c r="C177" s="307" t="s">
        <v>4069</v>
      </c>
      <c r="D177" s="307" t="s">
        <v>4413</v>
      </c>
      <c r="E177" s="307" t="s">
        <v>3905</v>
      </c>
      <c r="F177" s="307" t="s">
        <v>3906</v>
      </c>
      <c r="G177" s="307" t="s">
        <v>3907</v>
      </c>
    </row>
    <row r="178" spans="1:7" ht="13.5">
      <c r="A178" s="307" t="s">
        <v>4414</v>
      </c>
      <c r="B178" s="307" t="s">
        <v>4415</v>
      </c>
      <c r="C178" s="307" t="s">
        <v>4069</v>
      </c>
      <c r="D178" s="307" t="s">
        <v>4416</v>
      </c>
      <c r="E178" s="307" t="s">
        <v>3905</v>
      </c>
      <c r="F178" s="307" t="s">
        <v>3906</v>
      </c>
      <c r="G178" s="307" t="s">
        <v>3907</v>
      </c>
    </row>
    <row r="179" spans="1:7" ht="13.5">
      <c r="A179" s="307" t="s">
        <v>4417</v>
      </c>
      <c r="B179" s="307" t="s">
        <v>4418</v>
      </c>
      <c r="C179" s="307" t="s">
        <v>4069</v>
      </c>
      <c r="D179" s="307" t="s">
        <v>4419</v>
      </c>
      <c r="E179" s="307" t="s">
        <v>3905</v>
      </c>
      <c r="F179" s="307" t="s">
        <v>3906</v>
      </c>
      <c r="G179" s="307" t="s">
        <v>3907</v>
      </c>
    </row>
    <row r="180" spans="1:7" ht="13.5">
      <c r="A180" s="307" t="s">
        <v>4420</v>
      </c>
      <c r="B180" s="307" t="s">
        <v>4421</v>
      </c>
      <c r="C180" s="307" t="s">
        <v>4069</v>
      </c>
      <c r="D180" s="307" t="s">
        <v>4422</v>
      </c>
      <c r="E180" s="307" t="s">
        <v>3905</v>
      </c>
      <c r="F180" s="307" t="s">
        <v>3906</v>
      </c>
      <c r="G180" s="307" t="s">
        <v>3907</v>
      </c>
    </row>
    <row r="181" spans="1:7" ht="13.5">
      <c r="A181" s="307" t="s">
        <v>4423</v>
      </c>
      <c r="B181" s="307" t="s">
        <v>4424</v>
      </c>
      <c r="C181" s="307" t="s">
        <v>4069</v>
      </c>
      <c r="D181" s="307" t="s">
        <v>4425</v>
      </c>
      <c r="E181" s="307" t="s">
        <v>3905</v>
      </c>
      <c r="F181" s="307" t="s">
        <v>3906</v>
      </c>
      <c r="G181" s="307" t="s">
        <v>3907</v>
      </c>
    </row>
    <row r="182" spans="1:7" ht="13.5">
      <c r="A182" s="307" t="s">
        <v>4426</v>
      </c>
      <c r="B182" s="307" t="s">
        <v>4427</v>
      </c>
      <c r="C182" s="307" t="s">
        <v>4069</v>
      </c>
      <c r="D182" s="307" t="s">
        <v>4428</v>
      </c>
      <c r="E182" s="307" t="s">
        <v>3905</v>
      </c>
      <c r="F182" s="307" t="s">
        <v>3906</v>
      </c>
      <c r="G182" s="307" t="s">
        <v>3907</v>
      </c>
    </row>
    <row r="183" spans="1:7" ht="13.5">
      <c r="A183" s="307" t="s">
        <v>4429</v>
      </c>
      <c r="B183" s="307" t="s">
        <v>4430</v>
      </c>
      <c r="C183" s="307" t="s">
        <v>4069</v>
      </c>
      <c r="D183" s="307" t="s">
        <v>4431</v>
      </c>
      <c r="E183" s="307" t="s">
        <v>3905</v>
      </c>
      <c r="F183" s="307" t="s">
        <v>3906</v>
      </c>
      <c r="G183" s="307" t="s">
        <v>3907</v>
      </c>
    </row>
    <row r="184" spans="1:7" ht="13.5">
      <c r="A184" s="307" t="s">
        <v>4432</v>
      </c>
      <c r="B184" s="307" t="s">
        <v>4433</v>
      </c>
      <c r="C184" s="307" t="s">
        <v>4069</v>
      </c>
      <c r="D184" s="307" t="s">
        <v>4434</v>
      </c>
      <c r="E184" s="307" t="s">
        <v>3905</v>
      </c>
      <c r="F184" s="307" t="s">
        <v>3906</v>
      </c>
      <c r="G184" s="307" t="s">
        <v>3907</v>
      </c>
    </row>
    <row r="185" spans="1:7" ht="13.5">
      <c r="A185" s="307" t="s">
        <v>4435</v>
      </c>
      <c r="B185" s="307" t="s">
        <v>4436</v>
      </c>
      <c r="C185" s="307" t="s">
        <v>4069</v>
      </c>
      <c r="D185" s="307" t="s">
        <v>4437</v>
      </c>
      <c r="E185" s="307" t="s">
        <v>3905</v>
      </c>
      <c r="F185" s="307" t="s">
        <v>3906</v>
      </c>
      <c r="G185" s="307" t="s">
        <v>3907</v>
      </c>
    </row>
    <row r="186" spans="1:7" ht="13.5">
      <c r="A186" s="307" t="s">
        <v>4438</v>
      </c>
      <c r="B186" s="307" t="s">
        <v>4439</v>
      </c>
      <c r="C186" s="307" t="s">
        <v>4069</v>
      </c>
      <c r="D186" s="307" t="s">
        <v>4440</v>
      </c>
      <c r="E186" s="307" t="s">
        <v>3905</v>
      </c>
      <c r="F186" s="307" t="s">
        <v>3906</v>
      </c>
      <c r="G186" s="307" t="s">
        <v>3907</v>
      </c>
    </row>
    <row r="187" spans="1:7" ht="13.5">
      <c r="A187" s="307" t="s">
        <v>4441</v>
      </c>
      <c r="B187" s="307" t="s">
        <v>822</v>
      </c>
      <c r="C187" s="307" t="s">
        <v>4069</v>
      </c>
      <c r="D187" s="307" t="s">
        <v>4442</v>
      </c>
      <c r="E187" s="307" t="s">
        <v>3905</v>
      </c>
      <c r="F187" s="307" t="s">
        <v>3906</v>
      </c>
      <c r="G187" s="307" t="s">
        <v>3907</v>
      </c>
    </row>
    <row r="188" spans="1:7" ht="13.5">
      <c r="A188" s="307" t="s">
        <v>4443</v>
      </c>
      <c r="B188" s="307" t="s">
        <v>4444</v>
      </c>
      <c r="C188" s="307" t="s">
        <v>4069</v>
      </c>
      <c r="D188" s="307" t="s">
        <v>4445</v>
      </c>
      <c r="E188" s="307" t="s">
        <v>3905</v>
      </c>
      <c r="F188" s="307" t="s">
        <v>3906</v>
      </c>
      <c r="G188" s="307" t="s">
        <v>3907</v>
      </c>
    </row>
    <row r="189" spans="1:7" ht="13.5">
      <c r="A189" s="307" t="s">
        <v>4446</v>
      </c>
      <c r="B189" s="307" t="s">
        <v>4447</v>
      </c>
      <c r="C189" s="307" t="s">
        <v>4069</v>
      </c>
      <c r="D189" s="307" t="s">
        <v>4448</v>
      </c>
      <c r="E189" s="307" t="s">
        <v>3905</v>
      </c>
      <c r="F189" s="307" t="s">
        <v>3906</v>
      </c>
      <c r="G189" s="307" t="s">
        <v>3907</v>
      </c>
    </row>
    <row r="190" spans="1:7" ht="13.5">
      <c r="A190" s="307" t="s">
        <v>4449</v>
      </c>
      <c r="B190" s="307" t="s">
        <v>4450</v>
      </c>
      <c r="C190" s="307" t="s">
        <v>4069</v>
      </c>
      <c r="D190" s="307" t="s">
        <v>4451</v>
      </c>
      <c r="E190" s="307" t="s">
        <v>3905</v>
      </c>
      <c r="F190" s="307" t="s">
        <v>3906</v>
      </c>
      <c r="G190" s="307" t="s">
        <v>3907</v>
      </c>
    </row>
    <row r="191" spans="1:7" ht="13.5">
      <c r="A191" s="307" t="s">
        <v>4452</v>
      </c>
      <c r="B191" s="307" t="s">
        <v>4453</v>
      </c>
      <c r="C191" s="307" t="s">
        <v>4069</v>
      </c>
      <c r="D191" s="307" t="s">
        <v>4454</v>
      </c>
      <c r="E191" s="307" t="s">
        <v>3905</v>
      </c>
      <c r="F191" s="307" t="s">
        <v>3906</v>
      </c>
      <c r="G191" s="307" t="s">
        <v>3907</v>
      </c>
    </row>
    <row r="192" spans="1:7" ht="13.5">
      <c r="A192" s="307" t="s">
        <v>591</v>
      </c>
      <c r="B192" s="307" t="s">
        <v>4455</v>
      </c>
      <c r="C192" s="307" t="s">
        <v>4069</v>
      </c>
      <c r="D192" s="307" t="s">
        <v>4456</v>
      </c>
      <c r="E192" s="307" t="s">
        <v>3905</v>
      </c>
      <c r="F192" s="307" t="s">
        <v>3906</v>
      </c>
      <c r="G192" s="307" t="s">
        <v>3907</v>
      </c>
    </row>
    <row r="193" spans="1:7" ht="13.5">
      <c r="A193" s="307" t="s">
        <v>606</v>
      </c>
      <c r="B193" s="307" t="s">
        <v>4457</v>
      </c>
      <c r="C193" s="307" t="s">
        <v>4069</v>
      </c>
      <c r="D193" s="307" t="s">
        <v>4458</v>
      </c>
      <c r="E193" s="307" t="s">
        <v>3905</v>
      </c>
      <c r="F193" s="307" t="s">
        <v>3906</v>
      </c>
      <c r="G193" s="307" t="s">
        <v>3907</v>
      </c>
    </row>
    <row r="194" spans="1:7" ht="13.5">
      <c r="A194" s="307" t="s">
        <v>672</v>
      </c>
      <c r="B194" s="307" t="s">
        <v>823</v>
      </c>
      <c r="C194" s="307" t="s">
        <v>4069</v>
      </c>
      <c r="D194" s="307" t="s">
        <v>4459</v>
      </c>
      <c r="E194" s="307" t="s">
        <v>3905</v>
      </c>
      <c r="F194" s="307" t="s">
        <v>3906</v>
      </c>
      <c r="G194" s="307" t="s">
        <v>3907</v>
      </c>
    </row>
    <row r="195" spans="1:7" ht="13.5">
      <c r="A195" s="307" t="s">
        <v>4460</v>
      </c>
      <c r="B195" s="307" t="s">
        <v>4461</v>
      </c>
      <c r="C195" s="307" t="s">
        <v>4069</v>
      </c>
      <c r="D195" s="307" t="s">
        <v>4462</v>
      </c>
      <c r="E195" s="307" t="s">
        <v>3905</v>
      </c>
      <c r="F195" s="307" t="s">
        <v>3906</v>
      </c>
      <c r="G195" s="307" t="s">
        <v>3907</v>
      </c>
    </row>
    <row r="196" spans="1:7" ht="13.5">
      <c r="A196" s="307" t="s">
        <v>602</v>
      </c>
      <c r="B196" s="307" t="s">
        <v>4463</v>
      </c>
      <c r="C196" s="307" t="s">
        <v>4069</v>
      </c>
      <c r="D196" s="307" t="s">
        <v>4464</v>
      </c>
      <c r="E196" s="307" t="s">
        <v>3905</v>
      </c>
      <c r="F196" s="307" t="s">
        <v>3906</v>
      </c>
      <c r="G196" s="307" t="s">
        <v>3907</v>
      </c>
    </row>
    <row r="197" spans="1:7" ht="13.5">
      <c r="A197" s="307" t="s">
        <v>4465</v>
      </c>
      <c r="B197" s="307" t="s">
        <v>4466</v>
      </c>
      <c r="C197" s="307" t="s">
        <v>4069</v>
      </c>
      <c r="D197" s="307" t="s">
        <v>4467</v>
      </c>
      <c r="E197" s="307" t="s">
        <v>3905</v>
      </c>
      <c r="F197" s="307" t="s">
        <v>3906</v>
      </c>
      <c r="G197" s="307" t="s">
        <v>3907</v>
      </c>
    </row>
    <row r="198" spans="1:7" ht="13.5">
      <c r="A198" s="307" t="s">
        <v>4468</v>
      </c>
      <c r="B198" s="307" t="s">
        <v>4469</v>
      </c>
      <c r="C198" s="307" t="s">
        <v>4069</v>
      </c>
      <c r="D198" s="307" t="s">
        <v>4470</v>
      </c>
      <c r="E198" s="307" t="s">
        <v>3905</v>
      </c>
      <c r="F198" s="307" t="s">
        <v>3906</v>
      </c>
      <c r="G198" s="307" t="s">
        <v>3907</v>
      </c>
    </row>
    <row r="199" spans="1:7" ht="13.5">
      <c r="A199" s="307" t="s">
        <v>4471</v>
      </c>
      <c r="B199" s="307" t="s">
        <v>4472</v>
      </c>
      <c r="C199" s="307" t="s">
        <v>4069</v>
      </c>
      <c r="D199" s="307" t="s">
        <v>4473</v>
      </c>
      <c r="E199" s="307" t="s">
        <v>3905</v>
      </c>
      <c r="F199" s="307" t="s">
        <v>3906</v>
      </c>
      <c r="G199" s="307" t="s">
        <v>3907</v>
      </c>
    </row>
    <row r="200" spans="1:7" ht="13.5">
      <c r="A200" s="307" t="s">
        <v>4474</v>
      </c>
      <c r="B200" s="307" t="s">
        <v>4475</v>
      </c>
      <c r="C200" s="307" t="s">
        <v>4069</v>
      </c>
      <c r="D200" s="307" t="s">
        <v>4476</v>
      </c>
      <c r="E200" s="307" t="s">
        <v>3905</v>
      </c>
      <c r="F200" s="307" t="s">
        <v>3906</v>
      </c>
      <c r="G200" s="307" t="s">
        <v>3907</v>
      </c>
    </row>
    <row r="201" spans="1:7" ht="13.5">
      <c r="A201" s="307" t="s">
        <v>4477</v>
      </c>
      <c r="B201" s="307" t="s">
        <v>4478</v>
      </c>
      <c r="C201" s="307" t="s">
        <v>4069</v>
      </c>
      <c r="D201" s="307" t="s">
        <v>4479</v>
      </c>
      <c r="E201" s="307" t="s">
        <v>3905</v>
      </c>
      <c r="F201" s="307" t="s">
        <v>3906</v>
      </c>
      <c r="G201" s="307" t="s">
        <v>3907</v>
      </c>
    </row>
    <row r="202" spans="1:7" ht="13.5">
      <c r="A202" s="307" t="s">
        <v>4480</v>
      </c>
      <c r="B202" s="307" t="s">
        <v>4481</v>
      </c>
      <c r="C202" s="307" t="s">
        <v>4069</v>
      </c>
      <c r="D202" s="307" t="s">
        <v>4482</v>
      </c>
      <c r="E202" s="307" t="s">
        <v>3905</v>
      </c>
      <c r="F202" s="307" t="s">
        <v>3906</v>
      </c>
      <c r="G202" s="307" t="s">
        <v>3907</v>
      </c>
    </row>
    <row r="203" spans="1:7" ht="13.5">
      <c r="A203" s="307" t="s">
        <v>4483</v>
      </c>
      <c r="B203" s="307" t="s">
        <v>4484</v>
      </c>
      <c r="C203" s="307" t="s">
        <v>4069</v>
      </c>
      <c r="D203" s="307" t="s">
        <v>4485</v>
      </c>
      <c r="E203" s="307" t="s">
        <v>3905</v>
      </c>
      <c r="F203" s="307" t="s">
        <v>3906</v>
      </c>
      <c r="G203" s="307" t="s">
        <v>3907</v>
      </c>
    </row>
    <row r="204" spans="1:7" ht="13.5">
      <c r="A204" s="307" t="s">
        <v>4486</v>
      </c>
      <c r="B204" s="307" t="s">
        <v>4487</v>
      </c>
      <c r="C204" s="307" t="s">
        <v>4069</v>
      </c>
      <c r="D204" s="307" t="s">
        <v>4488</v>
      </c>
      <c r="E204" s="307" t="s">
        <v>3905</v>
      </c>
      <c r="F204" s="307" t="s">
        <v>3906</v>
      </c>
      <c r="G204" s="307" t="s">
        <v>3907</v>
      </c>
    </row>
    <row r="205" spans="1:7" ht="13.5">
      <c r="A205" s="307" t="s">
        <v>4489</v>
      </c>
      <c r="B205" s="307" t="s">
        <v>4490</v>
      </c>
      <c r="C205" s="307" t="s">
        <v>4069</v>
      </c>
      <c r="D205" s="307" t="s">
        <v>4491</v>
      </c>
      <c r="E205" s="307" t="s">
        <v>3905</v>
      </c>
      <c r="F205" s="307" t="s">
        <v>3906</v>
      </c>
      <c r="G205" s="307" t="s">
        <v>3907</v>
      </c>
    </row>
    <row r="206" spans="1:7" ht="13.5">
      <c r="A206" s="307" t="s">
        <v>4492</v>
      </c>
      <c r="B206" s="307" t="s">
        <v>4493</v>
      </c>
      <c r="C206" s="307" t="s">
        <v>4069</v>
      </c>
      <c r="D206" s="307" t="s">
        <v>4494</v>
      </c>
      <c r="E206" s="307" t="s">
        <v>3905</v>
      </c>
      <c r="F206" s="307" t="s">
        <v>3906</v>
      </c>
      <c r="G206" s="307" t="s">
        <v>3907</v>
      </c>
    </row>
    <row r="207" spans="1:7" ht="13.5">
      <c r="A207" s="307" t="s">
        <v>4495</v>
      </c>
      <c r="B207" s="307" t="s">
        <v>4496</v>
      </c>
      <c r="C207" s="307" t="s">
        <v>4069</v>
      </c>
      <c r="D207" s="307" t="s">
        <v>4494</v>
      </c>
      <c r="E207" s="307" t="s">
        <v>3905</v>
      </c>
      <c r="F207" s="307" t="s">
        <v>3906</v>
      </c>
      <c r="G207" s="307" t="s">
        <v>3907</v>
      </c>
    </row>
    <row r="208" spans="1:7" ht="13.5">
      <c r="A208" s="307" t="s">
        <v>4497</v>
      </c>
      <c r="B208" s="307" t="s">
        <v>4498</v>
      </c>
      <c r="C208" s="307" t="s">
        <v>4069</v>
      </c>
      <c r="D208" s="307" t="s">
        <v>4499</v>
      </c>
      <c r="E208" s="307" t="s">
        <v>3905</v>
      </c>
      <c r="F208" s="307" t="s">
        <v>3906</v>
      </c>
      <c r="G208" s="307" t="s">
        <v>3907</v>
      </c>
    </row>
    <row r="209" spans="1:7" ht="13.5">
      <c r="A209" s="307" t="s">
        <v>4500</v>
      </c>
      <c r="B209" s="307" t="s">
        <v>4501</v>
      </c>
      <c r="C209" s="307" t="s">
        <v>4069</v>
      </c>
      <c r="D209" s="307" t="s">
        <v>4502</v>
      </c>
      <c r="E209" s="307" t="s">
        <v>3905</v>
      </c>
      <c r="F209" s="307" t="s">
        <v>3906</v>
      </c>
      <c r="G209" s="307" t="s">
        <v>3907</v>
      </c>
    </row>
    <row r="210" spans="1:7" ht="13.5">
      <c r="A210" s="307" t="s">
        <v>4503</v>
      </c>
      <c r="B210" s="307" t="s">
        <v>4504</v>
      </c>
      <c r="C210" s="307" t="s">
        <v>4069</v>
      </c>
      <c r="D210" s="307" t="s">
        <v>4505</v>
      </c>
      <c r="E210" s="307" t="s">
        <v>3905</v>
      </c>
      <c r="F210" s="307" t="s">
        <v>3906</v>
      </c>
      <c r="G210" s="307" t="s">
        <v>3907</v>
      </c>
    </row>
    <row r="211" spans="1:7" ht="13.5">
      <c r="A211" s="307" t="s">
        <v>4506</v>
      </c>
      <c r="B211" s="307" t="s">
        <v>4507</v>
      </c>
      <c r="C211" s="307" t="s">
        <v>4069</v>
      </c>
      <c r="D211" s="307" t="s">
        <v>4508</v>
      </c>
      <c r="E211" s="307" t="s">
        <v>3905</v>
      </c>
      <c r="F211" s="307" t="s">
        <v>3906</v>
      </c>
      <c r="G211" s="307" t="s">
        <v>3907</v>
      </c>
    </row>
    <row r="212" spans="1:7" ht="13.5">
      <c r="A212" s="307" t="s">
        <v>4509</v>
      </c>
      <c r="B212" s="307" t="s">
        <v>4510</v>
      </c>
      <c r="C212" s="307" t="s">
        <v>4069</v>
      </c>
      <c r="D212" s="307" t="s">
        <v>4511</v>
      </c>
      <c r="E212" s="307" t="s">
        <v>4021</v>
      </c>
      <c r="F212" s="307" t="s">
        <v>3906</v>
      </c>
      <c r="G212" s="307" t="s">
        <v>3907</v>
      </c>
    </row>
    <row r="213" spans="1:7" ht="13.5">
      <c r="A213" s="307" t="s">
        <v>4512</v>
      </c>
      <c r="B213" s="307" t="s">
        <v>4513</v>
      </c>
      <c r="C213" s="307" t="s">
        <v>4069</v>
      </c>
      <c r="D213" s="307" t="s">
        <v>4514</v>
      </c>
      <c r="E213" s="307" t="s">
        <v>3905</v>
      </c>
      <c r="F213" s="307" t="s">
        <v>3906</v>
      </c>
      <c r="G213" s="307" t="s">
        <v>3907</v>
      </c>
    </row>
    <row r="214" spans="1:7" ht="13.5">
      <c r="A214" s="307" t="s">
        <v>4515</v>
      </c>
      <c r="B214" s="307" t="s">
        <v>4516</v>
      </c>
      <c r="C214" s="307" t="s">
        <v>4069</v>
      </c>
      <c r="D214" s="307" t="s">
        <v>4517</v>
      </c>
      <c r="E214" s="307" t="s">
        <v>3905</v>
      </c>
      <c r="F214" s="307" t="s">
        <v>3906</v>
      </c>
      <c r="G214" s="307" t="s">
        <v>3907</v>
      </c>
    </row>
    <row r="215" spans="1:7" ht="13.5">
      <c r="A215" s="307" t="s">
        <v>4518</v>
      </c>
      <c r="B215" s="307" t="s">
        <v>4519</v>
      </c>
      <c r="C215" s="307" t="s">
        <v>4069</v>
      </c>
      <c r="D215" s="307" t="s">
        <v>4520</v>
      </c>
      <c r="E215" s="307" t="s">
        <v>3905</v>
      </c>
      <c r="F215" s="307" t="s">
        <v>3906</v>
      </c>
      <c r="G215" s="307" t="s">
        <v>3907</v>
      </c>
    </row>
    <row r="216" spans="1:7" ht="13.5">
      <c r="A216" s="307" t="s">
        <v>4521</v>
      </c>
      <c r="B216" s="307" t="s">
        <v>4522</v>
      </c>
      <c r="C216" s="307" t="s">
        <v>4069</v>
      </c>
      <c r="D216" s="307" t="s">
        <v>4523</v>
      </c>
      <c r="E216" s="307" t="s">
        <v>3905</v>
      </c>
      <c r="F216" s="307" t="s">
        <v>3906</v>
      </c>
      <c r="G216" s="307" t="s">
        <v>3907</v>
      </c>
    </row>
    <row r="217" spans="1:7" ht="13.5">
      <c r="A217" s="307" t="s">
        <v>4524</v>
      </c>
      <c r="B217" s="307" t="s">
        <v>4525</v>
      </c>
      <c r="C217" s="307" t="s">
        <v>4069</v>
      </c>
      <c r="D217" s="307" t="s">
        <v>4526</v>
      </c>
      <c r="E217" s="307" t="s">
        <v>3905</v>
      </c>
      <c r="F217" s="307" t="s">
        <v>3906</v>
      </c>
      <c r="G217" s="307" t="s">
        <v>3907</v>
      </c>
    </row>
    <row r="218" spans="1:7" ht="13.5">
      <c r="A218" s="307" t="s">
        <v>4527</v>
      </c>
      <c r="B218" s="307" t="s">
        <v>4528</v>
      </c>
      <c r="C218" s="307" t="s">
        <v>4069</v>
      </c>
      <c r="D218" s="307" t="s">
        <v>4529</v>
      </c>
      <c r="E218" s="307" t="s">
        <v>3905</v>
      </c>
      <c r="F218" s="307" t="s">
        <v>3906</v>
      </c>
      <c r="G218" s="307" t="s">
        <v>3907</v>
      </c>
    </row>
    <row r="219" spans="1:7" ht="13.5">
      <c r="A219" s="307" t="s">
        <v>4530</v>
      </c>
      <c r="B219" s="307" t="s">
        <v>4531</v>
      </c>
      <c r="C219" s="307" t="s">
        <v>4069</v>
      </c>
      <c r="D219" s="307" t="s">
        <v>4532</v>
      </c>
      <c r="E219" s="307" t="s">
        <v>3905</v>
      </c>
      <c r="F219" s="307" t="s">
        <v>3906</v>
      </c>
      <c r="G219" s="307" t="s">
        <v>3907</v>
      </c>
    </row>
    <row r="220" spans="1:7" ht="13.5">
      <c r="A220" s="307" t="s">
        <v>4533</v>
      </c>
      <c r="B220" s="307" t="s">
        <v>4534</v>
      </c>
      <c r="C220" s="307" t="s">
        <v>4069</v>
      </c>
      <c r="D220" s="307" t="s">
        <v>4535</v>
      </c>
      <c r="E220" s="307" t="s">
        <v>3905</v>
      </c>
      <c r="F220" s="307" t="s">
        <v>3906</v>
      </c>
      <c r="G220" s="307" t="s">
        <v>3907</v>
      </c>
    </row>
    <row r="221" spans="1:7" ht="13.5">
      <c r="A221" s="307" t="s">
        <v>4536</v>
      </c>
      <c r="B221" s="307" t="s">
        <v>4537</v>
      </c>
      <c r="C221" s="307" t="s">
        <v>4069</v>
      </c>
      <c r="D221" s="307" t="s">
        <v>4538</v>
      </c>
      <c r="E221" s="307" t="s">
        <v>3905</v>
      </c>
      <c r="F221" s="307" t="s">
        <v>3906</v>
      </c>
      <c r="G221" s="307" t="s">
        <v>3907</v>
      </c>
    </row>
    <row r="222" spans="1:7" ht="13.5">
      <c r="A222" s="307" t="s">
        <v>4539</v>
      </c>
      <c r="B222" s="307" t="s">
        <v>4540</v>
      </c>
      <c r="C222" s="307" t="s">
        <v>4069</v>
      </c>
      <c r="D222" s="307" t="s">
        <v>4541</v>
      </c>
      <c r="E222" s="307" t="s">
        <v>3905</v>
      </c>
      <c r="F222" s="307" t="s">
        <v>3906</v>
      </c>
      <c r="G222" s="307" t="s">
        <v>3907</v>
      </c>
    </row>
    <row r="223" spans="1:7" ht="13.5">
      <c r="A223" s="307" t="s">
        <v>4542</v>
      </c>
      <c r="B223" s="307" t="s">
        <v>4543</v>
      </c>
      <c r="C223" s="307" t="s">
        <v>4069</v>
      </c>
      <c r="D223" s="307" t="s">
        <v>4544</v>
      </c>
      <c r="E223" s="307" t="s">
        <v>3905</v>
      </c>
      <c r="F223" s="307" t="s">
        <v>3906</v>
      </c>
      <c r="G223" s="307" t="s">
        <v>3907</v>
      </c>
    </row>
    <row r="224" spans="1:7" ht="13.5">
      <c r="A224" s="307" t="s">
        <v>4545</v>
      </c>
      <c r="B224" s="307" t="s">
        <v>4546</v>
      </c>
      <c r="C224" s="307" t="s">
        <v>4069</v>
      </c>
      <c r="D224" s="307" t="s">
        <v>4547</v>
      </c>
      <c r="E224" s="307" t="s">
        <v>3905</v>
      </c>
      <c r="F224" s="307" t="s">
        <v>3906</v>
      </c>
      <c r="G224" s="307" t="s">
        <v>3907</v>
      </c>
    </row>
    <row r="225" spans="1:7" ht="13.5">
      <c r="A225" s="307" t="s">
        <v>4548</v>
      </c>
      <c r="B225" s="307" t="s">
        <v>4549</v>
      </c>
      <c r="C225" s="307" t="s">
        <v>4069</v>
      </c>
      <c r="D225" s="307" t="s">
        <v>4550</v>
      </c>
      <c r="E225" s="307" t="s">
        <v>3905</v>
      </c>
      <c r="F225" s="307" t="s">
        <v>3906</v>
      </c>
      <c r="G225" s="307" t="s">
        <v>3907</v>
      </c>
    </row>
    <row r="226" spans="1:7" ht="13.5">
      <c r="A226" s="307" t="s">
        <v>4551</v>
      </c>
      <c r="B226" s="307" t="s">
        <v>4552</v>
      </c>
      <c r="C226" s="307" t="s">
        <v>4069</v>
      </c>
      <c r="D226" s="307" t="s">
        <v>4553</v>
      </c>
      <c r="E226" s="307" t="s">
        <v>3905</v>
      </c>
      <c r="F226" s="307" t="s">
        <v>3906</v>
      </c>
      <c r="G226" s="307" t="s">
        <v>3907</v>
      </c>
    </row>
    <row r="227" spans="1:7" ht="13.5">
      <c r="A227" s="307" t="s">
        <v>4554</v>
      </c>
      <c r="B227" s="307" t="s">
        <v>4555</v>
      </c>
      <c r="C227" s="307" t="s">
        <v>4069</v>
      </c>
      <c r="D227" s="307" t="s">
        <v>4556</v>
      </c>
      <c r="E227" s="307" t="s">
        <v>3905</v>
      </c>
      <c r="F227" s="307" t="s">
        <v>3906</v>
      </c>
      <c r="G227" s="307" t="s">
        <v>3907</v>
      </c>
    </row>
    <row r="228" spans="1:7" ht="13.5">
      <c r="A228" s="307" t="s">
        <v>4557</v>
      </c>
      <c r="B228" s="307" t="s">
        <v>4558</v>
      </c>
      <c r="C228" s="307" t="s">
        <v>4069</v>
      </c>
      <c r="D228" s="307" t="s">
        <v>4559</v>
      </c>
      <c r="E228" s="307" t="s">
        <v>3905</v>
      </c>
      <c r="F228" s="307" t="s">
        <v>3906</v>
      </c>
      <c r="G228" s="307" t="s">
        <v>3907</v>
      </c>
    </row>
    <row r="229" spans="1:7" ht="13.5">
      <c r="A229" s="307" t="s">
        <v>4560</v>
      </c>
      <c r="B229" s="307" t="s">
        <v>4561</v>
      </c>
      <c r="C229" s="307" t="s">
        <v>4069</v>
      </c>
      <c r="D229" s="307" t="s">
        <v>4562</v>
      </c>
      <c r="E229" s="307" t="s">
        <v>3905</v>
      </c>
      <c r="F229" s="307" t="s">
        <v>3906</v>
      </c>
      <c r="G229" s="307" t="s">
        <v>3907</v>
      </c>
    </row>
    <row r="230" spans="1:7" ht="13.5">
      <c r="A230" s="307" t="s">
        <v>4563</v>
      </c>
      <c r="B230" s="307" t="s">
        <v>4564</v>
      </c>
      <c r="C230" s="307" t="s">
        <v>4069</v>
      </c>
      <c r="D230" s="307" t="s">
        <v>4565</v>
      </c>
      <c r="E230" s="307" t="s">
        <v>3905</v>
      </c>
      <c r="F230" s="307" t="s">
        <v>3906</v>
      </c>
      <c r="G230" s="307" t="s">
        <v>3907</v>
      </c>
    </row>
    <row r="231" spans="1:7" ht="13.5">
      <c r="A231" s="307" t="s">
        <v>4566</v>
      </c>
      <c r="B231" s="307" t="s">
        <v>4567</v>
      </c>
      <c r="C231" s="307" t="s">
        <v>4069</v>
      </c>
      <c r="D231" s="307" t="s">
        <v>4568</v>
      </c>
      <c r="E231" s="307" t="s">
        <v>3905</v>
      </c>
      <c r="F231" s="307" t="s">
        <v>3906</v>
      </c>
      <c r="G231" s="307" t="s">
        <v>3907</v>
      </c>
    </row>
    <row r="232" spans="1:7" ht="13.5">
      <c r="A232" s="307" t="s">
        <v>4569</v>
      </c>
      <c r="B232" s="307" t="s">
        <v>4570</v>
      </c>
      <c r="C232" s="307" t="s">
        <v>4069</v>
      </c>
      <c r="D232" s="307" t="s">
        <v>4571</v>
      </c>
      <c r="E232" s="307" t="s">
        <v>3905</v>
      </c>
      <c r="F232" s="307" t="s">
        <v>3906</v>
      </c>
      <c r="G232" s="307" t="s">
        <v>3907</v>
      </c>
    </row>
    <row r="233" spans="1:7" ht="13.5">
      <c r="A233" s="307" t="s">
        <v>4572</v>
      </c>
      <c r="B233" s="307" t="s">
        <v>4573</v>
      </c>
      <c r="C233" s="307" t="s">
        <v>4069</v>
      </c>
      <c r="D233" s="307" t="s">
        <v>4574</v>
      </c>
      <c r="E233" s="307" t="s">
        <v>3905</v>
      </c>
      <c r="F233" s="307" t="s">
        <v>3906</v>
      </c>
      <c r="G233" s="307" t="s">
        <v>3907</v>
      </c>
    </row>
    <row r="234" spans="1:7" ht="13.5">
      <c r="A234" s="307" t="s">
        <v>4575</v>
      </c>
      <c r="B234" s="307" t="s">
        <v>4576</v>
      </c>
      <c r="C234" s="307" t="s">
        <v>4069</v>
      </c>
      <c r="D234" s="307" t="s">
        <v>4577</v>
      </c>
      <c r="E234" s="307" t="s">
        <v>3905</v>
      </c>
      <c r="F234" s="307" t="s">
        <v>3906</v>
      </c>
      <c r="G234" s="307" t="s">
        <v>3907</v>
      </c>
    </row>
    <row r="235" spans="1:7" ht="13.5">
      <c r="A235" s="307" t="s">
        <v>674</v>
      </c>
      <c r="B235" s="307" t="s">
        <v>840</v>
      </c>
      <c r="C235" s="307" t="s">
        <v>4069</v>
      </c>
      <c r="D235" s="307" t="s">
        <v>4578</v>
      </c>
      <c r="E235" s="307" t="s">
        <v>3905</v>
      </c>
      <c r="F235" s="307" t="s">
        <v>3906</v>
      </c>
      <c r="G235" s="307" t="s">
        <v>3907</v>
      </c>
    </row>
    <row r="236" spans="1:7" ht="13.5">
      <c r="A236" s="307" t="s">
        <v>4579</v>
      </c>
      <c r="B236" s="307" t="s">
        <v>4580</v>
      </c>
      <c r="C236" s="307" t="s">
        <v>4069</v>
      </c>
      <c r="D236" s="307" t="s">
        <v>4581</v>
      </c>
      <c r="E236" s="307" t="s">
        <v>3905</v>
      </c>
      <c r="F236" s="307" t="s">
        <v>3906</v>
      </c>
      <c r="G236" s="307" t="s">
        <v>3907</v>
      </c>
    </row>
    <row r="237" spans="1:7" ht="13.5">
      <c r="A237" s="307" t="s">
        <v>4582</v>
      </c>
      <c r="B237" s="307" t="s">
        <v>4583</v>
      </c>
      <c r="C237" s="307" t="s">
        <v>4069</v>
      </c>
      <c r="D237" s="307" t="s">
        <v>4584</v>
      </c>
      <c r="E237" s="307" t="s">
        <v>3905</v>
      </c>
      <c r="F237" s="307" t="s">
        <v>3906</v>
      </c>
      <c r="G237" s="307" t="s">
        <v>3907</v>
      </c>
    </row>
    <row r="238" spans="1:7" ht="13.5">
      <c r="A238" s="307" t="s">
        <v>4585</v>
      </c>
      <c r="B238" s="307" t="s">
        <v>4586</v>
      </c>
      <c r="C238" s="307" t="s">
        <v>4069</v>
      </c>
      <c r="D238" s="307" t="s">
        <v>4587</v>
      </c>
      <c r="E238" s="307" t="s">
        <v>3905</v>
      </c>
      <c r="F238" s="307" t="s">
        <v>3906</v>
      </c>
      <c r="G238" s="307" t="s">
        <v>3907</v>
      </c>
    </row>
    <row r="239" spans="1:7" ht="13.5">
      <c r="A239" s="307" t="s">
        <v>4588</v>
      </c>
      <c r="B239" s="307" t="s">
        <v>4589</v>
      </c>
      <c r="C239" s="307" t="s">
        <v>4069</v>
      </c>
      <c r="D239" s="307" t="s">
        <v>4590</v>
      </c>
      <c r="E239" s="307" t="s">
        <v>3905</v>
      </c>
      <c r="F239" s="307" t="s">
        <v>3906</v>
      </c>
      <c r="G239" s="307" t="s">
        <v>3907</v>
      </c>
    </row>
    <row r="240" spans="1:7" ht="13.5">
      <c r="A240" s="307" t="s">
        <v>4591</v>
      </c>
      <c r="B240" s="307" t="s">
        <v>4592</v>
      </c>
      <c r="C240" s="307" t="s">
        <v>4069</v>
      </c>
      <c r="D240" s="307" t="s">
        <v>4593</v>
      </c>
      <c r="E240" s="307" t="s">
        <v>3905</v>
      </c>
      <c r="F240" s="307" t="s">
        <v>3906</v>
      </c>
      <c r="G240" s="307" t="s">
        <v>3907</v>
      </c>
    </row>
    <row r="241" spans="1:7" ht="13.5">
      <c r="A241" s="307" t="s">
        <v>4594</v>
      </c>
      <c r="B241" s="307" t="s">
        <v>4595</v>
      </c>
      <c r="C241" s="307" t="s">
        <v>4069</v>
      </c>
      <c r="D241" s="307" t="s">
        <v>4596</v>
      </c>
      <c r="E241" s="307" t="s">
        <v>3905</v>
      </c>
      <c r="F241" s="307" t="s">
        <v>3906</v>
      </c>
      <c r="G241" s="307" t="s">
        <v>3907</v>
      </c>
    </row>
    <row r="242" spans="1:7" ht="13.5">
      <c r="A242" s="307" t="s">
        <v>4597</v>
      </c>
      <c r="B242" s="307" t="s">
        <v>4598</v>
      </c>
      <c r="C242" s="307" t="s">
        <v>4069</v>
      </c>
      <c r="D242" s="307" t="s">
        <v>4599</v>
      </c>
      <c r="E242" s="307" t="s">
        <v>3905</v>
      </c>
      <c r="F242" s="307" t="s">
        <v>3906</v>
      </c>
      <c r="G242" s="307" t="s">
        <v>3907</v>
      </c>
    </row>
    <row r="243" spans="1:7" ht="13.5">
      <c r="A243" s="307" t="s">
        <v>595</v>
      </c>
      <c r="B243" s="307" t="s">
        <v>4600</v>
      </c>
      <c r="C243" s="307" t="s">
        <v>4069</v>
      </c>
      <c r="D243" s="307" t="s">
        <v>4601</v>
      </c>
      <c r="E243" s="307" t="s">
        <v>3905</v>
      </c>
      <c r="F243" s="307" t="s">
        <v>3906</v>
      </c>
      <c r="G243" s="307" t="s">
        <v>3907</v>
      </c>
    </row>
    <row r="244" spans="1:7" ht="13.5">
      <c r="A244" s="307" t="s">
        <v>4602</v>
      </c>
      <c r="B244" s="307" t="s">
        <v>4603</v>
      </c>
      <c r="C244" s="307" t="s">
        <v>4069</v>
      </c>
      <c r="D244" s="307" t="s">
        <v>4604</v>
      </c>
      <c r="E244" s="307" t="s">
        <v>3905</v>
      </c>
      <c r="F244" s="307" t="s">
        <v>3906</v>
      </c>
      <c r="G244" s="307" t="s">
        <v>3907</v>
      </c>
    </row>
    <row r="245" spans="1:7" ht="13.5">
      <c r="A245" s="307" t="s">
        <v>4605</v>
      </c>
      <c r="B245" s="307" t="s">
        <v>4606</v>
      </c>
      <c r="C245" s="307" t="s">
        <v>4069</v>
      </c>
      <c r="D245" s="307" t="s">
        <v>4607</v>
      </c>
      <c r="E245" s="307" t="s">
        <v>3905</v>
      </c>
      <c r="F245" s="307" t="s">
        <v>3906</v>
      </c>
      <c r="G245" s="307" t="s">
        <v>3907</v>
      </c>
    </row>
    <row r="246" spans="1:7" ht="13.5">
      <c r="A246" s="307" t="s">
        <v>4608</v>
      </c>
      <c r="B246" s="307" t="s">
        <v>4609</v>
      </c>
      <c r="C246" s="307" t="s">
        <v>4069</v>
      </c>
      <c r="D246" s="307" t="s">
        <v>4610</v>
      </c>
      <c r="E246" s="307" t="s">
        <v>3905</v>
      </c>
      <c r="F246" s="307" t="s">
        <v>3906</v>
      </c>
      <c r="G246" s="307" t="s">
        <v>3907</v>
      </c>
    </row>
    <row r="247" spans="1:7" ht="13.5">
      <c r="A247" s="307" t="s">
        <v>4611</v>
      </c>
      <c r="B247" s="307" t="s">
        <v>4612</v>
      </c>
      <c r="C247" s="307" t="s">
        <v>4069</v>
      </c>
      <c r="D247" s="307" t="s">
        <v>4613</v>
      </c>
      <c r="E247" s="307" t="s">
        <v>3905</v>
      </c>
      <c r="F247" s="307" t="s">
        <v>3906</v>
      </c>
      <c r="G247" s="307" t="s">
        <v>3907</v>
      </c>
    </row>
    <row r="248" spans="1:7" ht="13.5">
      <c r="A248" s="307" t="s">
        <v>4614</v>
      </c>
      <c r="B248" s="307" t="s">
        <v>4615</v>
      </c>
      <c r="C248" s="307" t="s">
        <v>4069</v>
      </c>
      <c r="D248" s="307" t="s">
        <v>4616</v>
      </c>
      <c r="E248" s="307" t="s">
        <v>3905</v>
      </c>
      <c r="F248" s="307" t="s">
        <v>3906</v>
      </c>
      <c r="G248" s="307" t="s">
        <v>3907</v>
      </c>
    </row>
    <row r="249" spans="1:7" ht="13.5">
      <c r="A249" s="307" t="s">
        <v>4617</v>
      </c>
      <c r="B249" s="307" t="s">
        <v>4618</v>
      </c>
      <c r="C249" s="307" t="s">
        <v>4069</v>
      </c>
      <c r="D249" s="307" t="s">
        <v>4619</v>
      </c>
      <c r="E249" s="307" t="s">
        <v>3905</v>
      </c>
      <c r="F249" s="307" t="s">
        <v>3906</v>
      </c>
      <c r="G249" s="307" t="s">
        <v>3907</v>
      </c>
    </row>
    <row r="250" spans="1:7" ht="13.5">
      <c r="A250" s="307" t="s">
        <v>4620</v>
      </c>
      <c r="B250" s="307" t="s">
        <v>4621</v>
      </c>
      <c r="C250" s="307" t="s">
        <v>4069</v>
      </c>
      <c r="D250" s="307" t="s">
        <v>4622</v>
      </c>
      <c r="E250" s="307" t="s">
        <v>3905</v>
      </c>
      <c r="F250" s="307" t="s">
        <v>3906</v>
      </c>
      <c r="G250" s="307" t="s">
        <v>3907</v>
      </c>
    </row>
    <row r="251" spans="1:7" ht="13.5">
      <c r="A251" s="307" t="s">
        <v>4623</v>
      </c>
      <c r="B251" s="307" t="s">
        <v>4624</v>
      </c>
      <c r="C251" s="307" t="s">
        <v>4069</v>
      </c>
      <c r="D251" s="307" t="s">
        <v>4625</v>
      </c>
      <c r="E251" s="307" t="s">
        <v>3905</v>
      </c>
      <c r="F251" s="307" t="s">
        <v>3906</v>
      </c>
      <c r="G251" s="307" t="s">
        <v>3907</v>
      </c>
    </row>
    <row r="252" spans="1:7" ht="13.5">
      <c r="A252" s="307" t="s">
        <v>4626</v>
      </c>
      <c r="B252" s="307" t="s">
        <v>4627</v>
      </c>
      <c r="C252" s="307" t="s">
        <v>4069</v>
      </c>
      <c r="D252" s="307" t="s">
        <v>4628</v>
      </c>
      <c r="E252" s="307" t="s">
        <v>3905</v>
      </c>
      <c r="F252" s="307" t="s">
        <v>3906</v>
      </c>
      <c r="G252" s="307" t="s">
        <v>3907</v>
      </c>
    </row>
    <row r="253" spans="1:7" ht="13.5">
      <c r="A253" s="307" t="s">
        <v>4629</v>
      </c>
      <c r="B253" s="307" t="s">
        <v>4630</v>
      </c>
      <c r="C253" s="307" t="s">
        <v>4069</v>
      </c>
      <c r="D253" s="307" t="s">
        <v>4631</v>
      </c>
      <c r="E253" s="307" t="s">
        <v>3905</v>
      </c>
      <c r="F253" s="307" t="s">
        <v>3906</v>
      </c>
      <c r="G253" s="307" t="s">
        <v>3907</v>
      </c>
    </row>
    <row r="254" spans="1:7" ht="13.5">
      <c r="A254" s="307" t="s">
        <v>4632</v>
      </c>
      <c r="B254" s="307" t="s">
        <v>4633</v>
      </c>
      <c r="C254" s="307" t="s">
        <v>4069</v>
      </c>
      <c r="D254" s="307" t="s">
        <v>4634</v>
      </c>
      <c r="E254" s="307" t="s">
        <v>3905</v>
      </c>
      <c r="F254" s="307" t="s">
        <v>3906</v>
      </c>
      <c r="G254" s="307" t="s">
        <v>3907</v>
      </c>
    </row>
    <row r="255" spans="1:7" ht="13.5">
      <c r="A255" s="307" t="s">
        <v>4635</v>
      </c>
      <c r="B255" s="307" t="s">
        <v>4636</v>
      </c>
      <c r="C255" s="307" t="s">
        <v>4069</v>
      </c>
      <c r="D255" s="307" t="s">
        <v>4637</v>
      </c>
      <c r="E255" s="307" t="s">
        <v>3905</v>
      </c>
      <c r="F255" s="307" t="s">
        <v>3906</v>
      </c>
      <c r="G255" s="307" t="s">
        <v>3907</v>
      </c>
    </row>
    <row r="256" spans="1:7" ht="13.5">
      <c r="A256" s="307" t="s">
        <v>4638</v>
      </c>
      <c r="B256" s="307" t="s">
        <v>4639</v>
      </c>
      <c r="C256" s="307" t="s">
        <v>4069</v>
      </c>
      <c r="D256" s="307" t="s">
        <v>4640</v>
      </c>
      <c r="E256" s="307" t="s">
        <v>3905</v>
      </c>
      <c r="F256" s="307" t="s">
        <v>3906</v>
      </c>
      <c r="G256" s="307" t="s">
        <v>3907</v>
      </c>
    </row>
    <row r="257" spans="1:7" ht="13.5">
      <c r="A257" s="307" t="s">
        <v>4641</v>
      </c>
      <c r="B257" s="307" t="s">
        <v>4642</v>
      </c>
      <c r="C257" s="307" t="s">
        <v>4069</v>
      </c>
      <c r="D257" s="307" t="s">
        <v>4643</v>
      </c>
      <c r="E257" s="307" t="s">
        <v>3905</v>
      </c>
      <c r="F257" s="307" t="s">
        <v>3906</v>
      </c>
      <c r="G257" s="307" t="s">
        <v>3907</v>
      </c>
    </row>
    <row r="258" spans="1:7" ht="13.5">
      <c r="A258" s="307" t="s">
        <v>4644</v>
      </c>
      <c r="B258" s="307" t="s">
        <v>4645</v>
      </c>
      <c r="C258" s="307" t="s">
        <v>4069</v>
      </c>
      <c r="D258" s="307" t="s">
        <v>4646</v>
      </c>
      <c r="E258" s="307" t="s">
        <v>3905</v>
      </c>
      <c r="F258" s="307" t="s">
        <v>3906</v>
      </c>
      <c r="G258" s="307" t="s">
        <v>3907</v>
      </c>
    </row>
    <row r="259" spans="1:7" ht="13.5">
      <c r="A259" s="307" t="s">
        <v>679</v>
      </c>
      <c r="B259" s="307" t="s">
        <v>721</v>
      </c>
      <c r="C259" s="307" t="s">
        <v>4069</v>
      </c>
      <c r="D259" s="307" t="s">
        <v>4647</v>
      </c>
      <c r="E259" s="307" t="s">
        <v>3905</v>
      </c>
      <c r="F259" s="307" t="s">
        <v>3906</v>
      </c>
      <c r="G259" s="307" t="s">
        <v>3907</v>
      </c>
    </row>
    <row r="260" spans="1:7" ht="13.5">
      <c r="A260" s="307" t="s">
        <v>4648</v>
      </c>
      <c r="B260" s="307" t="s">
        <v>4649</v>
      </c>
      <c r="C260" s="307" t="s">
        <v>4069</v>
      </c>
      <c r="D260" s="307" t="s">
        <v>4650</v>
      </c>
      <c r="E260" s="307" t="s">
        <v>3905</v>
      </c>
      <c r="F260" s="307" t="s">
        <v>3906</v>
      </c>
      <c r="G260" s="307" t="s">
        <v>3907</v>
      </c>
    </row>
    <row r="261" spans="1:7" ht="13.5">
      <c r="A261" s="307" t="s">
        <v>4651</v>
      </c>
      <c r="B261" s="307" t="s">
        <v>4652</v>
      </c>
      <c r="C261" s="307" t="s">
        <v>4069</v>
      </c>
      <c r="D261" s="307" t="s">
        <v>4653</v>
      </c>
      <c r="E261" s="307" t="s">
        <v>3905</v>
      </c>
      <c r="F261" s="307" t="s">
        <v>3906</v>
      </c>
      <c r="G261" s="307" t="s">
        <v>3907</v>
      </c>
    </row>
    <row r="262" spans="1:7" ht="13.5">
      <c r="A262" s="307" t="s">
        <v>4654</v>
      </c>
      <c r="B262" s="307" t="s">
        <v>4655</v>
      </c>
      <c r="C262" s="307" t="s">
        <v>4069</v>
      </c>
      <c r="D262" s="307" t="s">
        <v>4656</v>
      </c>
      <c r="E262" s="307" t="s">
        <v>3905</v>
      </c>
      <c r="F262" s="307" t="s">
        <v>3906</v>
      </c>
      <c r="G262" s="307" t="s">
        <v>3907</v>
      </c>
    </row>
    <row r="263" spans="1:7" ht="13.5">
      <c r="A263" s="307" t="s">
        <v>4657</v>
      </c>
      <c r="B263" s="307" t="s">
        <v>4658</v>
      </c>
      <c r="C263" s="307" t="s">
        <v>4069</v>
      </c>
      <c r="D263" s="307" t="s">
        <v>4659</v>
      </c>
      <c r="E263" s="307" t="s">
        <v>3905</v>
      </c>
      <c r="F263" s="307" t="s">
        <v>3906</v>
      </c>
      <c r="G263" s="307" t="s">
        <v>3907</v>
      </c>
    </row>
    <row r="264" spans="1:7" ht="13.5">
      <c r="A264" s="307" t="s">
        <v>4660</v>
      </c>
      <c r="B264" s="307" t="s">
        <v>4661</v>
      </c>
      <c r="C264" s="307" t="s">
        <v>4069</v>
      </c>
      <c r="D264" s="307" t="s">
        <v>4662</v>
      </c>
      <c r="E264" s="307" t="s">
        <v>3905</v>
      </c>
      <c r="F264" s="307" t="s">
        <v>3906</v>
      </c>
      <c r="G264" s="307" t="s">
        <v>3907</v>
      </c>
    </row>
    <row r="265" spans="1:7" ht="13.5">
      <c r="A265" s="307" t="s">
        <v>4663</v>
      </c>
      <c r="B265" s="307" t="s">
        <v>4664</v>
      </c>
      <c r="C265" s="307" t="s">
        <v>4069</v>
      </c>
      <c r="D265" s="307" t="s">
        <v>4665</v>
      </c>
      <c r="E265" s="307" t="s">
        <v>3905</v>
      </c>
      <c r="F265" s="307" t="s">
        <v>3906</v>
      </c>
      <c r="G265" s="307" t="s">
        <v>3907</v>
      </c>
    </row>
    <row r="266" spans="1:7" ht="13.5">
      <c r="A266" s="307" t="s">
        <v>4666</v>
      </c>
      <c r="B266" s="307" t="s">
        <v>4667</v>
      </c>
      <c r="C266" s="307" t="s">
        <v>4069</v>
      </c>
      <c r="D266" s="307" t="s">
        <v>4668</v>
      </c>
      <c r="E266" s="307" t="s">
        <v>3905</v>
      </c>
      <c r="F266" s="307" t="s">
        <v>3906</v>
      </c>
      <c r="G266" s="307" t="s">
        <v>3907</v>
      </c>
    </row>
    <row r="267" spans="1:7" ht="13.5">
      <c r="A267" s="307" t="s">
        <v>4669</v>
      </c>
      <c r="B267" s="307" t="s">
        <v>4670</v>
      </c>
      <c r="C267" s="307" t="s">
        <v>4069</v>
      </c>
      <c r="D267" s="307" t="s">
        <v>4671</v>
      </c>
      <c r="E267" s="307" t="s">
        <v>3905</v>
      </c>
      <c r="F267" s="307" t="s">
        <v>3906</v>
      </c>
      <c r="G267" s="307" t="s">
        <v>3907</v>
      </c>
    </row>
    <row r="268" spans="1:7" ht="13.5">
      <c r="A268" s="307" t="s">
        <v>4672</v>
      </c>
      <c r="B268" s="307" t="s">
        <v>4673</v>
      </c>
      <c r="C268" s="307" t="s">
        <v>4069</v>
      </c>
      <c r="D268" s="307" t="s">
        <v>4674</v>
      </c>
      <c r="E268" s="307" t="s">
        <v>3905</v>
      </c>
      <c r="F268" s="307" t="s">
        <v>3906</v>
      </c>
      <c r="G268" s="307" t="s">
        <v>3907</v>
      </c>
    </row>
    <row r="269" spans="1:7" ht="13.5">
      <c r="A269" s="307" t="s">
        <v>4675</v>
      </c>
      <c r="B269" s="307" t="s">
        <v>4676</v>
      </c>
      <c r="C269" s="307" t="s">
        <v>4069</v>
      </c>
      <c r="D269" s="307" t="s">
        <v>4677</v>
      </c>
      <c r="E269" s="307" t="s">
        <v>3905</v>
      </c>
      <c r="F269" s="307" t="s">
        <v>3906</v>
      </c>
      <c r="G269" s="307" t="s">
        <v>3907</v>
      </c>
    </row>
    <row r="270" spans="1:7" ht="13.5">
      <c r="A270" s="307" t="s">
        <v>4678</v>
      </c>
      <c r="B270" s="307" t="s">
        <v>4679</v>
      </c>
      <c r="C270" s="307" t="s">
        <v>4069</v>
      </c>
      <c r="D270" s="307" t="s">
        <v>4680</v>
      </c>
      <c r="E270" s="307" t="s">
        <v>3905</v>
      </c>
      <c r="F270" s="307" t="s">
        <v>3906</v>
      </c>
      <c r="G270" s="307" t="s">
        <v>3907</v>
      </c>
    </row>
    <row r="271" spans="1:7" ht="13.5">
      <c r="A271" s="307" t="s">
        <v>4681</v>
      </c>
      <c r="B271" s="307" t="s">
        <v>4682</v>
      </c>
      <c r="C271" s="307" t="s">
        <v>4069</v>
      </c>
      <c r="D271" s="307" t="s">
        <v>4683</v>
      </c>
      <c r="E271" s="307" t="s">
        <v>3905</v>
      </c>
      <c r="F271" s="307" t="s">
        <v>3906</v>
      </c>
      <c r="G271" s="307" t="s">
        <v>3907</v>
      </c>
    </row>
    <row r="272" spans="1:7" ht="13.5">
      <c r="A272" s="307" t="s">
        <v>4684</v>
      </c>
      <c r="B272" s="307" t="s">
        <v>4685</v>
      </c>
      <c r="C272" s="307" t="s">
        <v>4069</v>
      </c>
      <c r="D272" s="307" t="s">
        <v>4686</v>
      </c>
      <c r="E272" s="307" t="s">
        <v>3905</v>
      </c>
      <c r="F272" s="307" t="s">
        <v>3906</v>
      </c>
      <c r="G272" s="307" t="s">
        <v>3907</v>
      </c>
    </row>
    <row r="273" spans="1:7" ht="13.5">
      <c r="A273" s="307" t="s">
        <v>4687</v>
      </c>
      <c r="B273" s="307" t="s">
        <v>4688</v>
      </c>
      <c r="C273" s="307" t="s">
        <v>4069</v>
      </c>
      <c r="D273" s="307" t="s">
        <v>4689</v>
      </c>
      <c r="E273" s="307" t="s">
        <v>3905</v>
      </c>
      <c r="F273" s="307" t="s">
        <v>3906</v>
      </c>
      <c r="G273" s="307" t="s">
        <v>3907</v>
      </c>
    </row>
    <row r="274" spans="1:7" ht="13.5">
      <c r="A274" s="307" t="s">
        <v>4690</v>
      </c>
      <c r="B274" s="307" t="s">
        <v>4691</v>
      </c>
      <c r="C274" s="307" t="s">
        <v>4069</v>
      </c>
      <c r="D274" s="307" t="s">
        <v>4692</v>
      </c>
      <c r="E274" s="307" t="s">
        <v>4021</v>
      </c>
      <c r="F274" s="307" t="s">
        <v>3906</v>
      </c>
      <c r="G274" s="307" t="s">
        <v>3907</v>
      </c>
    </row>
    <row r="275" spans="1:7" ht="13.5">
      <c r="A275" s="307" t="s">
        <v>4693</v>
      </c>
      <c r="B275" s="307" t="s">
        <v>4694</v>
      </c>
      <c r="C275" s="307" t="s">
        <v>4069</v>
      </c>
      <c r="D275" s="307" t="s">
        <v>4695</v>
      </c>
      <c r="E275" s="307" t="s">
        <v>3905</v>
      </c>
      <c r="F275" s="307" t="s">
        <v>3906</v>
      </c>
      <c r="G275" s="307" t="s">
        <v>3907</v>
      </c>
    </row>
    <row r="276" spans="1:7" ht="13.5">
      <c r="A276" s="307" t="s">
        <v>4696</v>
      </c>
      <c r="B276" s="307" t="s">
        <v>4697</v>
      </c>
      <c r="C276" s="307" t="s">
        <v>4069</v>
      </c>
      <c r="D276" s="307" t="s">
        <v>4698</v>
      </c>
      <c r="E276" s="307" t="s">
        <v>3905</v>
      </c>
      <c r="F276" s="307" t="s">
        <v>3906</v>
      </c>
      <c r="G276" s="307" t="s">
        <v>3907</v>
      </c>
    </row>
    <row r="277" spans="1:7" ht="13.5">
      <c r="A277" s="307" t="s">
        <v>4699</v>
      </c>
      <c r="B277" s="307" t="s">
        <v>4700</v>
      </c>
      <c r="C277" s="307" t="s">
        <v>4069</v>
      </c>
      <c r="D277" s="307" t="s">
        <v>4701</v>
      </c>
      <c r="E277" s="307" t="s">
        <v>3905</v>
      </c>
      <c r="F277" s="307" t="s">
        <v>3906</v>
      </c>
      <c r="G277" s="307" t="s">
        <v>3907</v>
      </c>
    </row>
    <row r="278" spans="1:7" ht="13.5">
      <c r="A278" s="307" t="s">
        <v>4702</v>
      </c>
      <c r="B278" s="307" t="s">
        <v>4703</v>
      </c>
      <c r="C278" s="307" t="s">
        <v>4069</v>
      </c>
      <c r="D278" s="307" t="s">
        <v>4704</v>
      </c>
      <c r="E278" s="307" t="s">
        <v>3905</v>
      </c>
      <c r="F278" s="307" t="s">
        <v>3906</v>
      </c>
      <c r="G278" s="307" t="s">
        <v>3907</v>
      </c>
    </row>
    <row r="279" spans="1:7" ht="13.5">
      <c r="A279" s="307" t="s">
        <v>4705</v>
      </c>
      <c r="B279" s="307" t="s">
        <v>4706</v>
      </c>
      <c r="C279" s="307" t="s">
        <v>4069</v>
      </c>
      <c r="D279" s="307" t="s">
        <v>4707</v>
      </c>
      <c r="E279" s="307" t="s">
        <v>3905</v>
      </c>
      <c r="F279" s="307" t="s">
        <v>3906</v>
      </c>
      <c r="G279" s="307" t="s">
        <v>3907</v>
      </c>
    </row>
    <row r="280" spans="1:7" ht="13.5">
      <c r="A280" s="307" t="s">
        <v>4708</v>
      </c>
      <c r="B280" s="307" t="s">
        <v>4709</v>
      </c>
      <c r="C280" s="307" t="s">
        <v>4069</v>
      </c>
      <c r="D280" s="307" t="s">
        <v>4710</v>
      </c>
      <c r="E280" s="307" t="s">
        <v>3905</v>
      </c>
      <c r="F280" s="307" t="s">
        <v>3906</v>
      </c>
      <c r="G280" s="307" t="s">
        <v>3907</v>
      </c>
    </row>
    <row r="281" spans="1:7" ht="13.5">
      <c r="A281" s="307" t="s">
        <v>4711</v>
      </c>
      <c r="B281" s="307" t="s">
        <v>4712</v>
      </c>
      <c r="C281" s="307" t="s">
        <v>4069</v>
      </c>
      <c r="D281" s="307" t="s">
        <v>4713</v>
      </c>
      <c r="E281" s="307" t="s">
        <v>3905</v>
      </c>
      <c r="F281" s="307" t="s">
        <v>3906</v>
      </c>
      <c r="G281" s="307" t="s">
        <v>3907</v>
      </c>
    </row>
    <row r="282" spans="1:7" ht="13.5">
      <c r="A282" s="307" t="s">
        <v>564</v>
      </c>
      <c r="B282" s="307" t="s">
        <v>4714</v>
      </c>
      <c r="C282" s="307" t="s">
        <v>4069</v>
      </c>
      <c r="D282" s="307" t="s">
        <v>4715</v>
      </c>
      <c r="E282" s="307" t="s">
        <v>3905</v>
      </c>
      <c r="F282" s="307" t="s">
        <v>3906</v>
      </c>
      <c r="G282" s="307" t="s">
        <v>3907</v>
      </c>
    </row>
    <row r="283" spans="1:7" ht="13.5">
      <c r="A283" s="307" t="s">
        <v>4716</v>
      </c>
      <c r="B283" s="307" t="s">
        <v>4717</v>
      </c>
      <c r="C283" s="307" t="s">
        <v>4069</v>
      </c>
      <c r="D283" s="307" t="s">
        <v>4718</v>
      </c>
      <c r="E283" s="307" t="s">
        <v>3905</v>
      </c>
      <c r="F283" s="307" t="s">
        <v>3906</v>
      </c>
      <c r="G283" s="307" t="s">
        <v>3907</v>
      </c>
    </row>
    <row r="284" spans="1:7" ht="13.5">
      <c r="A284" s="307" t="s">
        <v>4719</v>
      </c>
      <c r="B284" s="307" t="s">
        <v>4720</v>
      </c>
      <c r="C284" s="307" t="s">
        <v>4069</v>
      </c>
      <c r="D284" s="307" t="s">
        <v>4721</v>
      </c>
      <c r="E284" s="307" t="s">
        <v>3905</v>
      </c>
      <c r="F284" s="307" t="s">
        <v>3906</v>
      </c>
      <c r="G284" s="307" t="s">
        <v>3907</v>
      </c>
    </row>
    <row r="285" spans="1:7" ht="13.5">
      <c r="A285" s="307" t="s">
        <v>4722</v>
      </c>
      <c r="B285" s="307" t="s">
        <v>4723</v>
      </c>
      <c r="C285" s="307" t="s">
        <v>4069</v>
      </c>
      <c r="D285" s="307" t="s">
        <v>4724</v>
      </c>
      <c r="E285" s="307" t="s">
        <v>3905</v>
      </c>
      <c r="F285" s="307" t="s">
        <v>3906</v>
      </c>
      <c r="G285" s="307" t="s">
        <v>3907</v>
      </c>
    </row>
    <row r="286" spans="1:7" ht="13.5">
      <c r="A286" s="307" t="s">
        <v>4725</v>
      </c>
      <c r="B286" s="307" t="s">
        <v>4726</v>
      </c>
      <c r="C286" s="307" t="s">
        <v>4069</v>
      </c>
      <c r="D286" s="307" t="s">
        <v>4727</v>
      </c>
      <c r="E286" s="307" t="s">
        <v>3905</v>
      </c>
      <c r="F286" s="307" t="s">
        <v>3906</v>
      </c>
      <c r="G286" s="307" t="s">
        <v>3907</v>
      </c>
    </row>
    <row r="287" spans="1:7" ht="13.5">
      <c r="A287" s="307" t="s">
        <v>4728</v>
      </c>
      <c r="B287" s="307" t="s">
        <v>4729</v>
      </c>
      <c r="C287" s="307" t="s">
        <v>4069</v>
      </c>
      <c r="D287" s="307" t="s">
        <v>4730</v>
      </c>
      <c r="E287" s="307" t="s">
        <v>3905</v>
      </c>
      <c r="F287" s="307" t="s">
        <v>3906</v>
      </c>
      <c r="G287" s="307" t="s">
        <v>3907</v>
      </c>
    </row>
    <row r="288" spans="1:7" ht="13.5">
      <c r="A288" s="307" t="s">
        <v>4731</v>
      </c>
      <c r="B288" s="307" t="s">
        <v>4732</v>
      </c>
      <c r="C288" s="307" t="s">
        <v>4069</v>
      </c>
      <c r="D288" s="307" t="s">
        <v>4733</v>
      </c>
      <c r="E288" s="307" t="s">
        <v>3905</v>
      </c>
      <c r="F288" s="307" t="s">
        <v>3906</v>
      </c>
      <c r="G288" s="307" t="s">
        <v>3907</v>
      </c>
    </row>
    <row r="289" spans="1:7" ht="13.5">
      <c r="A289" s="307" t="s">
        <v>4734</v>
      </c>
      <c r="B289" s="307" t="s">
        <v>4735</v>
      </c>
      <c r="C289" s="307" t="s">
        <v>4069</v>
      </c>
      <c r="D289" s="307" t="s">
        <v>4736</v>
      </c>
      <c r="E289" s="307" t="s">
        <v>3905</v>
      </c>
      <c r="F289" s="307" t="s">
        <v>3906</v>
      </c>
      <c r="G289" s="307" t="s">
        <v>3907</v>
      </c>
    </row>
    <row r="290" spans="1:7" ht="13.5">
      <c r="A290" s="307" t="s">
        <v>4737</v>
      </c>
      <c r="B290" s="307" t="s">
        <v>4738</v>
      </c>
      <c r="C290" s="307" t="s">
        <v>4069</v>
      </c>
      <c r="D290" s="307" t="s">
        <v>4739</v>
      </c>
      <c r="E290" s="307" t="s">
        <v>3905</v>
      </c>
      <c r="F290" s="307" t="s">
        <v>3906</v>
      </c>
      <c r="G290" s="307" t="s">
        <v>3907</v>
      </c>
    </row>
    <row r="291" spans="1:7" ht="13.5">
      <c r="A291" s="307" t="s">
        <v>559</v>
      </c>
      <c r="B291" s="307" t="s">
        <v>831</v>
      </c>
      <c r="C291" s="307" t="s">
        <v>4069</v>
      </c>
      <c r="D291" s="307" t="s">
        <v>4740</v>
      </c>
      <c r="E291" s="307" t="s">
        <v>3905</v>
      </c>
      <c r="F291" s="307" t="s">
        <v>3906</v>
      </c>
      <c r="G291" s="307" t="s">
        <v>3907</v>
      </c>
    </row>
    <row r="292" spans="1:7" ht="13.5">
      <c r="A292" s="307" t="s">
        <v>4741</v>
      </c>
      <c r="B292" s="307" t="s">
        <v>4742</v>
      </c>
      <c r="C292" s="307" t="s">
        <v>4069</v>
      </c>
      <c r="D292" s="307" t="s">
        <v>4743</v>
      </c>
      <c r="E292" s="307" t="s">
        <v>3905</v>
      </c>
      <c r="F292" s="307" t="s">
        <v>3906</v>
      </c>
      <c r="G292" s="307" t="s">
        <v>3907</v>
      </c>
    </row>
    <row r="293" spans="1:7" ht="13.5">
      <c r="A293" s="307" t="s">
        <v>4744</v>
      </c>
      <c r="B293" s="307" t="s">
        <v>4745</v>
      </c>
      <c r="C293" s="307" t="s">
        <v>4069</v>
      </c>
      <c r="D293" s="307" t="s">
        <v>4746</v>
      </c>
      <c r="E293" s="307" t="s">
        <v>3905</v>
      </c>
      <c r="F293" s="307" t="s">
        <v>3906</v>
      </c>
      <c r="G293" s="307" t="s">
        <v>3907</v>
      </c>
    </row>
    <row r="294" spans="1:7" ht="13.5">
      <c r="A294" s="307" t="s">
        <v>4747</v>
      </c>
      <c r="B294" s="307" t="s">
        <v>4748</v>
      </c>
      <c r="C294" s="307" t="s">
        <v>4069</v>
      </c>
      <c r="D294" s="307" t="s">
        <v>4749</v>
      </c>
      <c r="E294" s="307" t="s">
        <v>3905</v>
      </c>
      <c r="F294" s="307" t="s">
        <v>3906</v>
      </c>
      <c r="G294" s="307" t="s">
        <v>3907</v>
      </c>
    </row>
    <row r="295" spans="1:7" ht="13.5">
      <c r="A295" s="307" t="s">
        <v>4750</v>
      </c>
      <c r="B295" s="307" t="s">
        <v>4751</v>
      </c>
      <c r="C295" s="307" t="s">
        <v>4069</v>
      </c>
      <c r="D295" s="307" t="s">
        <v>4752</v>
      </c>
      <c r="E295" s="307" t="s">
        <v>3905</v>
      </c>
      <c r="F295" s="307" t="s">
        <v>3906</v>
      </c>
      <c r="G295" s="307" t="s">
        <v>3907</v>
      </c>
    </row>
    <row r="296" spans="1:7" ht="13.5">
      <c r="A296" s="307" t="s">
        <v>4753</v>
      </c>
      <c r="B296" s="307" t="s">
        <v>4754</v>
      </c>
      <c r="C296" s="307" t="s">
        <v>4069</v>
      </c>
      <c r="D296" s="307" t="s">
        <v>4755</v>
      </c>
      <c r="E296" s="307" t="s">
        <v>3905</v>
      </c>
      <c r="F296" s="307" t="s">
        <v>3906</v>
      </c>
      <c r="G296" s="307" t="s">
        <v>3907</v>
      </c>
    </row>
    <row r="297" spans="1:7" ht="13.5">
      <c r="A297" s="307" t="s">
        <v>4756</v>
      </c>
      <c r="B297" s="307" t="s">
        <v>4757</v>
      </c>
      <c r="C297" s="307" t="s">
        <v>4069</v>
      </c>
      <c r="D297" s="307" t="s">
        <v>4758</v>
      </c>
      <c r="E297" s="307" t="s">
        <v>3905</v>
      </c>
      <c r="F297" s="307" t="s">
        <v>3906</v>
      </c>
      <c r="G297" s="307" t="s">
        <v>3907</v>
      </c>
    </row>
    <row r="298" spans="1:7" ht="13.5">
      <c r="A298" s="307" t="s">
        <v>4759</v>
      </c>
      <c r="B298" s="307" t="s">
        <v>4760</v>
      </c>
      <c r="C298" s="307" t="s">
        <v>4069</v>
      </c>
      <c r="D298" s="307" t="s">
        <v>4761</v>
      </c>
      <c r="E298" s="307" t="s">
        <v>3905</v>
      </c>
      <c r="F298" s="307" t="s">
        <v>3906</v>
      </c>
      <c r="G298" s="307" t="s">
        <v>3907</v>
      </c>
    </row>
    <row r="299" spans="1:7" ht="13.5">
      <c r="A299" s="307" t="s">
        <v>4762</v>
      </c>
      <c r="B299" s="307" t="s">
        <v>4763</v>
      </c>
      <c r="C299" s="307" t="s">
        <v>4069</v>
      </c>
      <c r="D299" s="307" t="s">
        <v>4764</v>
      </c>
      <c r="E299" s="307" t="s">
        <v>3905</v>
      </c>
      <c r="F299" s="307" t="s">
        <v>3906</v>
      </c>
      <c r="G299" s="307" t="s">
        <v>3907</v>
      </c>
    </row>
    <row r="300" spans="1:7" ht="13.5">
      <c r="A300" s="307" t="s">
        <v>4765</v>
      </c>
      <c r="B300" s="307" t="s">
        <v>4766</v>
      </c>
      <c r="C300" s="307" t="s">
        <v>4069</v>
      </c>
      <c r="D300" s="307" t="s">
        <v>4767</v>
      </c>
      <c r="E300" s="307" t="s">
        <v>3905</v>
      </c>
      <c r="F300" s="307" t="s">
        <v>3906</v>
      </c>
      <c r="G300" s="307" t="s">
        <v>3907</v>
      </c>
    </row>
    <row r="301" spans="1:7" ht="13.5">
      <c r="A301" s="307" t="s">
        <v>4768</v>
      </c>
      <c r="B301" s="307" t="s">
        <v>4769</v>
      </c>
      <c r="C301" s="307" t="s">
        <v>4069</v>
      </c>
      <c r="D301" s="307" t="s">
        <v>4770</v>
      </c>
      <c r="E301" s="307" t="s">
        <v>3905</v>
      </c>
      <c r="F301" s="307" t="s">
        <v>3906</v>
      </c>
      <c r="G301" s="307" t="s">
        <v>3907</v>
      </c>
    </row>
    <row r="302" spans="1:7" ht="13.5">
      <c r="A302" s="307" t="s">
        <v>4771</v>
      </c>
      <c r="B302" s="307" t="s">
        <v>4772</v>
      </c>
      <c r="C302" s="307" t="s">
        <v>4069</v>
      </c>
      <c r="D302" s="307" t="s">
        <v>4773</v>
      </c>
      <c r="E302" s="307" t="s">
        <v>3905</v>
      </c>
      <c r="F302" s="307" t="s">
        <v>3906</v>
      </c>
      <c r="G302" s="307" t="s">
        <v>3907</v>
      </c>
    </row>
    <row r="303" spans="1:7" ht="13.5">
      <c r="A303" s="307" t="s">
        <v>4774</v>
      </c>
      <c r="B303" s="307" t="s">
        <v>4775</v>
      </c>
      <c r="C303" s="307" t="s">
        <v>4069</v>
      </c>
      <c r="D303" s="307" t="s">
        <v>4776</v>
      </c>
      <c r="E303" s="307" t="s">
        <v>3905</v>
      </c>
      <c r="F303" s="307" t="s">
        <v>3906</v>
      </c>
      <c r="G303" s="307" t="s">
        <v>3907</v>
      </c>
    </row>
    <row r="304" spans="1:7" ht="13.5">
      <c r="A304" s="307" t="s">
        <v>4777</v>
      </c>
      <c r="B304" s="307" t="s">
        <v>4778</v>
      </c>
      <c r="C304" s="307" t="s">
        <v>4069</v>
      </c>
      <c r="D304" s="307" t="s">
        <v>4779</v>
      </c>
      <c r="E304" s="307" t="s">
        <v>3905</v>
      </c>
      <c r="F304" s="307" t="s">
        <v>3906</v>
      </c>
      <c r="G304" s="307" t="s">
        <v>3907</v>
      </c>
    </row>
    <row r="305" spans="1:7" ht="13.5">
      <c r="A305" s="307" t="s">
        <v>4780</v>
      </c>
      <c r="B305" s="307" t="s">
        <v>4781</v>
      </c>
      <c r="C305" s="307" t="s">
        <v>4069</v>
      </c>
      <c r="D305" s="307" t="s">
        <v>4782</v>
      </c>
      <c r="E305" s="307" t="s">
        <v>3905</v>
      </c>
      <c r="F305" s="307" t="s">
        <v>3906</v>
      </c>
      <c r="G305" s="307" t="s">
        <v>3907</v>
      </c>
    </row>
    <row r="306" spans="1:7" ht="13.5">
      <c r="A306" s="307" t="s">
        <v>4783</v>
      </c>
      <c r="B306" s="307" t="s">
        <v>4784</v>
      </c>
      <c r="C306" s="307" t="s">
        <v>4069</v>
      </c>
      <c r="D306" s="307" t="s">
        <v>4785</v>
      </c>
      <c r="E306" s="307" t="s">
        <v>3905</v>
      </c>
      <c r="F306" s="307" t="s">
        <v>3906</v>
      </c>
      <c r="G306" s="307" t="s">
        <v>3907</v>
      </c>
    </row>
    <row r="307" spans="1:7" ht="13.5">
      <c r="A307" s="307" t="s">
        <v>4786</v>
      </c>
      <c r="B307" s="307" t="s">
        <v>4787</v>
      </c>
      <c r="C307" s="307" t="s">
        <v>4069</v>
      </c>
      <c r="D307" s="307" t="s">
        <v>4788</v>
      </c>
      <c r="E307" s="307" t="s">
        <v>3905</v>
      </c>
      <c r="F307" s="307" t="s">
        <v>3906</v>
      </c>
      <c r="G307" s="307" t="s">
        <v>3907</v>
      </c>
    </row>
    <row r="308" spans="1:7" ht="13.5">
      <c r="A308" s="307" t="s">
        <v>579</v>
      </c>
      <c r="B308" s="307" t="s">
        <v>4789</v>
      </c>
      <c r="C308" s="307" t="s">
        <v>4069</v>
      </c>
      <c r="D308" s="307" t="s">
        <v>4790</v>
      </c>
      <c r="E308" s="307" t="s">
        <v>3905</v>
      </c>
      <c r="F308" s="307" t="s">
        <v>3906</v>
      </c>
      <c r="G308" s="307" t="s">
        <v>3907</v>
      </c>
    </row>
    <row r="309" spans="1:7" ht="13.5">
      <c r="A309" s="307" t="s">
        <v>4791</v>
      </c>
      <c r="B309" s="307" t="s">
        <v>4792</v>
      </c>
      <c r="C309" s="307" t="s">
        <v>4069</v>
      </c>
      <c r="D309" s="307" t="s">
        <v>4793</v>
      </c>
      <c r="E309" s="307" t="s">
        <v>3905</v>
      </c>
      <c r="F309" s="307" t="s">
        <v>3906</v>
      </c>
      <c r="G309" s="307" t="s">
        <v>3907</v>
      </c>
    </row>
    <row r="310" spans="1:7" ht="13.5">
      <c r="A310" s="307" t="s">
        <v>4794</v>
      </c>
      <c r="B310" s="307" t="s">
        <v>4795</v>
      </c>
      <c r="C310" s="307" t="s">
        <v>4069</v>
      </c>
      <c r="D310" s="307" t="s">
        <v>4796</v>
      </c>
      <c r="E310" s="307" t="s">
        <v>3905</v>
      </c>
      <c r="F310" s="307" t="s">
        <v>3906</v>
      </c>
      <c r="G310" s="307" t="s">
        <v>3907</v>
      </c>
    </row>
    <row r="311" spans="1:7" ht="13.5">
      <c r="A311" s="307" t="s">
        <v>4797</v>
      </c>
      <c r="B311" s="307" t="s">
        <v>4798</v>
      </c>
      <c r="C311" s="307" t="s">
        <v>4069</v>
      </c>
      <c r="D311" s="307" t="s">
        <v>4799</v>
      </c>
      <c r="E311" s="307" t="s">
        <v>3905</v>
      </c>
      <c r="F311" s="307" t="s">
        <v>3906</v>
      </c>
      <c r="G311" s="307" t="s">
        <v>3907</v>
      </c>
    </row>
    <row r="312" spans="1:7" ht="13.5">
      <c r="A312" s="307" t="s">
        <v>4800</v>
      </c>
      <c r="B312" s="307" t="s">
        <v>4801</v>
      </c>
      <c r="C312" s="307" t="s">
        <v>4069</v>
      </c>
      <c r="D312" s="307" t="s">
        <v>4802</v>
      </c>
      <c r="E312" s="307" t="s">
        <v>3905</v>
      </c>
      <c r="F312" s="307" t="s">
        <v>3906</v>
      </c>
      <c r="G312" s="307" t="s">
        <v>3907</v>
      </c>
    </row>
    <row r="313" spans="1:7" ht="13.5">
      <c r="A313" s="307" t="s">
        <v>4803</v>
      </c>
      <c r="B313" s="307" t="s">
        <v>4804</v>
      </c>
      <c r="C313" s="307" t="s">
        <v>4069</v>
      </c>
      <c r="D313" s="307" t="s">
        <v>4805</v>
      </c>
      <c r="E313" s="307" t="s">
        <v>3905</v>
      </c>
      <c r="F313" s="307" t="s">
        <v>3906</v>
      </c>
      <c r="G313" s="307" t="s">
        <v>3907</v>
      </c>
    </row>
    <row r="314" spans="1:7" ht="13.5">
      <c r="A314" s="307" t="s">
        <v>4806</v>
      </c>
      <c r="B314" s="307" t="s">
        <v>4807</v>
      </c>
      <c r="C314" s="307" t="s">
        <v>4069</v>
      </c>
      <c r="D314" s="307" t="s">
        <v>4808</v>
      </c>
      <c r="E314" s="307" t="s">
        <v>3905</v>
      </c>
      <c r="F314" s="307" t="s">
        <v>3906</v>
      </c>
      <c r="G314" s="307" t="s">
        <v>3907</v>
      </c>
    </row>
    <row r="315" spans="1:7" ht="13.5">
      <c r="A315" s="307" t="s">
        <v>4809</v>
      </c>
      <c r="B315" s="307" t="s">
        <v>4810</v>
      </c>
      <c r="C315" s="307" t="s">
        <v>4069</v>
      </c>
      <c r="D315" s="307" t="s">
        <v>4811</v>
      </c>
      <c r="E315" s="307" t="s">
        <v>3905</v>
      </c>
      <c r="F315" s="307" t="s">
        <v>3906</v>
      </c>
      <c r="G315" s="307" t="s">
        <v>3907</v>
      </c>
    </row>
    <row r="316" spans="1:7" ht="13.5">
      <c r="A316" s="307" t="s">
        <v>4812</v>
      </c>
      <c r="B316" s="307" t="s">
        <v>4813</v>
      </c>
      <c r="C316" s="307" t="s">
        <v>4069</v>
      </c>
      <c r="D316" s="307" t="s">
        <v>4814</v>
      </c>
      <c r="E316" s="307" t="s">
        <v>3905</v>
      </c>
      <c r="F316" s="307" t="s">
        <v>3906</v>
      </c>
      <c r="G316" s="307" t="s">
        <v>3907</v>
      </c>
    </row>
    <row r="317" spans="1:7" ht="13.5">
      <c r="A317" s="307" t="s">
        <v>599</v>
      </c>
      <c r="B317" s="307" t="s">
        <v>814</v>
      </c>
      <c r="C317" s="307" t="s">
        <v>4069</v>
      </c>
      <c r="D317" s="307" t="s">
        <v>4815</v>
      </c>
      <c r="E317" s="307" t="s">
        <v>3905</v>
      </c>
      <c r="F317" s="307" t="s">
        <v>3906</v>
      </c>
      <c r="G317" s="307" t="s">
        <v>3907</v>
      </c>
    </row>
    <row r="318" spans="1:7" ht="13.5">
      <c r="A318" s="307" t="s">
        <v>604</v>
      </c>
      <c r="B318" s="307" t="s">
        <v>4816</v>
      </c>
      <c r="C318" s="307" t="s">
        <v>4069</v>
      </c>
      <c r="D318" s="307" t="s">
        <v>4817</v>
      </c>
      <c r="E318" s="307" t="s">
        <v>3905</v>
      </c>
      <c r="F318" s="307" t="s">
        <v>3906</v>
      </c>
      <c r="G318" s="307" t="s">
        <v>3907</v>
      </c>
    </row>
    <row r="319" spans="1:7" ht="13.5">
      <c r="A319" s="307" t="s">
        <v>4818</v>
      </c>
      <c r="B319" s="307" t="s">
        <v>677</v>
      </c>
      <c r="C319" s="307" t="s">
        <v>4069</v>
      </c>
      <c r="D319" s="307" t="s">
        <v>4819</v>
      </c>
      <c r="E319" s="307" t="s">
        <v>3905</v>
      </c>
      <c r="F319" s="307" t="s">
        <v>3906</v>
      </c>
      <c r="G319" s="307" t="s">
        <v>3907</v>
      </c>
    </row>
    <row r="320" spans="1:7" ht="13.5">
      <c r="A320" s="307" t="s">
        <v>4820</v>
      </c>
      <c r="B320" s="307" t="s">
        <v>4821</v>
      </c>
      <c r="C320" s="307" t="s">
        <v>4069</v>
      </c>
      <c r="D320" s="307" t="s">
        <v>4822</v>
      </c>
      <c r="E320" s="307" t="s">
        <v>3905</v>
      </c>
      <c r="F320" s="307" t="s">
        <v>3906</v>
      </c>
      <c r="G320" s="307" t="s">
        <v>3907</v>
      </c>
    </row>
    <row r="321" spans="1:7" ht="13.5">
      <c r="A321" s="307" t="s">
        <v>4823</v>
      </c>
      <c r="B321" s="307" t="s">
        <v>4824</v>
      </c>
      <c r="C321" s="307" t="s">
        <v>4069</v>
      </c>
      <c r="D321" s="307" t="s">
        <v>4825</v>
      </c>
      <c r="E321" s="307" t="s">
        <v>3905</v>
      </c>
      <c r="F321" s="307" t="s">
        <v>3906</v>
      </c>
      <c r="G321" s="307" t="s">
        <v>3907</v>
      </c>
    </row>
    <row r="322" spans="1:7" ht="13.5">
      <c r="A322" s="307" t="s">
        <v>4826</v>
      </c>
      <c r="B322" s="307" t="s">
        <v>4827</v>
      </c>
      <c r="C322" s="307" t="s">
        <v>4069</v>
      </c>
      <c r="D322" s="307" t="s">
        <v>4828</v>
      </c>
      <c r="E322" s="307" t="s">
        <v>3905</v>
      </c>
      <c r="F322" s="307" t="s">
        <v>3906</v>
      </c>
      <c r="G322" s="307" t="s">
        <v>3907</v>
      </c>
    </row>
    <row r="323" spans="1:7" ht="13.5">
      <c r="A323" s="307" t="s">
        <v>4829</v>
      </c>
      <c r="B323" s="307" t="s">
        <v>4830</v>
      </c>
      <c r="C323" s="307" t="s">
        <v>4069</v>
      </c>
      <c r="D323" s="307" t="s">
        <v>4831</v>
      </c>
      <c r="E323" s="307" t="s">
        <v>3905</v>
      </c>
      <c r="F323" s="307" t="s">
        <v>3906</v>
      </c>
      <c r="G323" s="307" t="s">
        <v>3907</v>
      </c>
    </row>
    <row r="324" spans="1:7" ht="13.5">
      <c r="A324" s="307" t="s">
        <v>4832</v>
      </c>
      <c r="B324" s="307" t="s">
        <v>4833</v>
      </c>
      <c r="C324" s="307" t="s">
        <v>4069</v>
      </c>
      <c r="D324" s="307" t="s">
        <v>4834</v>
      </c>
      <c r="E324" s="307" t="s">
        <v>3905</v>
      </c>
      <c r="F324" s="307" t="s">
        <v>3906</v>
      </c>
      <c r="G324" s="307" t="s">
        <v>3907</v>
      </c>
    </row>
    <row r="325" spans="1:7" ht="13.5">
      <c r="A325" s="307" t="s">
        <v>4835</v>
      </c>
      <c r="B325" s="307" t="s">
        <v>4836</v>
      </c>
      <c r="C325" s="307" t="s">
        <v>4069</v>
      </c>
      <c r="D325" s="307" t="s">
        <v>4837</v>
      </c>
      <c r="E325" s="307" t="s">
        <v>3905</v>
      </c>
      <c r="F325" s="307" t="s">
        <v>3906</v>
      </c>
      <c r="G325" s="307" t="s">
        <v>3907</v>
      </c>
    </row>
    <row r="326" spans="1:7" ht="13.5">
      <c r="A326" s="307" t="s">
        <v>4838</v>
      </c>
      <c r="B326" s="307" t="s">
        <v>4839</v>
      </c>
      <c r="C326" s="307" t="s">
        <v>4069</v>
      </c>
      <c r="D326" s="307" t="s">
        <v>4840</v>
      </c>
      <c r="E326" s="307" t="s">
        <v>3905</v>
      </c>
      <c r="F326" s="307" t="s">
        <v>3906</v>
      </c>
      <c r="G326" s="307" t="s">
        <v>3907</v>
      </c>
    </row>
    <row r="327" spans="1:7" ht="13.5">
      <c r="A327" s="307" t="s">
        <v>4841</v>
      </c>
      <c r="B327" s="307" t="s">
        <v>4842</v>
      </c>
      <c r="C327" s="307" t="s">
        <v>4069</v>
      </c>
      <c r="D327" s="307" t="s">
        <v>4843</v>
      </c>
      <c r="E327" s="307" t="s">
        <v>3905</v>
      </c>
      <c r="F327" s="307" t="s">
        <v>3906</v>
      </c>
      <c r="G327" s="307" t="s">
        <v>3907</v>
      </c>
    </row>
    <row r="328" spans="1:7" ht="13.5">
      <c r="A328" s="307" t="s">
        <v>588</v>
      </c>
      <c r="B328" s="307" t="s">
        <v>4844</v>
      </c>
      <c r="C328" s="307" t="s">
        <v>4069</v>
      </c>
      <c r="D328" s="307" t="s">
        <v>4845</v>
      </c>
      <c r="E328" s="307" t="s">
        <v>3905</v>
      </c>
      <c r="F328" s="307" t="s">
        <v>3906</v>
      </c>
      <c r="G328" s="307" t="s">
        <v>3907</v>
      </c>
    </row>
    <row r="329" spans="1:7" ht="13.5">
      <c r="A329" s="307" t="s">
        <v>4846</v>
      </c>
      <c r="B329" s="307" t="s">
        <v>4847</v>
      </c>
      <c r="C329" s="307" t="s">
        <v>4069</v>
      </c>
      <c r="D329" s="307" t="s">
        <v>4848</v>
      </c>
      <c r="E329" s="307" t="s">
        <v>3905</v>
      </c>
      <c r="F329" s="307" t="s">
        <v>3906</v>
      </c>
      <c r="G329" s="307" t="s">
        <v>3907</v>
      </c>
    </row>
    <row r="330" spans="1:7" ht="13.5">
      <c r="A330" s="307" t="s">
        <v>4849</v>
      </c>
      <c r="B330" s="307" t="s">
        <v>583</v>
      </c>
      <c r="C330" s="307" t="s">
        <v>4069</v>
      </c>
      <c r="D330" s="307" t="s">
        <v>4850</v>
      </c>
      <c r="E330" s="307" t="s">
        <v>3905</v>
      </c>
      <c r="F330" s="307" t="s">
        <v>3906</v>
      </c>
      <c r="G330" s="307" t="s">
        <v>3907</v>
      </c>
    </row>
    <row r="331" spans="1:7" ht="13.5">
      <c r="A331" s="307" t="s">
        <v>4851</v>
      </c>
      <c r="B331" s="307" t="s">
        <v>4852</v>
      </c>
      <c r="C331" s="307" t="s">
        <v>4069</v>
      </c>
      <c r="D331" s="307" t="s">
        <v>4853</v>
      </c>
      <c r="E331" s="307" t="s">
        <v>3905</v>
      </c>
      <c r="F331" s="307" t="s">
        <v>3906</v>
      </c>
      <c r="G331" s="307" t="s">
        <v>3907</v>
      </c>
    </row>
    <row r="332" spans="1:7" ht="13.5">
      <c r="A332" s="307" t="s">
        <v>4854</v>
      </c>
      <c r="B332" s="307" t="s">
        <v>4855</v>
      </c>
      <c r="C332" s="307" t="s">
        <v>4069</v>
      </c>
      <c r="D332" s="307" t="s">
        <v>4856</v>
      </c>
      <c r="E332" s="307" t="s">
        <v>3905</v>
      </c>
      <c r="F332" s="307" t="s">
        <v>3906</v>
      </c>
      <c r="G332" s="307" t="s">
        <v>3907</v>
      </c>
    </row>
    <row r="333" spans="1:7" ht="13.5">
      <c r="A333" s="307" t="s">
        <v>4857</v>
      </c>
      <c r="B333" s="307" t="s">
        <v>4858</v>
      </c>
      <c r="C333" s="307" t="s">
        <v>4069</v>
      </c>
      <c r="D333" s="307" t="s">
        <v>4859</v>
      </c>
      <c r="E333" s="307" t="s">
        <v>3905</v>
      </c>
      <c r="F333" s="307" t="s">
        <v>3906</v>
      </c>
      <c r="G333" s="307" t="s">
        <v>3907</v>
      </c>
    </row>
    <row r="334" spans="1:7" ht="13.5">
      <c r="A334" s="307" t="s">
        <v>4860</v>
      </c>
      <c r="B334" s="307" t="s">
        <v>4861</v>
      </c>
      <c r="C334" s="307" t="s">
        <v>4069</v>
      </c>
      <c r="D334" s="307" t="s">
        <v>4862</v>
      </c>
      <c r="E334" s="307" t="s">
        <v>3905</v>
      </c>
      <c r="F334" s="307" t="s">
        <v>3906</v>
      </c>
      <c r="G334" s="307" t="s">
        <v>3907</v>
      </c>
    </row>
    <row r="335" spans="1:7" ht="13.5">
      <c r="A335" s="307" t="s">
        <v>4863</v>
      </c>
      <c r="B335" s="307" t="s">
        <v>4864</v>
      </c>
      <c r="C335" s="307" t="s">
        <v>4069</v>
      </c>
      <c r="D335" s="307" t="s">
        <v>4865</v>
      </c>
      <c r="E335" s="307" t="s">
        <v>3905</v>
      </c>
      <c r="F335" s="307" t="s">
        <v>3906</v>
      </c>
      <c r="G335" s="307" t="s">
        <v>3907</v>
      </c>
    </row>
    <row r="336" spans="1:7" ht="13.5">
      <c r="A336" s="307" t="s">
        <v>605</v>
      </c>
      <c r="B336" s="307" t="s">
        <v>826</v>
      </c>
      <c r="C336" s="307" t="s">
        <v>4069</v>
      </c>
      <c r="D336" s="307" t="s">
        <v>4866</v>
      </c>
      <c r="E336" s="307" t="s">
        <v>3905</v>
      </c>
      <c r="F336" s="307" t="s">
        <v>3906</v>
      </c>
      <c r="G336" s="307" t="s">
        <v>3907</v>
      </c>
    </row>
    <row r="337" spans="1:7" ht="13.5">
      <c r="A337" s="307" t="s">
        <v>4867</v>
      </c>
      <c r="B337" s="307" t="s">
        <v>4868</v>
      </c>
      <c r="C337" s="307" t="s">
        <v>4069</v>
      </c>
      <c r="D337" s="307" t="s">
        <v>4869</v>
      </c>
      <c r="E337" s="307" t="s">
        <v>3905</v>
      </c>
      <c r="F337" s="307" t="s">
        <v>3906</v>
      </c>
      <c r="G337" s="307" t="s">
        <v>3907</v>
      </c>
    </row>
    <row r="338" spans="1:7" ht="13.5">
      <c r="A338" s="307" t="s">
        <v>4870</v>
      </c>
      <c r="B338" s="307" t="s">
        <v>4871</v>
      </c>
      <c r="C338" s="307" t="s">
        <v>4069</v>
      </c>
      <c r="D338" s="307" t="s">
        <v>4872</v>
      </c>
      <c r="E338" s="307" t="s">
        <v>3905</v>
      </c>
      <c r="F338" s="307" t="s">
        <v>3906</v>
      </c>
      <c r="G338" s="307" t="s">
        <v>3907</v>
      </c>
    </row>
    <row r="339" spans="1:7" ht="13.5">
      <c r="A339" s="307" t="s">
        <v>4873</v>
      </c>
      <c r="B339" s="307" t="s">
        <v>4874</v>
      </c>
      <c r="C339" s="307" t="s">
        <v>4069</v>
      </c>
      <c r="D339" s="307" t="s">
        <v>4875</v>
      </c>
      <c r="E339" s="307" t="s">
        <v>3905</v>
      </c>
      <c r="F339" s="307" t="s">
        <v>3906</v>
      </c>
      <c r="G339" s="307" t="s">
        <v>3907</v>
      </c>
    </row>
    <row r="340" spans="1:7" ht="13.5">
      <c r="A340" s="307" t="s">
        <v>4876</v>
      </c>
      <c r="B340" s="307" t="s">
        <v>4877</v>
      </c>
      <c r="C340" s="307" t="s">
        <v>4069</v>
      </c>
      <c r="D340" s="307" t="s">
        <v>4878</v>
      </c>
      <c r="E340" s="307" t="s">
        <v>3905</v>
      </c>
      <c r="F340" s="307" t="s">
        <v>3906</v>
      </c>
      <c r="G340" s="307" t="s">
        <v>3907</v>
      </c>
    </row>
    <row r="341" spans="1:7" ht="13.5">
      <c r="A341" s="307" t="s">
        <v>4879</v>
      </c>
      <c r="B341" s="307" t="s">
        <v>4880</v>
      </c>
      <c r="C341" s="307" t="s">
        <v>4069</v>
      </c>
      <c r="D341" s="307" t="s">
        <v>4881</v>
      </c>
      <c r="E341" s="307" t="s">
        <v>3905</v>
      </c>
      <c r="F341" s="307" t="s">
        <v>3906</v>
      </c>
      <c r="G341" s="307" t="s">
        <v>3907</v>
      </c>
    </row>
    <row r="342" spans="1:7" ht="13.5">
      <c r="A342" s="307" t="s">
        <v>4882</v>
      </c>
      <c r="B342" s="307" t="s">
        <v>4883</v>
      </c>
      <c r="C342" s="307" t="s">
        <v>4069</v>
      </c>
      <c r="D342" s="307" t="s">
        <v>4881</v>
      </c>
      <c r="E342" s="307" t="s">
        <v>3905</v>
      </c>
      <c r="F342" s="307" t="s">
        <v>3906</v>
      </c>
      <c r="G342" s="307" t="s">
        <v>3907</v>
      </c>
    </row>
    <row r="343" spans="1:7" ht="13.5">
      <c r="A343" s="307" t="s">
        <v>4884</v>
      </c>
      <c r="B343" s="307" t="s">
        <v>4885</v>
      </c>
      <c r="C343" s="307" t="s">
        <v>4069</v>
      </c>
      <c r="D343" s="307" t="s">
        <v>4886</v>
      </c>
      <c r="E343" s="307" t="s">
        <v>3905</v>
      </c>
      <c r="F343" s="307" t="s">
        <v>3906</v>
      </c>
      <c r="G343" s="307" t="s">
        <v>3907</v>
      </c>
    </row>
    <row r="344" spans="1:7" ht="13.5">
      <c r="A344" s="307" t="s">
        <v>4887</v>
      </c>
      <c r="B344" s="307" t="s">
        <v>4888</v>
      </c>
      <c r="C344" s="307" t="s">
        <v>4069</v>
      </c>
      <c r="D344" s="307" t="s">
        <v>4886</v>
      </c>
      <c r="E344" s="307" t="s">
        <v>3905</v>
      </c>
      <c r="F344" s="307" t="s">
        <v>3906</v>
      </c>
      <c r="G344" s="307" t="s">
        <v>3907</v>
      </c>
    </row>
    <row r="345" spans="1:7" ht="13.5">
      <c r="A345" s="307" t="s">
        <v>4889</v>
      </c>
      <c r="B345" s="307" t="s">
        <v>4890</v>
      </c>
      <c r="C345" s="307" t="s">
        <v>4069</v>
      </c>
      <c r="D345" s="307" t="s">
        <v>4891</v>
      </c>
      <c r="E345" s="307" t="s">
        <v>3905</v>
      </c>
      <c r="F345" s="307" t="s">
        <v>3906</v>
      </c>
      <c r="G345" s="307" t="s">
        <v>3907</v>
      </c>
    </row>
    <row r="346" spans="1:7" ht="13.5">
      <c r="A346" s="307" t="s">
        <v>4892</v>
      </c>
      <c r="B346" s="307" t="s">
        <v>4893</v>
      </c>
      <c r="C346" s="307" t="s">
        <v>4069</v>
      </c>
      <c r="D346" s="307" t="s">
        <v>4894</v>
      </c>
      <c r="E346" s="307" t="s">
        <v>3905</v>
      </c>
      <c r="F346" s="307" t="s">
        <v>3906</v>
      </c>
      <c r="G346" s="307" t="s">
        <v>3907</v>
      </c>
    </row>
    <row r="347" spans="1:7" ht="13.5">
      <c r="A347" s="307" t="s">
        <v>4895</v>
      </c>
      <c r="B347" s="307" t="s">
        <v>4896</v>
      </c>
      <c r="C347" s="307" t="s">
        <v>4069</v>
      </c>
      <c r="D347" s="307" t="s">
        <v>4897</v>
      </c>
      <c r="E347" s="307" t="s">
        <v>3905</v>
      </c>
      <c r="F347" s="307" t="s">
        <v>3906</v>
      </c>
      <c r="G347" s="307" t="s">
        <v>3907</v>
      </c>
    </row>
    <row r="348" spans="1:7" ht="13.5">
      <c r="A348" s="307" t="s">
        <v>4898</v>
      </c>
      <c r="B348" s="307" t="s">
        <v>4899</v>
      </c>
      <c r="C348" s="307" t="s">
        <v>4069</v>
      </c>
      <c r="D348" s="307" t="s">
        <v>4900</v>
      </c>
      <c r="E348" s="307" t="s">
        <v>3905</v>
      </c>
      <c r="F348" s="307" t="s">
        <v>3906</v>
      </c>
      <c r="G348" s="307" t="s">
        <v>3907</v>
      </c>
    </row>
    <row r="349" spans="1:7" ht="13.5">
      <c r="A349" s="307" t="s">
        <v>4901</v>
      </c>
      <c r="B349" s="307" t="s">
        <v>4902</v>
      </c>
      <c r="C349" s="307" t="s">
        <v>4069</v>
      </c>
      <c r="D349" s="307" t="s">
        <v>4903</v>
      </c>
      <c r="E349" s="307" t="s">
        <v>3905</v>
      </c>
      <c r="F349" s="307" t="s">
        <v>3906</v>
      </c>
      <c r="G349" s="307" t="s">
        <v>3907</v>
      </c>
    </row>
    <row r="350" spans="1:7" ht="13.5">
      <c r="A350" s="307" t="s">
        <v>4904</v>
      </c>
      <c r="B350" s="307" t="s">
        <v>4905</v>
      </c>
      <c r="C350" s="307" t="s">
        <v>4069</v>
      </c>
      <c r="D350" s="307" t="s">
        <v>4906</v>
      </c>
      <c r="E350" s="307" t="s">
        <v>3905</v>
      </c>
      <c r="F350" s="307" t="s">
        <v>3906</v>
      </c>
      <c r="G350" s="307" t="s">
        <v>3907</v>
      </c>
    </row>
    <row r="351" spans="1:7" ht="13.5">
      <c r="A351" s="307" t="s">
        <v>4907</v>
      </c>
      <c r="B351" s="307" t="s">
        <v>4908</v>
      </c>
      <c r="C351" s="307" t="s">
        <v>4069</v>
      </c>
      <c r="D351" s="307" t="s">
        <v>4909</v>
      </c>
      <c r="E351" s="307" t="s">
        <v>3905</v>
      </c>
      <c r="F351" s="307" t="s">
        <v>3906</v>
      </c>
      <c r="G351" s="307" t="s">
        <v>3907</v>
      </c>
    </row>
    <row r="352" spans="1:7" ht="13.5">
      <c r="A352" s="307" t="s">
        <v>4910</v>
      </c>
      <c r="B352" s="307" t="s">
        <v>4911</v>
      </c>
      <c r="C352" s="307" t="s">
        <v>4069</v>
      </c>
      <c r="D352" s="307" t="s">
        <v>4912</v>
      </c>
      <c r="E352" s="307" t="s">
        <v>3905</v>
      </c>
      <c r="F352" s="307" t="s">
        <v>3906</v>
      </c>
      <c r="G352" s="307" t="s">
        <v>3907</v>
      </c>
    </row>
    <row r="353" spans="1:7" ht="13.5">
      <c r="A353" s="307" t="s">
        <v>4913</v>
      </c>
      <c r="B353" s="307" t="s">
        <v>4914</v>
      </c>
      <c r="C353" s="307" t="s">
        <v>4069</v>
      </c>
      <c r="D353" s="307" t="s">
        <v>4915</v>
      </c>
      <c r="E353" s="307" t="s">
        <v>3905</v>
      </c>
      <c r="F353" s="307" t="s">
        <v>3906</v>
      </c>
      <c r="G353" s="307" t="s">
        <v>3907</v>
      </c>
    </row>
    <row r="354" spans="1:7" ht="13.5">
      <c r="A354" s="307" t="s">
        <v>4916</v>
      </c>
      <c r="B354" s="307" t="s">
        <v>4917</v>
      </c>
      <c r="C354" s="307" t="s">
        <v>4069</v>
      </c>
      <c r="D354" s="307" t="s">
        <v>4918</v>
      </c>
      <c r="E354" s="307" t="s">
        <v>3905</v>
      </c>
      <c r="F354" s="307" t="s">
        <v>3906</v>
      </c>
      <c r="G354" s="307" t="s">
        <v>3907</v>
      </c>
    </row>
    <row r="355" spans="1:7" ht="13.5">
      <c r="A355" s="307" t="s">
        <v>608</v>
      </c>
      <c r="B355" s="307" t="s">
        <v>4919</v>
      </c>
      <c r="C355" s="307" t="s">
        <v>4069</v>
      </c>
      <c r="D355" s="307" t="s">
        <v>4920</v>
      </c>
      <c r="E355" s="307" t="s">
        <v>3905</v>
      </c>
      <c r="F355" s="307" t="s">
        <v>3906</v>
      </c>
      <c r="G355" s="307" t="s">
        <v>3907</v>
      </c>
    </row>
    <row r="356" spans="1:7" ht="13.5">
      <c r="A356" s="307" t="s">
        <v>4921</v>
      </c>
      <c r="B356" s="307" t="s">
        <v>4922</v>
      </c>
      <c r="C356" s="307" t="s">
        <v>4069</v>
      </c>
      <c r="D356" s="307" t="s">
        <v>4923</v>
      </c>
      <c r="E356" s="307" t="s">
        <v>3905</v>
      </c>
      <c r="F356" s="307" t="s">
        <v>3906</v>
      </c>
      <c r="G356" s="307" t="s">
        <v>3907</v>
      </c>
    </row>
    <row r="357" spans="1:7" ht="13.5">
      <c r="A357" s="307" t="s">
        <v>4924</v>
      </c>
      <c r="B357" s="307" t="s">
        <v>4925</v>
      </c>
      <c r="C357" s="307" t="s">
        <v>4069</v>
      </c>
      <c r="D357" s="307" t="s">
        <v>4926</v>
      </c>
      <c r="E357" s="307" t="s">
        <v>3905</v>
      </c>
      <c r="F357" s="307" t="s">
        <v>3906</v>
      </c>
      <c r="G357" s="307" t="s">
        <v>3907</v>
      </c>
    </row>
    <row r="358" spans="1:7" ht="13.5">
      <c r="A358" s="307" t="s">
        <v>4927</v>
      </c>
      <c r="B358" s="307" t="s">
        <v>4928</v>
      </c>
      <c r="C358" s="307" t="s">
        <v>4069</v>
      </c>
      <c r="D358" s="307" t="s">
        <v>4929</v>
      </c>
      <c r="E358" s="307" t="s">
        <v>3905</v>
      </c>
      <c r="F358" s="307" t="s">
        <v>3906</v>
      </c>
      <c r="G358" s="307" t="s">
        <v>3907</v>
      </c>
    </row>
    <row r="359" spans="1:7" ht="13.5">
      <c r="A359" s="307" t="s">
        <v>4930</v>
      </c>
      <c r="B359" s="307" t="s">
        <v>4931</v>
      </c>
      <c r="C359" s="307" t="s">
        <v>4069</v>
      </c>
      <c r="D359" s="307" t="s">
        <v>4932</v>
      </c>
      <c r="E359" s="307" t="s">
        <v>3905</v>
      </c>
      <c r="F359" s="307" t="s">
        <v>3906</v>
      </c>
      <c r="G359" s="307" t="s">
        <v>3907</v>
      </c>
    </row>
    <row r="360" spans="1:7" ht="13.5">
      <c r="A360" s="307" t="s">
        <v>4933</v>
      </c>
      <c r="B360" s="307" t="s">
        <v>4934</v>
      </c>
      <c r="C360" s="307" t="s">
        <v>4069</v>
      </c>
      <c r="D360" s="307" t="s">
        <v>4935</v>
      </c>
      <c r="E360" s="307" t="s">
        <v>3905</v>
      </c>
      <c r="F360" s="307" t="s">
        <v>3906</v>
      </c>
      <c r="G360" s="307" t="s">
        <v>3907</v>
      </c>
    </row>
    <row r="361" spans="1:7" ht="13.5">
      <c r="A361" s="307" t="s">
        <v>4936</v>
      </c>
      <c r="B361" s="307" t="s">
        <v>4937</v>
      </c>
      <c r="C361" s="307" t="s">
        <v>4069</v>
      </c>
      <c r="D361" s="307" t="s">
        <v>4938</v>
      </c>
      <c r="E361" s="307" t="s">
        <v>3905</v>
      </c>
      <c r="F361" s="307" t="s">
        <v>3906</v>
      </c>
      <c r="G361" s="307" t="s">
        <v>3907</v>
      </c>
    </row>
    <row r="362" spans="1:7" ht="13.5">
      <c r="A362" s="307" t="s">
        <v>4939</v>
      </c>
      <c r="B362" s="307" t="s">
        <v>4940</v>
      </c>
      <c r="C362" s="307" t="s">
        <v>4069</v>
      </c>
      <c r="D362" s="307" t="s">
        <v>4941</v>
      </c>
      <c r="E362" s="307" t="s">
        <v>3905</v>
      </c>
      <c r="F362" s="307" t="s">
        <v>3906</v>
      </c>
      <c r="G362" s="307" t="s">
        <v>3907</v>
      </c>
    </row>
    <row r="363" spans="1:7" ht="13.5">
      <c r="A363" s="307" t="s">
        <v>4942</v>
      </c>
      <c r="B363" s="307" t="s">
        <v>4943</v>
      </c>
      <c r="C363" s="307" t="s">
        <v>4069</v>
      </c>
      <c r="D363" s="307" t="s">
        <v>4944</v>
      </c>
      <c r="E363" s="307" t="s">
        <v>3905</v>
      </c>
      <c r="F363" s="307" t="s">
        <v>3906</v>
      </c>
      <c r="G363" s="307" t="s">
        <v>3907</v>
      </c>
    </row>
    <row r="364" spans="1:7" ht="13.5">
      <c r="A364" s="307" t="s">
        <v>4945</v>
      </c>
      <c r="B364" s="307" t="s">
        <v>4946</v>
      </c>
      <c r="C364" s="307" t="s">
        <v>4069</v>
      </c>
      <c r="D364" s="307" t="s">
        <v>4947</v>
      </c>
      <c r="E364" s="307" t="s">
        <v>3905</v>
      </c>
      <c r="F364" s="307" t="s">
        <v>3906</v>
      </c>
      <c r="G364" s="307" t="s">
        <v>3907</v>
      </c>
    </row>
    <row r="365" spans="1:7" ht="13.5">
      <c r="A365" s="307" t="s">
        <v>4948</v>
      </c>
      <c r="B365" s="307" t="s">
        <v>4949</v>
      </c>
      <c r="C365" s="307" t="s">
        <v>4069</v>
      </c>
      <c r="D365" s="307" t="s">
        <v>4950</v>
      </c>
      <c r="E365" s="307" t="s">
        <v>3905</v>
      </c>
      <c r="F365" s="307" t="s">
        <v>3906</v>
      </c>
      <c r="G365" s="307" t="s">
        <v>3907</v>
      </c>
    </row>
    <row r="366" spans="1:7" ht="13.5">
      <c r="A366" s="307" t="s">
        <v>4951</v>
      </c>
      <c r="B366" s="307" t="s">
        <v>4952</v>
      </c>
      <c r="C366" s="307" t="s">
        <v>4069</v>
      </c>
      <c r="D366" s="307" t="s">
        <v>4953</v>
      </c>
      <c r="E366" s="307" t="s">
        <v>3905</v>
      </c>
      <c r="F366" s="307" t="s">
        <v>3906</v>
      </c>
      <c r="G366" s="307" t="s">
        <v>3907</v>
      </c>
    </row>
    <row r="367" spans="1:7" ht="13.5">
      <c r="A367" s="307" t="s">
        <v>593</v>
      </c>
      <c r="B367" s="307" t="s">
        <v>4954</v>
      </c>
      <c r="C367" s="307" t="s">
        <v>4069</v>
      </c>
      <c r="D367" s="307" t="s">
        <v>4955</v>
      </c>
      <c r="E367" s="307" t="s">
        <v>3905</v>
      </c>
      <c r="F367" s="307" t="s">
        <v>3906</v>
      </c>
      <c r="G367" s="307" t="s">
        <v>3907</v>
      </c>
    </row>
    <row r="368" spans="1:7" ht="13.5">
      <c r="A368" s="307" t="s">
        <v>4956</v>
      </c>
      <c r="B368" s="307" t="s">
        <v>4957</v>
      </c>
      <c r="C368" s="307" t="s">
        <v>4069</v>
      </c>
      <c r="D368" s="307" t="s">
        <v>4958</v>
      </c>
      <c r="E368" s="307" t="s">
        <v>3905</v>
      </c>
      <c r="F368" s="307" t="s">
        <v>3906</v>
      </c>
      <c r="G368" s="307" t="s">
        <v>3907</v>
      </c>
    </row>
    <row r="369" spans="1:7" ht="13.5">
      <c r="A369" s="307" t="s">
        <v>4959</v>
      </c>
      <c r="B369" s="307" t="s">
        <v>4960</v>
      </c>
      <c r="C369" s="307" t="s">
        <v>4069</v>
      </c>
      <c r="D369" s="307" t="s">
        <v>4961</v>
      </c>
      <c r="E369" s="307" t="s">
        <v>3905</v>
      </c>
      <c r="F369" s="307" t="s">
        <v>3906</v>
      </c>
      <c r="G369" s="307" t="s">
        <v>3907</v>
      </c>
    </row>
    <row r="370" spans="1:7" ht="13.5">
      <c r="A370" s="307" t="s">
        <v>4962</v>
      </c>
      <c r="B370" s="307" t="s">
        <v>4963</v>
      </c>
      <c r="C370" s="307" t="s">
        <v>4069</v>
      </c>
      <c r="D370" s="307" t="s">
        <v>4964</v>
      </c>
      <c r="E370" s="307" t="s">
        <v>3905</v>
      </c>
      <c r="F370" s="307" t="s">
        <v>3906</v>
      </c>
      <c r="G370" s="307" t="s">
        <v>3907</v>
      </c>
    </row>
    <row r="371" spans="1:7" ht="13.5">
      <c r="A371" s="307" t="s">
        <v>600</v>
      </c>
      <c r="B371" s="307" t="s">
        <v>812</v>
      </c>
      <c r="C371" s="307" t="s">
        <v>4069</v>
      </c>
      <c r="D371" s="307" t="s">
        <v>4965</v>
      </c>
      <c r="E371" s="307" t="s">
        <v>3905</v>
      </c>
      <c r="F371" s="307" t="s">
        <v>3906</v>
      </c>
      <c r="G371" s="307" t="s">
        <v>3907</v>
      </c>
    </row>
    <row r="372" spans="1:7" ht="13.5">
      <c r="A372" s="307" t="s">
        <v>4966</v>
      </c>
      <c r="B372" s="307" t="s">
        <v>4967</v>
      </c>
      <c r="C372" s="307" t="s">
        <v>4069</v>
      </c>
      <c r="D372" s="307" t="s">
        <v>4968</v>
      </c>
      <c r="E372" s="307" t="s">
        <v>3905</v>
      </c>
      <c r="F372" s="307" t="s">
        <v>3906</v>
      </c>
      <c r="G372" s="307" t="s">
        <v>3907</v>
      </c>
    </row>
    <row r="373" spans="1:7" ht="13.5">
      <c r="A373" s="307" t="s">
        <v>4969</v>
      </c>
      <c r="B373" s="307" t="s">
        <v>4970</v>
      </c>
      <c r="C373" s="307" t="s">
        <v>4069</v>
      </c>
      <c r="D373" s="307" t="s">
        <v>4971</v>
      </c>
      <c r="E373" s="307" t="s">
        <v>3905</v>
      </c>
      <c r="F373" s="307" t="s">
        <v>3906</v>
      </c>
      <c r="G373" s="307" t="s">
        <v>3907</v>
      </c>
    </row>
    <row r="374" spans="1:7" ht="13.5">
      <c r="A374" s="307" t="s">
        <v>4972</v>
      </c>
      <c r="B374" s="307" t="s">
        <v>4973</v>
      </c>
      <c r="C374" s="307" t="s">
        <v>4069</v>
      </c>
      <c r="D374" s="307" t="s">
        <v>4974</v>
      </c>
      <c r="E374" s="307" t="s">
        <v>3905</v>
      </c>
      <c r="F374" s="307" t="s">
        <v>3906</v>
      </c>
      <c r="G374" s="307" t="s">
        <v>3907</v>
      </c>
    </row>
    <row r="375" spans="1:7" ht="13.5">
      <c r="A375" s="307" t="s">
        <v>4975</v>
      </c>
      <c r="B375" s="307" t="s">
        <v>4976</v>
      </c>
      <c r="C375" s="307" t="s">
        <v>4069</v>
      </c>
      <c r="D375" s="307" t="s">
        <v>4977</v>
      </c>
      <c r="E375" s="307" t="s">
        <v>3905</v>
      </c>
      <c r="F375" s="307" t="s">
        <v>3906</v>
      </c>
      <c r="G375" s="307" t="s">
        <v>3907</v>
      </c>
    </row>
    <row r="376" spans="1:7" ht="13.5">
      <c r="A376" s="307" t="s">
        <v>4978</v>
      </c>
      <c r="B376" s="307" t="s">
        <v>4979</v>
      </c>
      <c r="C376" s="307" t="s">
        <v>4069</v>
      </c>
      <c r="D376" s="307" t="s">
        <v>4980</v>
      </c>
      <c r="E376" s="307" t="s">
        <v>3905</v>
      </c>
      <c r="F376" s="307" t="s">
        <v>3906</v>
      </c>
      <c r="G376" s="307" t="s">
        <v>3907</v>
      </c>
    </row>
    <row r="377" spans="1:7" ht="13.5">
      <c r="A377" s="307" t="s">
        <v>4981</v>
      </c>
      <c r="B377" s="307" t="s">
        <v>4982</v>
      </c>
      <c r="C377" s="307" t="s">
        <v>4069</v>
      </c>
      <c r="D377" s="307" t="s">
        <v>4983</v>
      </c>
      <c r="E377" s="307" t="s">
        <v>3905</v>
      </c>
      <c r="F377" s="307" t="s">
        <v>3906</v>
      </c>
      <c r="G377" s="307" t="s">
        <v>3907</v>
      </c>
    </row>
    <row r="378" spans="1:7" ht="13.5">
      <c r="A378" s="307" t="s">
        <v>561</v>
      </c>
      <c r="B378" s="307" t="s">
        <v>4984</v>
      </c>
      <c r="C378" s="307" t="s">
        <v>4069</v>
      </c>
      <c r="D378" s="307" t="s">
        <v>4985</v>
      </c>
      <c r="E378" s="307" t="s">
        <v>3905</v>
      </c>
      <c r="F378" s="307" t="s">
        <v>3906</v>
      </c>
      <c r="G378" s="307" t="s">
        <v>3907</v>
      </c>
    </row>
    <row r="379" spans="1:7" ht="13.5">
      <c r="A379" s="307" t="s">
        <v>4986</v>
      </c>
      <c r="B379" s="307" t="s">
        <v>4987</v>
      </c>
      <c r="C379" s="307" t="s">
        <v>4069</v>
      </c>
      <c r="D379" s="307" t="s">
        <v>4988</v>
      </c>
      <c r="E379" s="307" t="s">
        <v>3905</v>
      </c>
      <c r="F379" s="307" t="s">
        <v>3906</v>
      </c>
      <c r="G379" s="307" t="s">
        <v>3907</v>
      </c>
    </row>
    <row r="380" spans="1:7" ht="13.5">
      <c r="A380" s="307" t="s">
        <v>4989</v>
      </c>
      <c r="B380" s="307" t="s">
        <v>4990</v>
      </c>
      <c r="C380" s="307" t="s">
        <v>4069</v>
      </c>
      <c r="D380" s="307" t="s">
        <v>4991</v>
      </c>
      <c r="E380" s="307" t="s">
        <v>3905</v>
      </c>
      <c r="F380" s="307" t="s">
        <v>3906</v>
      </c>
      <c r="G380" s="307" t="s">
        <v>3907</v>
      </c>
    </row>
    <row r="381" spans="1:7" ht="13.5">
      <c r="A381" s="307" t="s">
        <v>4992</v>
      </c>
      <c r="B381" s="307" t="s">
        <v>4993</v>
      </c>
      <c r="C381" s="307" t="s">
        <v>4069</v>
      </c>
      <c r="D381" s="307" t="s">
        <v>4994</v>
      </c>
      <c r="E381" s="307" t="s">
        <v>3905</v>
      </c>
      <c r="F381" s="307" t="s">
        <v>3906</v>
      </c>
      <c r="G381" s="307" t="s">
        <v>3907</v>
      </c>
    </row>
    <row r="382" spans="1:7" ht="13.5">
      <c r="A382" s="307" t="s">
        <v>4995</v>
      </c>
      <c r="B382" s="307" t="s">
        <v>4996</v>
      </c>
      <c r="C382" s="307" t="s">
        <v>4069</v>
      </c>
      <c r="D382" s="307" t="s">
        <v>4997</v>
      </c>
      <c r="E382" s="307" t="s">
        <v>3905</v>
      </c>
      <c r="F382" s="307" t="s">
        <v>3906</v>
      </c>
      <c r="G382" s="307" t="s">
        <v>3907</v>
      </c>
    </row>
    <row r="383" spans="1:7" ht="13.5">
      <c r="A383" s="307" t="s">
        <v>4998</v>
      </c>
      <c r="B383" s="307" t="s">
        <v>4999</v>
      </c>
      <c r="C383" s="307" t="s">
        <v>4069</v>
      </c>
      <c r="D383" s="307" t="s">
        <v>5000</v>
      </c>
      <c r="E383" s="307" t="s">
        <v>3905</v>
      </c>
      <c r="F383" s="307" t="s">
        <v>3906</v>
      </c>
      <c r="G383" s="307" t="s">
        <v>3907</v>
      </c>
    </row>
    <row r="384" spans="1:7" ht="13.5">
      <c r="A384" s="307" t="s">
        <v>5001</v>
      </c>
      <c r="B384" s="307" t="s">
        <v>828</v>
      </c>
      <c r="C384" s="307" t="s">
        <v>4069</v>
      </c>
      <c r="D384" s="307" t="s">
        <v>5002</v>
      </c>
      <c r="E384" s="307" t="s">
        <v>3905</v>
      </c>
      <c r="F384" s="307" t="s">
        <v>3906</v>
      </c>
      <c r="G384" s="307" t="s">
        <v>3907</v>
      </c>
    </row>
    <row r="385" spans="1:7" ht="13.5">
      <c r="A385" s="307" t="s">
        <v>680</v>
      </c>
      <c r="B385" s="307" t="s">
        <v>842</v>
      </c>
      <c r="C385" s="307" t="s">
        <v>4069</v>
      </c>
      <c r="D385" s="307" t="s">
        <v>5003</v>
      </c>
      <c r="E385" s="307" t="s">
        <v>3905</v>
      </c>
      <c r="F385" s="307" t="s">
        <v>3906</v>
      </c>
      <c r="G385" s="307" t="s">
        <v>3907</v>
      </c>
    </row>
    <row r="386" spans="1:7" ht="13.5">
      <c r="A386" s="307" t="s">
        <v>5004</v>
      </c>
      <c r="B386" s="307" t="s">
        <v>5005</v>
      </c>
      <c r="C386" s="307" t="s">
        <v>4069</v>
      </c>
      <c r="D386" s="307" t="s">
        <v>5006</v>
      </c>
      <c r="E386" s="307" t="s">
        <v>3905</v>
      </c>
      <c r="F386" s="307" t="s">
        <v>3906</v>
      </c>
      <c r="G386" s="307" t="s">
        <v>3907</v>
      </c>
    </row>
    <row r="387" spans="1:7" ht="13.5">
      <c r="A387" s="307" t="s">
        <v>5007</v>
      </c>
      <c r="B387" s="307" t="s">
        <v>5008</v>
      </c>
      <c r="C387" s="307" t="s">
        <v>4069</v>
      </c>
      <c r="D387" s="307" t="s">
        <v>5009</v>
      </c>
      <c r="E387" s="307" t="s">
        <v>3905</v>
      </c>
      <c r="F387" s="307" t="s">
        <v>3906</v>
      </c>
      <c r="G387" s="307" t="s">
        <v>3907</v>
      </c>
    </row>
    <row r="388" spans="1:7" ht="13.5">
      <c r="A388" s="307" t="s">
        <v>5010</v>
      </c>
      <c r="B388" s="307" t="s">
        <v>5011</v>
      </c>
      <c r="C388" s="307" t="s">
        <v>4069</v>
      </c>
      <c r="D388" s="307" t="s">
        <v>5012</v>
      </c>
      <c r="E388" s="307" t="s">
        <v>3905</v>
      </c>
      <c r="F388" s="307" t="s">
        <v>3906</v>
      </c>
      <c r="G388" s="307" t="s">
        <v>3907</v>
      </c>
    </row>
    <row r="389" spans="1:7" ht="13.5">
      <c r="A389" s="307" t="s">
        <v>5013</v>
      </c>
      <c r="B389" s="307" t="s">
        <v>5014</v>
      </c>
      <c r="C389" s="307" t="s">
        <v>4069</v>
      </c>
      <c r="D389" s="307" t="s">
        <v>5015</v>
      </c>
      <c r="E389" s="307" t="s">
        <v>3905</v>
      </c>
      <c r="F389" s="307" t="s">
        <v>3906</v>
      </c>
      <c r="G389" s="307" t="s">
        <v>3907</v>
      </c>
    </row>
    <row r="390" spans="1:7" ht="13.5">
      <c r="A390" s="307" t="s">
        <v>5016</v>
      </c>
      <c r="B390" s="307" t="s">
        <v>5017</v>
      </c>
      <c r="C390" s="307" t="s">
        <v>4069</v>
      </c>
      <c r="D390" s="307" t="s">
        <v>5018</v>
      </c>
      <c r="E390" s="307" t="s">
        <v>3905</v>
      </c>
      <c r="F390" s="307" t="s">
        <v>3906</v>
      </c>
      <c r="G390" s="307" t="s">
        <v>3907</v>
      </c>
    </row>
    <row r="391" spans="1:7" ht="13.5">
      <c r="A391" s="307" t="s">
        <v>5019</v>
      </c>
      <c r="B391" s="307" t="s">
        <v>5020</v>
      </c>
      <c r="C391" s="307" t="s">
        <v>4069</v>
      </c>
      <c r="D391" s="307" t="s">
        <v>5021</v>
      </c>
      <c r="E391" s="307" t="s">
        <v>3905</v>
      </c>
      <c r="F391" s="307" t="s">
        <v>3906</v>
      </c>
      <c r="G391" s="307" t="s">
        <v>3907</v>
      </c>
    </row>
    <row r="392" spans="1:7" ht="13.5">
      <c r="A392" s="307" t="s">
        <v>5022</v>
      </c>
      <c r="B392" s="307" t="s">
        <v>5023</v>
      </c>
      <c r="C392" s="307" t="s">
        <v>4069</v>
      </c>
      <c r="D392" s="307" t="s">
        <v>5024</v>
      </c>
      <c r="E392" s="307" t="s">
        <v>4021</v>
      </c>
      <c r="F392" s="307" t="s">
        <v>3906</v>
      </c>
      <c r="G392" s="307" t="s">
        <v>3907</v>
      </c>
    </row>
    <row r="393" spans="1:7" ht="13.5">
      <c r="A393" s="307" t="s">
        <v>5025</v>
      </c>
      <c r="B393" s="307" t="s">
        <v>5026</v>
      </c>
      <c r="C393" s="307" t="s">
        <v>4069</v>
      </c>
      <c r="D393" s="307" t="s">
        <v>5027</v>
      </c>
      <c r="E393" s="307" t="s">
        <v>3905</v>
      </c>
      <c r="F393" s="307" t="s">
        <v>3906</v>
      </c>
      <c r="G393" s="307" t="s">
        <v>3907</v>
      </c>
    </row>
    <row r="394" spans="1:7" ht="13.5">
      <c r="A394" s="307" t="s">
        <v>5028</v>
      </c>
      <c r="B394" s="307" t="s">
        <v>5029</v>
      </c>
      <c r="C394" s="307" t="s">
        <v>4069</v>
      </c>
      <c r="D394" s="307" t="s">
        <v>5030</v>
      </c>
      <c r="E394" s="307" t="s">
        <v>3905</v>
      </c>
      <c r="F394" s="307" t="s">
        <v>3906</v>
      </c>
      <c r="G394" s="307" t="s">
        <v>3907</v>
      </c>
    </row>
    <row r="395" spans="1:7" ht="13.5">
      <c r="A395" s="307" t="s">
        <v>5031</v>
      </c>
      <c r="B395" s="307" t="s">
        <v>5032</v>
      </c>
      <c r="C395" s="307" t="s">
        <v>4069</v>
      </c>
      <c r="D395" s="307" t="s">
        <v>5033</v>
      </c>
      <c r="E395" s="307" t="s">
        <v>3905</v>
      </c>
      <c r="F395" s="307" t="s">
        <v>3906</v>
      </c>
      <c r="G395" s="307" t="s">
        <v>3907</v>
      </c>
    </row>
    <row r="396" spans="1:7" ht="13.5">
      <c r="A396" s="307" t="s">
        <v>5034</v>
      </c>
      <c r="B396" s="307" t="s">
        <v>5035</v>
      </c>
      <c r="C396" s="307" t="s">
        <v>4069</v>
      </c>
      <c r="D396" s="307" t="s">
        <v>5036</v>
      </c>
      <c r="E396" s="307" t="s">
        <v>3905</v>
      </c>
      <c r="F396" s="307" t="s">
        <v>3906</v>
      </c>
      <c r="G396" s="307" t="s">
        <v>3907</v>
      </c>
    </row>
    <row r="397" spans="1:7" ht="13.5">
      <c r="A397" s="307" t="s">
        <v>5037</v>
      </c>
      <c r="B397" s="307" t="s">
        <v>5038</v>
      </c>
      <c r="C397" s="307" t="s">
        <v>4069</v>
      </c>
      <c r="D397" s="307" t="s">
        <v>5039</v>
      </c>
      <c r="E397" s="307" t="s">
        <v>3905</v>
      </c>
      <c r="F397" s="307" t="s">
        <v>3906</v>
      </c>
      <c r="G397" s="307" t="s">
        <v>3907</v>
      </c>
    </row>
    <row r="398" spans="1:7" ht="13.5">
      <c r="A398" s="307" t="s">
        <v>5040</v>
      </c>
      <c r="B398" s="307" t="s">
        <v>5041</v>
      </c>
      <c r="C398" s="307" t="s">
        <v>4069</v>
      </c>
      <c r="D398" s="307" t="s">
        <v>5042</v>
      </c>
      <c r="E398" s="307" t="s">
        <v>3905</v>
      </c>
      <c r="F398" s="307" t="s">
        <v>3906</v>
      </c>
      <c r="G398" s="307" t="s">
        <v>3907</v>
      </c>
    </row>
    <row r="399" spans="1:7" ht="13.5">
      <c r="A399" s="307" t="s">
        <v>5043</v>
      </c>
      <c r="B399" s="307" t="s">
        <v>5044</v>
      </c>
      <c r="C399" s="307" t="s">
        <v>4069</v>
      </c>
      <c r="D399" s="307" t="s">
        <v>5045</v>
      </c>
      <c r="E399" s="307" t="s">
        <v>3905</v>
      </c>
      <c r="F399" s="307" t="s">
        <v>3906</v>
      </c>
      <c r="G399" s="307" t="s">
        <v>3907</v>
      </c>
    </row>
    <row r="400" spans="1:7" ht="13.5">
      <c r="A400" s="307" t="s">
        <v>5046</v>
      </c>
      <c r="B400" s="307" t="s">
        <v>5047</v>
      </c>
      <c r="C400" s="307" t="s">
        <v>4069</v>
      </c>
      <c r="D400" s="307" t="s">
        <v>5048</v>
      </c>
      <c r="E400" s="307" t="s">
        <v>3905</v>
      </c>
      <c r="F400" s="307" t="s">
        <v>3906</v>
      </c>
      <c r="G400" s="307" t="s">
        <v>3907</v>
      </c>
    </row>
    <row r="401" spans="1:7" ht="13.5">
      <c r="A401" s="307" t="s">
        <v>5049</v>
      </c>
      <c r="B401" s="307" t="s">
        <v>5050</v>
      </c>
      <c r="C401" s="307" t="s">
        <v>4069</v>
      </c>
      <c r="D401" s="307" t="s">
        <v>5051</v>
      </c>
      <c r="E401" s="307" t="s">
        <v>3905</v>
      </c>
      <c r="F401" s="307" t="s">
        <v>3906</v>
      </c>
      <c r="G401" s="307" t="s">
        <v>3907</v>
      </c>
    </row>
    <row r="402" spans="1:7" ht="13.5">
      <c r="A402" s="307" t="s">
        <v>5052</v>
      </c>
      <c r="B402" s="307" t="s">
        <v>5053</v>
      </c>
      <c r="C402" s="307" t="s">
        <v>4069</v>
      </c>
      <c r="D402" s="307" t="s">
        <v>5054</v>
      </c>
      <c r="E402" s="307" t="s">
        <v>3905</v>
      </c>
      <c r="F402" s="307" t="s">
        <v>3906</v>
      </c>
      <c r="G402" s="307" t="s">
        <v>3907</v>
      </c>
    </row>
    <row r="403" spans="1:7" ht="13.5">
      <c r="A403" s="307" t="s">
        <v>5055</v>
      </c>
      <c r="B403" s="307" t="s">
        <v>5056</v>
      </c>
      <c r="C403" s="307" t="s">
        <v>4069</v>
      </c>
      <c r="D403" s="307" t="s">
        <v>5057</v>
      </c>
      <c r="E403" s="307" t="s">
        <v>3905</v>
      </c>
      <c r="F403" s="307" t="s">
        <v>3906</v>
      </c>
      <c r="G403" s="307" t="s">
        <v>3907</v>
      </c>
    </row>
    <row r="404" spans="1:7" ht="13.5">
      <c r="A404" s="307" t="s">
        <v>5058</v>
      </c>
      <c r="B404" s="307" t="s">
        <v>5059</v>
      </c>
      <c r="C404" s="307" t="s">
        <v>4069</v>
      </c>
      <c r="D404" s="307" t="s">
        <v>5060</v>
      </c>
      <c r="E404" s="307" t="s">
        <v>3905</v>
      </c>
      <c r="F404" s="307" t="s">
        <v>3906</v>
      </c>
      <c r="G404" s="307" t="s">
        <v>3907</v>
      </c>
    </row>
    <row r="405" spans="1:7" ht="13.5">
      <c r="A405" s="307" t="s">
        <v>5061</v>
      </c>
      <c r="B405" s="307" t="s">
        <v>5062</v>
      </c>
      <c r="C405" s="307" t="s">
        <v>4069</v>
      </c>
      <c r="D405" s="307" t="s">
        <v>5063</v>
      </c>
      <c r="E405" s="307" t="s">
        <v>3905</v>
      </c>
      <c r="F405" s="307" t="s">
        <v>3906</v>
      </c>
      <c r="G405" s="307" t="s">
        <v>3907</v>
      </c>
    </row>
    <row r="406" spans="1:7" ht="13.5">
      <c r="A406" s="307" t="s">
        <v>5064</v>
      </c>
      <c r="B406" s="307" t="s">
        <v>5065</v>
      </c>
      <c r="C406" s="307" t="s">
        <v>4069</v>
      </c>
      <c r="D406" s="307" t="s">
        <v>5066</v>
      </c>
      <c r="E406" s="307" t="s">
        <v>3905</v>
      </c>
      <c r="F406" s="307" t="s">
        <v>3906</v>
      </c>
      <c r="G406" s="307" t="s">
        <v>3907</v>
      </c>
    </row>
    <row r="407" spans="1:7" ht="13.5">
      <c r="A407" s="307" t="s">
        <v>5067</v>
      </c>
      <c r="B407" s="307" t="s">
        <v>5068</v>
      </c>
      <c r="C407" s="307" t="s">
        <v>4069</v>
      </c>
      <c r="D407" s="307" t="s">
        <v>5069</v>
      </c>
      <c r="E407" s="307" t="s">
        <v>3905</v>
      </c>
      <c r="F407" s="307" t="s">
        <v>3906</v>
      </c>
      <c r="G407" s="307" t="s">
        <v>3907</v>
      </c>
    </row>
    <row r="408" spans="1:7" ht="13.5">
      <c r="A408" s="307" t="s">
        <v>5070</v>
      </c>
      <c r="B408" s="307" t="s">
        <v>5071</v>
      </c>
      <c r="C408" s="307" t="s">
        <v>4069</v>
      </c>
      <c r="D408" s="307" t="s">
        <v>5072</v>
      </c>
      <c r="E408" s="307" t="s">
        <v>3905</v>
      </c>
      <c r="F408" s="307" t="s">
        <v>3906</v>
      </c>
      <c r="G408" s="307" t="s">
        <v>3907</v>
      </c>
    </row>
    <row r="409" spans="1:7" ht="13.5">
      <c r="A409" s="307" t="s">
        <v>5073</v>
      </c>
      <c r="B409" s="307" t="s">
        <v>5074</v>
      </c>
      <c r="C409" s="307" t="s">
        <v>4069</v>
      </c>
      <c r="D409" s="307" t="s">
        <v>5075</v>
      </c>
      <c r="E409" s="307" t="s">
        <v>4021</v>
      </c>
      <c r="F409" s="307" t="s">
        <v>3906</v>
      </c>
      <c r="G409" s="307" t="s">
        <v>3907</v>
      </c>
    </row>
    <row r="410" spans="1:7" ht="13.5">
      <c r="A410" s="307" t="s">
        <v>5076</v>
      </c>
      <c r="B410" s="307" t="s">
        <v>5077</v>
      </c>
      <c r="C410" s="307" t="s">
        <v>4069</v>
      </c>
      <c r="D410" s="307" t="s">
        <v>5078</v>
      </c>
      <c r="E410" s="307" t="s">
        <v>3905</v>
      </c>
      <c r="F410" s="307" t="s">
        <v>3906</v>
      </c>
      <c r="G410" s="307" t="s">
        <v>3907</v>
      </c>
    </row>
    <row r="411" spans="1:7" ht="13.5">
      <c r="A411" s="307" t="s">
        <v>5079</v>
      </c>
      <c r="B411" s="307" t="s">
        <v>5080</v>
      </c>
      <c r="C411" s="307" t="s">
        <v>4069</v>
      </c>
      <c r="D411" s="307" t="s">
        <v>5081</v>
      </c>
      <c r="E411" s="307" t="s">
        <v>3905</v>
      </c>
      <c r="F411" s="307" t="s">
        <v>3906</v>
      </c>
      <c r="G411" s="307" t="s">
        <v>3907</v>
      </c>
    </row>
    <row r="412" spans="1:7" ht="13.5">
      <c r="A412" s="307" t="s">
        <v>5082</v>
      </c>
      <c r="B412" s="307" t="s">
        <v>5083</v>
      </c>
      <c r="C412" s="307" t="s">
        <v>4069</v>
      </c>
      <c r="D412" s="307" t="s">
        <v>5084</v>
      </c>
      <c r="E412" s="307" t="s">
        <v>3905</v>
      </c>
      <c r="F412" s="307" t="s">
        <v>3906</v>
      </c>
      <c r="G412" s="307" t="s">
        <v>3907</v>
      </c>
    </row>
    <row r="413" spans="1:7" ht="13.5">
      <c r="A413" s="307" t="s">
        <v>5085</v>
      </c>
      <c r="B413" s="307" t="s">
        <v>5086</v>
      </c>
      <c r="C413" s="307" t="s">
        <v>4069</v>
      </c>
      <c r="D413" s="307" t="s">
        <v>5087</v>
      </c>
      <c r="E413" s="307" t="s">
        <v>3905</v>
      </c>
      <c r="F413" s="307" t="s">
        <v>3906</v>
      </c>
      <c r="G413" s="307" t="s">
        <v>3907</v>
      </c>
    </row>
    <row r="414" spans="1:7" ht="13.5">
      <c r="A414" s="307" t="s">
        <v>5088</v>
      </c>
      <c r="B414" s="307" t="s">
        <v>5089</v>
      </c>
      <c r="C414" s="307" t="s">
        <v>4069</v>
      </c>
      <c r="D414" s="307" t="s">
        <v>5090</v>
      </c>
      <c r="E414" s="307" t="s">
        <v>3905</v>
      </c>
      <c r="F414" s="307" t="s">
        <v>3906</v>
      </c>
      <c r="G414" s="307" t="s">
        <v>3907</v>
      </c>
    </row>
    <row r="415" spans="1:7" ht="13.5">
      <c r="A415" s="307" t="s">
        <v>5091</v>
      </c>
      <c r="B415" s="307" t="s">
        <v>5092</v>
      </c>
      <c r="C415" s="307" t="s">
        <v>4069</v>
      </c>
      <c r="D415" s="307" t="s">
        <v>5093</v>
      </c>
      <c r="E415" s="307" t="s">
        <v>3905</v>
      </c>
      <c r="F415" s="307" t="s">
        <v>3906</v>
      </c>
      <c r="G415" s="307" t="s">
        <v>3907</v>
      </c>
    </row>
    <row r="416" spans="1:7" ht="13.5">
      <c r="A416" s="307" t="s">
        <v>5094</v>
      </c>
      <c r="B416" s="307" t="s">
        <v>5095</v>
      </c>
      <c r="C416" s="307" t="s">
        <v>4069</v>
      </c>
      <c r="D416" s="307" t="s">
        <v>5096</v>
      </c>
      <c r="E416" s="307" t="s">
        <v>3905</v>
      </c>
      <c r="F416" s="307" t="s">
        <v>3906</v>
      </c>
      <c r="G416" s="307" t="s">
        <v>3907</v>
      </c>
    </row>
    <row r="417" spans="1:7" ht="13.5">
      <c r="A417" s="307" t="s">
        <v>5097</v>
      </c>
      <c r="B417" s="307" t="s">
        <v>5098</v>
      </c>
      <c r="C417" s="307" t="s">
        <v>4069</v>
      </c>
      <c r="D417" s="307" t="s">
        <v>5099</v>
      </c>
      <c r="E417" s="307" t="s">
        <v>3905</v>
      </c>
      <c r="F417" s="307" t="s">
        <v>3906</v>
      </c>
      <c r="G417" s="307" t="s">
        <v>3907</v>
      </c>
    </row>
    <row r="418" spans="1:7" ht="13.5">
      <c r="A418" s="307" t="s">
        <v>592</v>
      </c>
      <c r="B418" s="307" t="s">
        <v>829</v>
      </c>
      <c r="C418" s="307" t="s">
        <v>4069</v>
      </c>
      <c r="D418" s="307" t="s">
        <v>5100</v>
      </c>
      <c r="E418" s="307" t="s">
        <v>3905</v>
      </c>
      <c r="F418" s="307" t="s">
        <v>3906</v>
      </c>
      <c r="G418" s="307" t="s">
        <v>3907</v>
      </c>
    </row>
    <row r="419" spans="1:7" ht="13.5">
      <c r="A419" s="307" t="s">
        <v>5101</v>
      </c>
      <c r="B419" s="307" t="s">
        <v>5102</v>
      </c>
      <c r="C419" s="307" t="s">
        <v>4069</v>
      </c>
      <c r="D419" s="307" t="s">
        <v>5103</v>
      </c>
      <c r="E419" s="307" t="s">
        <v>3905</v>
      </c>
      <c r="F419" s="307" t="s">
        <v>3906</v>
      </c>
      <c r="G419" s="307" t="s">
        <v>3907</v>
      </c>
    </row>
    <row r="420" spans="1:7" ht="13.5">
      <c r="A420" s="307" t="s">
        <v>5104</v>
      </c>
      <c r="B420" s="307" t="s">
        <v>5105</v>
      </c>
      <c r="C420" s="307" t="s">
        <v>4069</v>
      </c>
      <c r="D420" s="307" t="s">
        <v>5106</v>
      </c>
      <c r="E420" s="307" t="s">
        <v>3905</v>
      </c>
      <c r="F420" s="307" t="s">
        <v>3906</v>
      </c>
      <c r="G420" s="307" t="s">
        <v>3907</v>
      </c>
    </row>
    <row r="421" spans="1:7" ht="13.5">
      <c r="A421" s="307" t="s">
        <v>5107</v>
      </c>
      <c r="B421" s="307" t="s">
        <v>5108</v>
      </c>
      <c r="C421" s="307" t="s">
        <v>4069</v>
      </c>
      <c r="D421" s="307" t="s">
        <v>5109</v>
      </c>
      <c r="E421" s="307" t="s">
        <v>4021</v>
      </c>
      <c r="F421" s="307" t="s">
        <v>3906</v>
      </c>
      <c r="G421" s="307" t="s">
        <v>3907</v>
      </c>
    </row>
    <row r="422" spans="1:7" ht="13.5">
      <c r="A422" s="307" t="s">
        <v>5110</v>
      </c>
      <c r="B422" s="307" t="s">
        <v>5111</v>
      </c>
      <c r="C422" s="307" t="s">
        <v>4069</v>
      </c>
      <c r="D422" s="307" t="s">
        <v>5112</v>
      </c>
      <c r="E422" s="307" t="s">
        <v>3905</v>
      </c>
      <c r="F422" s="307" t="s">
        <v>3906</v>
      </c>
      <c r="G422" s="307" t="s">
        <v>3907</v>
      </c>
    </row>
    <row r="423" spans="1:7" ht="13.5">
      <c r="A423" s="307" t="s">
        <v>5113</v>
      </c>
      <c r="B423" s="307" t="s">
        <v>5114</v>
      </c>
      <c r="C423" s="307" t="s">
        <v>4069</v>
      </c>
      <c r="D423" s="307" t="s">
        <v>5115</v>
      </c>
      <c r="E423" s="307" t="s">
        <v>3905</v>
      </c>
      <c r="F423" s="307" t="s">
        <v>3906</v>
      </c>
      <c r="G423" s="307" t="s">
        <v>3907</v>
      </c>
    </row>
    <row r="424" spans="1:7" ht="13.5">
      <c r="A424" s="307" t="s">
        <v>578</v>
      </c>
      <c r="B424" s="307" t="s">
        <v>5116</v>
      </c>
      <c r="C424" s="307" t="s">
        <v>4069</v>
      </c>
      <c r="D424" s="307" t="s">
        <v>5117</v>
      </c>
      <c r="E424" s="307" t="s">
        <v>3905</v>
      </c>
      <c r="F424" s="307" t="s">
        <v>3906</v>
      </c>
      <c r="G424" s="307" t="s">
        <v>3907</v>
      </c>
    </row>
    <row r="425" spans="1:7" ht="13.5">
      <c r="A425" s="307" t="s">
        <v>5118</v>
      </c>
      <c r="B425" s="307" t="s">
        <v>5119</v>
      </c>
      <c r="C425" s="307" t="s">
        <v>4069</v>
      </c>
      <c r="D425" s="307" t="s">
        <v>5120</v>
      </c>
      <c r="E425" s="307" t="s">
        <v>3905</v>
      </c>
      <c r="F425" s="307" t="s">
        <v>3906</v>
      </c>
      <c r="G425" s="307" t="s">
        <v>3907</v>
      </c>
    </row>
    <row r="426" spans="1:7" ht="13.5">
      <c r="A426" s="307" t="s">
        <v>5121</v>
      </c>
      <c r="B426" s="307" t="s">
        <v>5122</v>
      </c>
      <c r="C426" s="307" t="s">
        <v>4069</v>
      </c>
      <c r="D426" s="307" t="s">
        <v>5123</v>
      </c>
      <c r="E426" s="307" t="s">
        <v>3905</v>
      </c>
      <c r="F426" s="307" t="s">
        <v>3906</v>
      </c>
      <c r="G426" s="307" t="s">
        <v>3907</v>
      </c>
    </row>
    <row r="427" spans="1:7" ht="13.5">
      <c r="A427" s="307" t="s">
        <v>5124</v>
      </c>
      <c r="B427" s="307" t="s">
        <v>5125</v>
      </c>
      <c r="C427" s="307" t="s">
        <v>4069</v>
      </c>
      <c r="D427" s="307" t="s">
        <v>5126</v>
      </c>
      <c r="E427" s="307" t="s">
        <v>3905</v>
      </c>
      <c r="F427" s="307" t="s">
        <v>3906</v>
      </c>
      <c r="G427" s="307" t="s">
        <v>3907</v>
      </c>
    </row>
    <row r="428" spans="1:7" ht="13.5">
      <c r="A428" s="307" t="s">
        <v>5127</v>
      </c>
      <c r="B428" s="307" t="s">
        <v>5128</v>
      </c>
      <c r="C428" s="307" t="s">
        <v>4069</v>
      </c>
      <c r="D428" s="307" t="s">
        <v>5129</v>
      </c>
      <c r="E428" s="307" t="s">
        <v>3905</v>
      </c>
      <c r="F428" s="307" t="s">
        <v>3906</v>
      </c>
      <c r="G428" s="307" t="s">
        <v>3907</v>
      </c>
    </row>
    <row r="429" spans="1:7" ht="13.5">
      <c r="A429" s="307" t="s">
        <v>5130</v>
      </c>
      <c r="B429" s="307" t="s">
        <v>5131</v>
      </c>
      <c r="C429" s="307" t="s">
        <v>4069</v>
      </c>
      <c r="D429" s="307" t="s">
        <v>5132</v>
      </c>
      <c r="E429" s="307" t="s">
        <v>3905</v>
      </c>
      <c r="F429" s="307" t="s">
        <v>3906</v>
      </c>
      <c r="G429" s="307" t="s">
        <v>3907</v>
      </c>
    </row>
    <row r="430" spans="1:7" ht="13.5">
      <c r="A430" s="307" t="s">
        <v>5133</v>
      </c>
      <c r="B430" s="307" t="s">
        <v>5134</v>
      </c>
      <c r="C430" s="307" t="s">
        <v>4069</v>
      </c>
      <c r="D430" s="307" t="s">
        <v>5135</v>
      </c>
      <c r="E430" s="307" t="s">
        <v>3905</v>
      </c>
      <c r="F430" s="307" t="s">
        <v>3906</v>
      </c>
      <c r="G430" s="307" t="s">
        <v>3907</v>
      </c>
    </row>
    <row r="431" spans="1:7" ht="13.5">
      <c r="A431" s="307" t="s">
        <v>5136</v>
      </c>
      <c r="B431" s="307" t="s">
        <v>5137</v>
      </c>
      <c r="C431" s="307" t="s">
        <v>4069</v>
      </c>
      <c r="D431" s="307" t="s">
        <v>5138</v>
      </c>
      <c r="E431" s="307" t="s">
        <v>3905</v>
      </c>
      <c r="F431" s="307" t="s">
        <v>3906</v>
      </c>
      <c r="G431" s="307" t="s">
        <v>3907</v>
      </c>
    </row>
    <row r="432" spans="1:7" ht="13.5">
      <c r="A432" s="307" t="s">
        <v>5139</v>
      </c>
      <c r="B432" s="307" t="s">
        <v>5140</v>
      </c>
      <c r="C432" s="307" t="s">
        <v>4069</v>
      </c>
      <c r="D432" s="307" t="s">
        <v>5141</v>
      </c>
      <c r="E432" s="307" t="s">
        <v>3905</v>
      </c>
      <c r="F432" s="307" t="s">
        <v>3906</v>
      </c>
      <c r="G432" s="307" t="s">
        <v>3907</v>
      </c>
    </row>
    <row r="433" spans="1:7" ht="13.5">
      <c r="A433" s="307" t="s">
        <v>5142</v>
      </c>
      <c r="B433" s="307" t="s">
        <v>5143</v>
      </c>
      <c r="C433" s="307" t="s">
        <v>4069</v>
      </c>
      <c r="D433" s="307" t="s">
        <v>5144</v>
      </c>
      <c r="E433" s="307" t="s">
        <v>4021</v>
      </c>
      <c r="F433" s="307" t="s">
        <v>3906</v>
      </c>
      <c r="G433" s="307" t="s">
        <v>3907</v>
      </c>
    </row>
    <row r="434" spans="1:7" ht="13.5">
      <c r="A434" s="307" t="s">
        <v>5145</v>
      </c>
      <c r="B434" s="307" t="s">
        <v>5146</v>
      </c>
      <c r="C434" s="307" t="s">
        <v>4069</v>
      </c>
      <c r="D434" s="307" t="s">
        <v>5147</v>
      </c>
      <c r="E434" s="307" t="s">
        <v>3905</v>
      </c>
      <c r="F434" s="307" t="s">
        <v>3906</v>
      </c>
      <c r="G434" s="307" t="s">
        <v>3907</v>
      </c>
    </row>
    <row r="435" spans="1:7" ht="13.5">
      <c r="A435" s="307" t="s">
        <v>5148</v>
      </c>
      <c r="B435" s="307" t="s">
        <v>5149</v>
      </c>
      <c r="C435" s="307" t="s">
        <v>4069</v>
      </c>
      <c r="D435" s="307" t="s">
        <v>5150</v>
      </c>
      <c r="E435" s="307" t="s">
        <v>3905</v>
      </c>
      <c r="F435" s="307" t="s">
        <v>3906</v>
      </c>
      <c r="G435" s="307" t="s">
        <v>3907</v>
      </c>
    </row>
    <row r="436" spans="1:7" ht="13.5">
      <c r="A436" s="307" t="s">
        <v>5151</v>
      </c>
      <c r="B436" s="307" t="s">
        <v>5152</v>
      </c>
      <c r="C436" s="307" t="s">
        <v>4069</v>
      </c>
      <c r="D436" s="307" t="s">
        <v>5153</v>
      </c>
      <c r="E436" s="307" t="s">
        <v>3905</v>
      </c>
      <c r="F436" s="307" t="s">
        <v>3906</v>
      </c>
      <c r="G436" s="307" t="s">
        <v>3907</v>
      </c>
    </row>
    <row r="437" spans="1:7" ht="13.5">
      <c r="A437" s="307" t="s">
        <v>5154</v>
      </c>
      <c r="B437" s="307" t="s">
        <v>596</v>
      </c>
      <c r="C437" s="307" t="s">
        <v>4069</v>
      </c>
      <c r="D437" s="307" t="s">
        <v>5155</v>
      </c>
      <c r="E437" s="307" t="s">
        <v>3905</v>
      </c>
      <c r="F437" s="307" t="s">
        <v>3906</v>
      </c>
      <c r="G437" s="307" t="s">
        <v>3907</v>
      </c>
    </row>
    <row r="438" spans="1:7" ht="13.5">
      <c r="A438" s="307" t="s">
        <v>5156</v>
      </c>
      <c r="B438" s="307" t="s">
        <v>5157</v>
      </c>
      <c r="C438" s="307" t="s">
        <v>4069</v>
      </c>
      <c r="D438" s="307" t="s">
        <v>5158</v>
      </c>
      <c r="E438" s="307" t="s">
        <v>3905</v>
      </c>
      <c r="F438" s="307" t="s">
        <v>3906</v>
      </c>
      <c r="G438" s="307" t="s">
        <v>3907</v>
      </c>
    </row>
    <row r="439" spans="1:7" ht="13.5">
      <c r="A439" s="307" t="s">
        <v>5159</v>
      </c>
      <c r="B439" s="307" t="s">
        <v>5160</v>
      </c>
      <c r="C439" s="307" t="s">
        <v>4069</v>
      </c>
      <c r="D439" s="307" t="s">
        <v>5161</v>
      </c>
      <c r="E439" s="307" t="s">
        <v>3905</v>
      </c>
      <c r="F439" s="307" t="s">
        <v>3906</v>
      </c>
      <c r="G439" s="307" t="s">
        <v>3907</v>
      </c>
    </row>
    <row r="440" spans="1:7" ht="13.5">
      <c r="A440" s="307" t="s">
        <v>5162</v>
      </c>
      <c r="B440" s="307" t="s">
        <v>5163</v>
      </c>
      <c r="C440" s="307" t="s">
        <v>4069</v>
      </c>
      <c r="D440" s="307" t="s">
        <v>5164</v>
      </c>
      <c r="E440" s="307" t="s">
        <v>3905</v>
      </c>
      <c r="F440" s="307" t="s">
        <v>3906</v>
      </c>
      <c r="G440" s="307" t="s">
        <v>3907</v>
      </c>
    </row>
    <row r="441" spans="1:7" ht="13.5">
      <c r="A441" s="307" t="s">
        <v>5165</v>
      </c>
      <c r="B441" s="307" t="s">
        <v>5166</v>
      </c>
      <c r="C441" s="307" t="s">
        <v>4069</v>
      </c>
      <c r="D441" s="307" t="s">
        <v>5167</v>
      </c>
      <c r="E441" s="307" t="s">
        <v>3905</v>
      </c>
      <c r="F441" s="307" t="s">
        <v>3906</v>
      </c>
      <c r="G441" s="307" t="s">
        <v>3907</v>
      </c>
    </row>
    <row r="442" spans="1:7" ht="13.5">
      <c r="A442" s="307" t="s">
        <v>5168</v>
      </c>
      <c r="B442" s="307" t="s">
        <v>5169</v>
      </c>
      <c r="C442" s="307" t="s">
        <v>4069</v>
      </c>
      <c r="D442" s="307" t="s">
        <v>5170</v>
      </c>
      <c r="E442" s="307" t="s">
        <v>3905</v>
      </c>
      <c r="F442" s="307" t="s">
        <v>3906</v>
      </c>
      <c r="G442" s="307" t="s">
        <v>3907</v>
      </c>
    </row>
    <row r="443" spans="1:7" ht="13.5">
      <c r="A443" s="307" t="s">
        <v>574</v>
      </c>
      <c r="B443" s="307" t="s">
        <v>817</v>
      </c>
      <c r="C443" s="307" t="s">
        <v>4069</v>
      </c>
      <c r="D443" s="307" t="s">
        <v>5171</v>
      </c>
      <c r="E443" s="307" t="s">
        <v>3905</v>
      </c>
      <c r="F443" s="307" t="s">
        <v>3906</v>
      </c>
      <c r="G443" s="307" t="s">
        <v>3907</v>
      </c>
    </row>
    <row r="444" spans="1:7" ht="13.5">
      <c r="A444" s="307" t="s">
        <v>5172</v>
      </c>
      <c r="B444" s="307" t="s">
        <v>5173</v>
      </c>
      <c r="C444" s="307" t="s">
        <v>4069</v>
      </c>
      <c r="D444" s="307" t="s">
        <v>5174</v>
      </c>
      <c r="E444" s="307" t="s">
        <v>3905</v>
      </c>
      <c r="F444" s="307" t="s">
        <v>3906</v>
      </c>
      <c r="G444" s="307" t="s">
        <v>3907</v>
      </c>
    </row>
    <row r="445" spans="1:7" ht="13.5">
      <c r="A445" s="307" t="s">
        <v>5175</v>
      </c>
      <c r="B445" s="307" t="s">
        <v>836</v>
      </c>
      <c r="C445" s="307" t="s">
        <v>4069</v>
      </c>
      <c r="D445" s="307" t="s">
        <v>5176</v>
      </c>
      <c r="E445" s="307" t="s">
        <v>3905</v>
      </c>
      <c r="F445" s="307" t="s">
        <v>3906</v>
      </c>
      <c r="G445" s="307" t="s">
        <v>3907</v>
      </c>
    </row>
    <row r="446" spans="1:7" ht="13.5">
      <c r="A446" s="307" t="s">
        <v>5177</v>
      </c>
      <c r="B446" s="307" t="s">
        <v>5178</v>
      </c>
      <c r="C446" s="307" t="s">
        <v>4069</v>
      </c>
      <c r="D446" s="307" t="s">
        <v>5179</v>
      </c>
      <c r="E446" s="307" t="s">
        <v>3905</v>
      </c>
      <c r="F446" s="307" t="s">
        <v>3906</v>
      </c>
      <c r="G446" s="307" t="s">
        <v>3907</v>
      </c>
    </row>
    <row r="447" spans="1:7" ht="13.5">
      <c r="A447" s="307" t="s">
        <v>5180</v>
      </c>
      <c r="B447" s="307" t="s">
        <v>5181</v>
      </c>
      <c r="C447" s="307" t="s">
        <v>4069</v>
      </c>
      <c r="D447" s="307" t="s">
        <v>5182</v>
      </c>
      <c r="E447" s="307" t="s">
        <v>3905</v>
      </c>
      <c r="F447" s="307" t="s">
        <v>3906</v>
      </c>
      <c r="G447" s="307" t="s">
        <v>3907</v>
      </c>
    </row>
    <row r="448" spans="1:7" ht="13.5">
      <c r="A448" s="307" t="s">
        <v>5183</v>
      </c>
      <c r="B448" s="307" t="s">
        <v>5184</v>
      </c>
      <c r="C448" s="307" t="s">
        <v>4069</v>
      </c>
      <c r="D448" s="307" t="s">
        <v>5185</v>
      </c>
      <c r="E448" s="307" t="s">
        <v>3905</v>
      </c>
      <c r="F448" s="307" t="s">
        <v>3906</v>
      </c>
      <c r="G448" s="307" t="s">
        <v>3907</v>
      </c>
    </row>
    <row r="449" spans="1:7" ht="13.5">
      <c r="A449" s="307" t="s">
        <v>5186</v>
      </c>
      <c r="B449" s="307" t="s">
        <v>5187</v>
      </c>
      <c r="C449" s="307" t="s">
        <v>4069</v>
      </c>
      <c r="D449" s="307" t="s">
        <v>5188</v>
      </c>
      <c r="E449" s="307" t="s">
        <v>3905</v>
      </c>
      <c r="F449" s="307" t="s">
        <v>3906</v>
      </c>
      <c r="G449" s="307" t="s">
        <v>3907</v>
      </c>
    </row>
    <row r="450" spans="1:7" ht="13.5">
      <c r="A450" s="307" t="s">
        <v>5189</v>
      </c>
      <c r="B450" s="307" t="s">
        <v>5190</v>
      </c>
      <c r="C450" s="307" t="s">
        <v>4069</v>
      </c>
      <c r="D450" s="307" t="s">
        <v>5191</v>
      </c>
      <c r="E450" s="307" t="s">
        <v>3905</v>
      </c>
      <c r="F450" s="307" t="s">
        <v>3906</v>
      </c>
      <c r="G450" s="307" t="s">
        <v>3907</v>
      </c>
    </row>
    <row r="451" spans="1:7" ht="13.5">
      <c r="A451" s="307" t="s">
        <v>5192</v>
      </c>
      <c r="B451" s="307" t="s">
        <v>5193</v>
      </c>
      <c r="C451" s="307" t="s">
        <v>4069</v>
      </c>
      <c r="D451" s="307" t="s">
        <v>5194</v>
      </c>
      <c r="E451" s="307" t="s">
        <v>3905</v>
      </c>
      <c r="F451" s="307" t="s">
        <v>3906</v>
      </c>
      <c r="G451" s="307" t="s">
        <v>3907</v>
      </c>
    </row>
    <row r="452" spans="1:7" ht="13.5">
      <c r="A452" s="307" t="s">
        <v>5195</v>
      </c>
      <c r="B452" s="307" t="s">
        <v>5196</v>
      </c>
      <c r="C452" s="307" t="s">
        <v>4069</v>
      </c>
      <c r="D452" s="307" t="s">
        <v>5197</v>
      </c>
      <c r="E452" s="307" t="s">
        <v>3905</v>
      </c>
      <c r="F452" s="307" t="s">
        <v>3906</v>
      </c>
      <c r="G452" s="307" t="s">
        <v>3907</v>
      </c>
    </row>
    <row r="453" spans="1:7" ht="13.5">
      <c r="A453" s="307" t="s">
        <v>5198</v>
      </c>
      <c r="B453" s="307" t="s">
        <v>5199</v>
      </c>
      <c r="C453" s="307" t="s">
        <v>4069</v>
      </c>
      <c r="D453" s="307" t="s">
        <v>5200</v>
      </c>
      <c r="E453" s="307" t="s">
        <v>3905</v>
      </c>
      <c r="F453" s="307" t="s">
        <v>3906</v>
      </c>
      <c r="G453" s="307" t="s">
        <v>3907</v>
      </c>
    </row>
    <row r="454" spans="1:7" ht="13.5">
      <c r="A454" s="307" t="s">
        <v>5201</v>
      </c>
      <c r="B454" s="307" t="s">
        <v>5202</v>
      </c>
      <c r="C454" s="307" t="s">
        <v>4069</v>
      </c>
      <c r="D454" s="307" t="s">
        <v>5203</v>
      </c>
      <c r="E454" s="307" t="s">
        <v>3905</v>
      </c>
      <c r="F454" s="307" t="s">
        <v>3906</v>
      </c>
      <c r="G454" s="307" t="s">
        <v>3907</v>
      </c>
    </row>
    <row r="455" spans="1:7" ht="13.5">
      <c r="A455" s="307" t="s">
        <v>5204</v>
      </c>
      <c r="B455" s="307" t="s">
        <v>5205</v>
      </c>
      <c r="C455" s="307" t="s">
        <v>4069</v>
      </c>
      <c r="D455" s="307" t="s">
        <v>5206</v>
      </c>
      <c r="E455" s="307" t="s">
        <v>3905</v>
      </c>
      <c r="F455" s="307" t="s">
        <v>3906</v>
      </c>
      <c r="G455" s="307" t="s">
        <v>3907</v>
      </c>
    </row>
    <row r="456" spans="1:7" ht="13.5">
      <c r="A456" s="307" t="s">
        <v>567</v>
      </c>
      <c r="B456" s="307" t="s">
        <v>845</v>
      </c>
      <c r="C456" s="307" t="s">
        <v>4069</v>
      </c>
      <c r="D456" s="307" t="s">
        <v>5207</v>
      </c>
      <c r="E456" s="307" t="s">
        <v>3905</v>
      </c>
      <c r="F456" s="307" t="s">
        <v>3906</v>
      </c>
      <c r="G456" s="307" t="s">
        <v>3907</v>
      </c>
    </row>
    <row r="457" spans="1:7" ht="13.5">
      <c r="A457" s="307" t="s">
        <v>5208</v>
      </c>
      <c r="B457" s="307" t="s">
        <v>5209</v>
      </c>
      <c r="C457" s="307" t="s">
        <v>4069</v>
      </c>
      <c r="D457" s="307" t="s">
        <v>5210</v>
      </c>
      <c r="E457" s="307" t="s">
        <v>3905</v>
      </c>
      <c r="F457" s="307" t="s">
        <v>3906</v>
      </c>
      <c r="G457" s="307" t="s">
        <v>3907</v>
      </c>
    </row>
    <row r="458" spans="1:7" ht="13.5">
      <c r="A458" s="307" t="s">
        <v>5211</v>
      </c>
      <c r="B458" s="307" t="s">
        <v>5212</v>
      </c>
      <c r="C458" s="307" t="s">
        <v>4069</v>
      </c>
      <c r="D458" s="307" t="s">
        <v>5213</v>
      </c>
      <c r="E458" s="307" t="s">
        <v>3905</v>
      </c>
      <c r="F458" s="307" t="s">
        <v>3906</v>
      </c>
      <c r="G458" s="307" t="s">
        <v>3907</v>
      </c>
    </row>
    <row r="459" spans="1:7" ht="13.5">
      <c r="A459" s="307" t="s">
        <v>5214</v>
      </c>
      <c r="B459" s="307" t="s">
        <v>5215</v>
      </c>
      <c r="C459" s="307" t="s">
        <v>4069</v>
      </c>
      <c r="D459" s="307" t="s">
        <v>5216</v>
      </c>
      <c r="E459" s="307" t="s">
        <v>3905</v>
      </c>
      <c r="F459" s="307" t="s">
        <v>3906</v>
      </c>
      <c r="G459" s="307" t="s">
        <v>3907</v>
      </c>
    </row>
    <row r="460" spans="1:7" ht="13.5">
      <c r="A460" s="307" t="s">
        <v>5217</v>
      </c>
      <c r="B460" s="307" t="s">
        <v>5218</v>
      </c>
      <c r="C460" s="307" t="s">
        <v>4069</v>
      </c>
      <c r="D460" s="307" t="s">
        <v>5219</v>
      </c>
      <c r="E460" s="307" t="s">
        <v>3905</v>
      </c>
      <c r="F460" s="307" t="s">
        <v>3906</v>
      </c>
      <c r="G460" s="307" t="s">
        <v>3907</v>
      </c>
    </row>
    <row r="461" spans="1:7" ht="13.5">
      <c r="A461" s="307" t="s">
        <v>5220</v>
      </c>
      <c r="B461" s="307" t="s">
        <v>5221</v>
      </c>
      <c r="C461" s="307" t="s">
        <v>4069</v>
      </c>
      <c r="D461" s="307" t="s">
        <v>5222</v>
      </c>
      <c r="E461" s="307" t="s">
        <v>3905</v>
      </c>
      <c r="F461" s="307" t="s">
        <v>3906</v>
      </c>
      <c r="G461" s="307" t="s">
        <v>3907</v>
      </c>
    </row>
    <row r="462" spans="1:7" ht="13.5">
      <c r="A462" s="307" t="s">
        <v>5223</v>
      </c>
      <c r="B462" s="307" t="s">
        <v>5224</v>
      </c>
      <c r="C462" s="307" t="s">
        <v>4069</v>
      </c>
      <c r="D462" s="307" t="s">
        <v>5225</v>
      </c>
      <c r="E462" s="307" t="s">
        <v>3905</v>
      </c>
      <c r="F462" s="307" t="s">
        <v>3906</v>
      </c>
      <c r="G462" s="307" t="s">
        <v>3907</v>
      </c>
    </row>
    <row r="463" spans="1:7" ht="13.5">
      <c r="A463" s="307" t="s">
        <v>5226</v>
      </c>
      <c r="B463" s="307" t="s">
        <v>5227</v>
      </c>
      <c r="C463" s="307" t="s">
        <v>4069</v>
      </c>
      <c r="D463" s="307" t="s">
        <v>5228</v>
      </c>
      <c r="E463" s="307" t="s">
        <v>3905</v>
      </c>
      <c r="F463" s="307" t="s">
        <v>3906</v>
      </c>
      <c r="G463" s="307" t="s">
        <v>3907</v>
      </c>
    </row>
    <row r="464" spans="1:7" ht="13.5">
      <c r="A464" s="307" t="s">
        <v>5229</v>
      </c>
      <c r="B464" s="307" t="s">
        <v>5230</v>
      </c>
      <c r="C464" s="307" t="s">
        <v>4069</v>
      </c>
      <c r="D464" s="307" t="s">
        <v>5231</v>
      </c>
      <c r="E464" s="307" t="s">
        <v>3905</v>
      </c>
      <c r="F464" s="307" t="s">
        <v>3906</v>
      </c>
      <c r="G464" s="307" t="s">
        <v>3907</v>
      </c>
    </row>
    <row r="465" spans="1:7" ht="13.5">
      <c r="A465" s="307" t="s">
        <v>5232</v>
      </c>
      <c r="B465" s="307" t="s">
        <v>5233</v>
      </c>
      <c r="C465" s="307" t="s">
        <v>4069</v>
      </c>
      <c r="D465" s="307" t="s">
        <v>5234</v>
      </c>
      <c r="E465" s="307" t="s">
        <v>3905</v>
      </c>
      <c r="F465" s="307" t="s">
        <v>3906</v>
      </c>
      <c r="G465" s="307" t="s">
        <v>3907</v>
      </c>
    </row>
    <row r="466" spans="1:7" ht="13.5">
      <c r="A466" s="307" t="s">
        <v>5235</v>
      </c>
      <c r="B466" s="307" t="s">
        <v>5236</v>
      </c>
      <c r="C466" s="307" t="s">
        <v>4069</v>
      </c>
      <c r="D466" s="307" t="s">
        <v>5237</v>
      </c>
      <c r="E466" s="307" t="s">
        <v>3905</v>
      </c>
      <c r="F466" s="307" t="s">
        <v>3906</v>
      </c>
      <c r="G466" s="307" t="s">
        <v>3907</v>
      </c>
    </row>
    <row r="467" spans="1:7" ht="13.5">
      <c r="A467" s="307" t="s">
        <v>5238</v>
      </c>
      <c r="B467" s="307" t="s">
        <v>807</v>
      </c>
      <c r="C467" s="307" t="s">
        <v>4069</v>
      </c>
      <c r="D467" s="307" t="s">
        <v>5239</v>
      </c>
      <c r="E467" s="307" t="s">
        <v>3905</v>
      </c>
      <c r="F467" s="307" t="s">
        <v>3906</v>
      </c>
      <c r="G467" s="307" t="s">
        <v>3907</v>
      </c>
    </row>
    <row r="468" spans="1:7" ht="13.5">
      <c r="A468" s="307" t="s">
        <v>5240</v>
      </c>
      <c r="B468" s="307" t="s">
        <v>5241</v>
      </c>
      <c r="C468" s="307" t="s">
        <v>4069</v>
      </c>
      <c r="D468" s="307" t="s">
        <v>5242</v>
      </c>
      <c r="E468" s="307" t="s">
        <v>3905</v>
      </c>
      <c r="F468" s="307" t="s">
        <v>3906</v>
      </c>
      <c r="G468" s="307" t="s">
        <v>3907</v>
      </c>
    </row>
    <row r="469" spans="1:7" ht="13.5">
      <c r="A469" s="307" t="s">
        <v>5243</v>
      </c>
      <c r="B469" s="307" t="s">
        <v>5244</v>
      </c>
      <c r="C469" s="307" t="s">
        <v>4069</v>
      </c>
      <c r="D469" s="307" t="s">
        <v>5245</v>
      </c>
      <c r="E469" s="307" t="s">
        <v>3905</v>
      </c>
      <c r="F469" s="307" t="s">
        <v>3906</v>
      </c>
      <c r="G469" s="307" t="s">
        <v>3907</v>
      </c>
    </row>
    <row r="470" spans="1:7" ht="13.5">
      <c r="A470" s="307" t="s">
        <v>5246</v>
      </c>
      <c r="B470" s="307" t="s">
        <v>5247</v>
      </c>
      <c r="C470" s="307" t="s">
        <v>4069</v>
      </c>
      <c r="D470" s="307" t="s">
        <v>5248</v>
      </c>
      <c r="E470" s="307" t="s">
        <v>3905</v>
      </c>
      <c r="F470" s="307" t="s">
        <v>3906</v>
      </c>
      <c r="G470" s="307" t="s">
        <v>3907</v>
      </c>
    </row>
    <row r="471" spans="1:7" ht="13.5">
      <c r="A471" s="307" t="s">
        <v>5249</v>
      </c>
      <c r="B471" s="307" t="s">
        <v>572</v>
      </c>
      <c r="C471" s="307" t="s">
        <v>4069</v>
      </c>
      <c r="D471" s="307" t="s">
        <v>5250</v>
      </c>
      <c r="E471" s="307" t="s">
        <v>3905</v>
      </c>
      <c r="F471" s="307" t="s">
        <v>3906</v>
      </c>
      <c r="G471" s="307" t="s">
        <v>3907</v>
      </c>
    </row>
    <row r="472" spans="1:7" ht="13.5">
      <c r="A472" s="307" t="s">
        <v>5251</v>
      </c>
      <c r="B472" s="307" t="s">
        <v>5252</v>
      </c>
      <c r="C472" s="307" t="s">
        <v>4069</v>
      </c>
      <c r="D472" s="307" t="s">
        <v>5253</v>
      </c>
      <c r="E472" s="307" t="s">
        <v>3905</v>
      </c>
      <c r="F472" s="307" t="s">
        <v>3906</v>
      </c>
      <c r="G472" s="307" t="s">
        <v>3907</v>
      </c>
    </row>
    <row r="473" spans="1:7" ht="13.5">
      <c r="A473" s="307" t="s">
        <v>5254</v>
      </c>
      <c r="B473" s="307" t="s">
        <v>5255</v>
      </c>
      <c r="C473" s="307" t="s">
        <v>4069</v>
      </c>
      <c r="D473" s="307" t="s">
        <v>5256</v>
      </c>
      <c r="E473" s="307" t="s">
        <v>3905</v>
      </c>
      <c r="F473" s="307" t="s">
        <v>3906</v>
      </c>
      <c r="G473" s="307" t="s">
        <v>3907</v>
      </c>
    </row>
    <row r="474" spans="1:7" ht="13.5">
      <c r="A474" s="307" t="s">
        <v>5257</v>
      </c>
      <c r="B474" s="307" t="s">
        <v>5258</v>
      </c>
      <c r="C474" s="307" t="s">
        <v>4069</v>
      </c>
      <c r="D474" s="307" t="s">
        <v>5259</v>
      </c>
      <c r="E474" s="307" t="s">
        <v>3905</v>
      </c>
      <c r="F474" s="307" t="s">
        <v>3906</v>
      </c>
      <c r="G474" s="307" t="s">
        <v>3907</v>
      </c>
    </row>
    <row r="475" spans="1:7" ht="13.5">
      <c r="A475" s="307" t="s">
        <v>5260</v>
      </c>
      <c r="B475" s="307" t="s">
        <v>5261</v>
      </c>
      <c r="C475" s="307" t="s">
        <v>4069</v>
      </c>
      <c r="D475" s="307" t="s">
        <v>5262</v>
      </c>
      <c r="E475" s="307" t="s">
        <v>3905</v>
      </c>
      <c r="F475" s="307" t="s">
        <v>3906</v>
      </c>
      <c r="G475" s="307" t="s">
        <v>3907</v>
      </c>
    </row>
    <row r="476" spans="1:7" ht="13.5">
      <c r="A476" s="307" t="s">
        <v>5263</v>
      </c>
      <c r="B476" s="307" t="s">
        <v>5264</v>
      </c>
      <c r="C476" s="307" t="s">
        <v>4069</v>
      </c>
      <c r="D476" s="307" t="s">
        <v>5265</v>
      </c>
      <c r="E476" s="307" t="s">
        <v>3905</v>
      </c>
      <c r="F476" s="307" t="s">
        <v>3906</v>
      </c>
      <c r="G476" s="307" t="s">
        <v>3907</v>
      </c>
    </row>
    <row r="477" spans="1:7" ht="13.5">
      <c r="A477" s="307" t="s">
        <v>5266</v>
      </c>
      <c r="B477" s="307" t="s">
        <v>5267</v>
      </c>
      <c r="C477" s="307" t="s">
        <v>4069</v>
      </c>
      <c r="D477" s="307" t="s">
        <v>5268</v>
      </c>
      <c r="E477" s="307" t="s">
        <v>3905</v>
      </c>
      <c r="F477" s="307" t="s">
        <v>3906</v>
      </c>
      <c r="G477" s="307" t="s">
        <v>3907</v>
      </c>
    </row>
    <row r="478" spans="1:7" ht="13.5">
      <c r="A478" s="307" t="s">
        <v>5269</v>
      </c>
      <c r="B478" s="307" t="s">
        <v>5270</v>
      </c>
      <c r="C478" s="307" t="s">
        <v>4069</v>
      </c>
      <c r="D478" s="307" t="s">
        <v>5271</v>
      </c>
      <c r="E478" s="307" t="s">
        <v>4021</v>
      </c>
      <c r="F478" s="307" t="s">
        <v>3906</v>
      </c>
      <c r="G478" s="307" t="s">
        <v>3907</v>
      </c>
    </row>
    <row r="479" spans="1:7" ht="13.5">
      <c r="A479" s="307" t="s">
        <v>5272</v>
      </c>
      <c r="B479" s="307" t="s">
        <v>5273</v>
      </c>
      <c r="C479" s="307" t="s">
        <v>4069</v>
      </c>
      <c r="D479" s="307" t="s">
        <v>5274</v>
      </c>
      <c r="E479" s="307" t="s">
        <v>3905</v>
      </c>
      <c r="F479" s="307" t="s">
        <v>3906</v>
      </c>
      <c r="G479" s="307" t="s">
        <v>3907</v>
      </c>
    </row>
    <row r="480" spans="1:7" ht="13.5">
      <c r="A480" s="307" t="s">
        <v>5275</v>
      </c>
      <c r="B480" s="307" t="s">
        <v>5276</v>
      </c>
      <c r="C480" s="307" t="s">
        <v>4069</v>
      </c>
      <c r="D480" s="307" t="s">
        <v>5277</v>
      </c>
      <c r="E480" s="307" t="s">
        <v>3905</v>
      </c>
      <c r="F480" s="307" t="s">
        <v>3906</v>
      </c>
      <c r="G480" s="307" t="s">
        <v>3907</v>
      </c>
    </row>
    <row r="481" spans="1:7" ht="13.5">
      <c r="A481" s="307" t="s">
        <v>5278</v>
      </c>
      <c r="B481" s="307" t="s">
        <v>5279</v>
      </c>
      <c r="C481" s="307" t="s">
        <v>4069</v>
      </c>
      <c r="D481" s="307" t="s">
        <v>5280</v>
      </c>
      <c r="E481" s="307" t="s">
        <v>3905</v>
      </c>
      <c r="F481" s="307" t="s">
        <v>3906</v>
      </c>
      <c r="G481" s="307" t="s">
        <v>3907</v>
      </c>
    </row>
    <row r="482" spans="1:7" ht="13.5">
      <c r="A482" s="307" t="s">
        <v>5281</v>
      </c>
      <c r="B482" s="307" t="s">
        <v>5282</v>
      </c>
      <c r="C482" s="307" t="s">
        <v>4069</v>
      </c>
      <c r="D482" s="307" t="s">
        <v>5283</v>
      </c>
      <c r="E482" s="307" t="s">
        <v>3905</v>
      </c>
      <c r="F482" s="307" t="s">
        <v>3906</v>
      </c>
      <c r="G482" s="307" t="s">
        <v>3907</v>
      </c>
    </row>
    <row r="483" spans="1:7" ht="13.5">
      <c r="A483" s="307" t="s">
        <v>5284</v>
      </c>
      <c r="B483" s="307" t="s">
        <v>5285</v>
      </c>
      <c r="C483" s="307" t="s">
        <v>4069</v>
      </c>
      <c r="D483" s="307" t="s">
        <v>5286</v>
      </c>
      <c r="E483" s="307" t="s">
        <v>3905</v>
      </c>
      <c r="F483" s="307" t="s">
        <v>3906</v>
      </c>
      <c r="G483" s="307" t="s">
        <v>3907</v>
      </c>
    </row>
    <row r="484" spans="1:7" ht="13.5">
      <c r="A484" s="307" t="s">
        <v>5287</v>
      </c>
      <c r="B484" s="307" t="s">
        <v>5288</v>
      </c>
      <c r="C484" s="307" t="s">
        <v>4069</v>
      </c>
      <c r="D484" s="307" t="s">
        <v>5289</v>
      </c>
      <c r="E484" s="307" t="s">
        <v>3905</v>
      </c>
      <c r="F484" s="307" t="s">
        <v>3906</v>
      </c>
      <c r="G484" s="307" t="s">
        <v>3907</v>
      </c>
    </row>
    <row r="485" spans="1:7" ht="13.5">
      <c r="A485" s="307" t="s">
        <v>580</v>
      </c>
      <c r="B485" s="307" t="s">
        <v>808</v>
      </c>
      <c r="C485" s="307" t="s">
        <v>4069</v>
      </c>
      <c r="D485" s="307" t="s">
        <v>5290</v>
      </c>
      <c r="E485" s="307" t="s">
        <v>3905</v>
      </c>
      <c r="F485" s="307" t="s">
        <v>3906</v>
      </c>
      <c r="G485" s="307" t="s">
        <v>3907</v>
      </c>
    </row>
    <row r="486" spans="1:7" ht="13.5">
      <c r="A486" s="307" t="s">
        <v>5291</v>
      </c>
      <c r="B486" s="307" t="s">
        <v>5292</v>
      </c>
      <c r="C486" s="307" t="s">
        <v>4069</v>
      </c>
      <c r="D486" s="307" t="s">
        <v>5293</v>
      </c>
      <c r="E486" s="307" t="s">
        <v>3905</v>
      </c>
      <c r="F486" s="307" t="s">
        <v>3906</v>
      </c>
      <c r="G486" s="307" t="s">
        <v>3907</v>
      </c>
    </row>
    <row r="487" spans="1:7" ht="13.5">
      <c r="A487" s="307" t="s">
        <v>5294</v>
      </c>
      <c r="B487" s="307" t="s">
        <v>5295</v>
      </c>
      <c r="C487" s="307" t="s">
        <v>4069</v>
      </c>
      <c r="D487" s="307" t="s">
        <v>5296</v>
      </c>
      <c r="E487" s="307" t="s">
        <v>3905</v>
      </c>
      <c r="F487" s="307" t="s">
        <v>3906</v>
      </c>
      <c r="G487" s="307" t="s">
        <v>3907</v>
      </c>
    </row>
    <row r="488" spans="1:7" ht="13.5">
      <c r="A488" s="307" t="s">
        <v>5297</v>
      </c>
      <c r="B488" s="307" t="s">
        <v>5298</v>
      </c>
      <c r="C488" s="307" t="s">
        <v>4069</v>
      </c>
      <c r="D488" s="307" t="s">
        <v>5299</v>
      </c>
      <c r="E488" s="307" t="s">
        <v>4021</v>
      </c>
      <c r="F488" s="307" t="s">
        <v>3906</v>
      </c>
      <c r="G488" s="307" t="s">
        <v>3907</v>
      </c>
    </row>
    <row r="489" spans="1:7" ht="13.5">
      <c r="A489" s="307" t="s">
        <v>5300</v>
      </c>
      <c r="B489" s="307" t="s">
        <v>5301</v>
      </c>
      <c r="C489" s="307" t="s">
        <v>4069</v>
      </c>
      <c r="D489" s="307" t="s">
        <v>5302</v>
      </c>
      <c r="E489" s="307" t="s">
        <v>3905</v>
      </c>
      <c r="F489" s="307" t="s">
        <v>3906</v>
      </c>
      <c r="G489" s="307" t="s">
        <v>3907</v>
      </c>
    </row>
    <row r="490" spans="1:7" ht="13.5">
      <c r="A490" s="307" t="s">
        <v>5303</v>
      </c>
      <c r="B490" s="307" t="s">
        <v>5304</v>
      </c>
      <c r="C490" s="307" t="s">
        <v>4069</v>
      </c>
      <c r="D490" s="307" t="s">
        <v>5305</v>
      </c>
      <c r="E490" s="307" t="s">
        <v>3905</v>
      </c>
      <c r="F490" s="307" t="s">
        <v>3906</v>
      </c>
      <c r="G490" s="307" t="s">
        <v>3907</v>
      </c>
    </row>
    <row r="491" spans="1:7" ht="13.5">
      <c r="A491" s="307" t="s">
        <v>5306</v>
      </c>
      <c r="B491" s="307" t="s">
        <v>5307</v>
      </c>
      <c r="C491" s="307" t="s">
        <v>4069</v>
      </c>
      <c r="D491" s="307" t="s">
        <v>5308</v>
      </c>
      <c r="E491" s="307" t="s">
        <v>3905</v>
      </c>
      <c r="F491" s="307" t="s">
        <v>3906</v>
      </c>
      <c r="G491" s="307" t="s">
        <v>3907</v>
      </c>
    </row>
    <row r="492" spans="1:7" ht="13.5">
      <c r="A492" s="307" t="s">
        <v>5309</v>
      </c>
      <c r="B492" s="307" t="s">
        <v>5310</v>
      </c>
      <c r="C492" s="307" t="s">
        <v>4069</v>
      </c>
      <c r="D492" s="307" t="s">
        <v>5311</v>
      </c>
      <c r="E492" s="307" t="s">
        <v>3905</v>
      </c>
      <c r="F492" s="307" t="s">
        <v>3906</v>
      </c>
      <c r="G492" s="307" t="s">
        <v>3907</v>
      </c>
    </row>
    <row r="493" spans="1:7" ht="13.5">
      <c r="A493" s="307" t="s">
        <v>565</v>
      </c>
      <c r="B493" s="307" t="s">
        <v>5312</v>
      </c>
      <c r="C493" s="307" t="s">
        <v>4069</v>
      </c>
      <c r="D493" s="307" t="s">
        <v>5313</v>
      </c>
      <c r="E493" s="307" t="s">
        <v>3905</v>
      </c>
      <c r="F493" s="307" t="s">
        <v>3906</v>
      </c>
      <c r="G493" s="307" t="s">
        <v>3907</v>
      </c>
    </row>
    <row r="494" spans="1:7" ht="13.5">
      <c r="A494" s="307" t="s">
        <v>5314</v>
      </c>
      <c r="B494" s="307" t="s">
        <v>5315</v>
      </c>
      <c r="C494" s="307" t="s">
        <v>4069</v>
      </c>
      <c r="D494" s="307" t="s">
        <v>5316</v>
      </c>
      <c r="E494" s="307" t="s">
        <v>3905</v>
      </c>
      <c r="F494" s="307" t="s">
        <v>3906</v>
      </c>
      <c r="G494" s="307" t="s">
        <v>3907</v>
      </c>
    </row>
    <row r="495" spans="1:7" ht="13.5">
      <c r="A495" s="307" t="s">
        <v>5317</v>
      </c>
      <c r="B495" s="307" t="s">
        <v>5318</v>
      </c>
      <c r="C495" s="307" t="s">
        <v>4069</v>
      </c>
      <c r="D495" s="307" t="s">
        <v>5319</v>
      </c>
      <c r="E495" s="307" t="s">
        <v>3905</v>
      </c>
      <c r="F495" s="307" t="s">
        <v>3906</v>
      </c>
      <c r="G495" s="307" t="s">
        <v>3907</v>
      </c>
    </row>
    <row r="496" spans="1:7" ht="13.5">
      <c r="A496" s="307" t="s">
        <v>5320</v>
      </c>
      <c r="B496" s="307" t="s">
        <v>5321</v>
      </c>
      <c r="C496" s="307" t="s">
        <v>4069</v>
      </c>
      <c r="D496" s="307" t="s">
        <v>5322</v>
      </c>
      <c r="E496" s="307" t="s">
        <v>3905</v>
      </c>
      <c r="F496" s="307" t="s">
        <v>3906</v>
      </c>
      <c r="G496" s="307" t="s">
        <v>3907</v>
      </c>
    </row>
    <row r="497" spans="1:7" ht="13.5">
      <c r="A497" s="307" t="s">
        <v>5323</v>
      </c>
      <c r="B497" s="307" t="s">
        <v>5324</v>
      </c>
      <c r="C497" s="307" t="s">
        <v>4069</v>
      </c>
      <c r="D497" s="307" t="s">
        <v>5325</v>
      </c>
      <c r="E497" s="307" t="s">
        <v>3905</v>
      </c>
      <c r="F497" s="307" t="s">
        <v>3906</v>
      </c>
      <c r="G497" s="307" t="s">
        <v>3907</v>
      </c>
    </row>
    <row r="498" spans="1:7" ht="13.5">
      <c r="A498" s="307" t="s">
        <v>570</v>
      </c>
      <c r="B498" s="307" t="s">
        <v>5326</v>
      </c>
      <c r="C498" s="307" t="s">
        <v>4069</v>
      </c>
      <c r="D498" s="307" t="s">
        <v>5327</v>
      </c>
      <c r="E498" s="307" t="s">
        <v>3905</v>
      </c>
      <c r="F498" s="307" t="s">
        <v>3906</v>
      </c>
      <c r="G498" s="307" t="s">
        <v>3907</v>
      </c>
    </row>
    <row r="499" spans="1:7" ht="13.5">
      <c r="A499" s="307" t="s">
        <v>5328</v>
      </c>
      <c r="B499" s="307" t="s">
        <v>5329</v>
      </c>
      <c r="C499" s="307" t="s">
        <v>4069</v>
      </c>
      <c r="D499" s="307" t="s">
        <v>5330</v>
      </c>
      <c r="E499" s="307" t="s">
        <v>3905</v>
      </c>
      <c r="F499" s="307" t="s">
        <v>3906</v>
      </c>
      <c r="G499" s="307" t="s">
        <v>3907</v>
      </c>
    </row>
    <row r="500" spans="1:7" ht="13.5">
      <c r="A500" s="307" t="s">
        <v>5331</v>
      </c>
      <c r="B500" s="307" t="s">
        <v>5332</v>
      </c>
      <c r="C500" s="307" t="s">
        <v>4069</v>
      </c>
      <c r="D500" s="307" t="s">
        <v>5333</v>
      </c>
      <c r="E500" s="307" t="s">
        <v>3905</v>
      </c>
      <c r="F500" s="307" t="s">
        <v>3906</v>
      </c>
      <c r="G500" s="307" t="s">
        <v>3907</v>
      </c>
    </row>
    <row r="501" spans="1:7" ht="13.5">
      <c r="A501" s="307" t="s">
        <v>5334</v>
      </c>
      <c r="B501" s="307" t="s">
        <v>5335</v>
      </c>
      <c r="C501" s="307" t="s">
        <v>4069</v>
      </c>
      <c r="D501" s="307" t="s">
        <v>5336</v>
      </c>
      <c r="E501" s="307" t="s">
        <v>3905</v>
      </c>
      <c r="F501" s="307" t="s">
        <v>3906</v>
      </c>
      <c r="G501" s="307" t="s">
        <v>3907</v>
      </c>
    </row>
    <row r="502" spans="1:7" ht="13.5">
      <c r="A502" s="307" t="s">
        <v>682</v>
      </c>
      <c r="B502" s="307" t="s">
        <v>837</v>
      </c>
      <c r="C502" s="307" t="s">
        <v>4069</v>
      </c>
      <c r="D502" s="307" t="s">
        <v>5337</v>
      </c>
      <c r="E502" s="307" t="s">
        <v>3905</v>
      </c>
      <c r="F502" s="307" t="s">
        <v>3906</v>
      </c>
      <c r="G502" s="307" t="s">
        <v>3907</v>
      </c>
    </row>
    <row r="503" spans="1:7" ht="13.5">
      <c r="A503" s="307" t="s">
        <v>5338</v>
      </c>
      <c r="B503" s="307" t="s">
        <v>5339</v>
      </c>
      <c r="C503" s="307" t="s">
        <v>4069</v>
      </c>
      <c r="D503" s="307" t="s">
        <v>5340</v>
      </c>
      <c r="E503" s="307" t="s">
        <v>3905</v>
      </c>
      <c r="F503" s="307" t="s">
        <v>3906</v>
      </c>
      <c r="G503" s="307" t="s">
        <v>3907</v>
      </c>
    </row>
    <row r="504" spans="1:7" ht="13.5">
      <c r="A504" s="307" t="s">
        <v>575</v>
      </c>
      <c r="B504" s="307" t="s">
        <v>803</v>
      </c>
      <c r="C504" s="307" t="s">
        <v>4069</v>
      </c>
      <c r="D504" s="307" t="s">
        <v>5341</v>
      </c>
      <c r="E504" s="307" t="s">
        <v>3905</v>
      </c>
      <c r="F504" s="307" t="s">
        <v>3906</v>
      </c>
      <c r="G504" s="307" t="s">
        <v>3907</v>
      </c>
    </row>
    <row r="505" spans="1:7" ht="13.5">
      <c r="A505" s="307" t="s">
        <v>607</v>
      </c>
      <c r="B505" s="307" t="s">
        <v>5342</v>
      </c>
      <c r="C505" s="307" t="s">
        <v>4069</v>
      </c>
      <c r="D505" s="307" t="s">
        <v>5343</v>
      </c>
      <c r="E505" s="307" t="s">
        <v>3905</v>
      </c>
      <c r="F505" s="307" t="s">
        <v>3906</v>
      </c>
      <c r="G505" s="307" t="s">
        <v>3907</v>
      </c>
    </row>
    <row r="506" spans="1:7" ht="13.5">
      <c r="A506" s="307" t="s">
        <v>5344</v>
      </c>
      <c r="B506" s="307" t="s">
        <v>5345</v>
      </c>
      <c r="C506" s="307" t="s">
        <v>4069</v>
      </c>
      <c r="D506" s="307" t="s">
        <v>5346</v>
      </c>
      <c r="E506" s="307" t="s">
        <v>3905</v>
      </c>
      <c r="F506" s="307" t="s">
        <v>3906</v>
      </c>
      <c r="G506" s="307" t="s">
        <v>3907</v>
      </c>
    </row>
    <row r="507" spans="1:7" ht="13.5">
      <c r="A507" s="307" t="s">
        <v>5347</v>
      </c>
      <c r="B507" s="307" t="s">
        <v>5348</v>
      </c>
      <c r="C507" s="307" t="s">
        <v>4069</v>
      </c>
      <c r="D507" s="307" t="s">
        <v>5349</v>
      </c>
      <c r="E507" s="307" t="s">
        <v>3905</v>
      </c>
      <c r="F507" s="307" t="s">
        <v>3906</v>
      </c>
      <c r="G507" s="307" t="s">
        <v>3907</v>
      </c>
    </row>
    <row r="508" spans="1:7" ht="13.5">
      <c r="A508" s="307" t="s">
        <v>5350</v>
      </c>
      <c r="B508" s="307" t="s">
        <v>5351</v>
      </c>
      <c r="C508" s="307" t="s">
        <v>4069</v>
      </c>
      <c r="D508" s="307" t="s">
        <v>5352</v>
      </c>
      <c r="E508" s="307" t="s">
        <v>3905</v>
      </c>
      <c r="F508" s="307" t="s">
        <v>3906</v>
      </c>
      <c r="G508" s="307" t="s">
        <v>3907</v>
      </c>
    </row>
    <row r="509" spans="1:7" ht="13.5">
      <c r="A509" s="307" t="s">
        <v>5353</v>
      </c>
      <c r="B509" s="307" t="s">
        <v>5354</v>
      </c>
      <c r="C509" s="307" t="s">
        <v>4069</v>
      </c>
      <c r="D509" s="307" t="s">
        <v>5355</v>
      </c>
      <c r="E509" s="307" t="s">
        <v>4021</v>
      </c>
      <c r="F509" s="307" t="s">
        <v>3906</v>
      </c>
      <c r="G509" s="307" t="s">
        <v>3907</v>
      </c>
    </row>
    <row r="510" spans="1:7" ht="13.5">
      <c r="A510" s="307" t="s">
        <v>5356</v>
      </c>
      <c r="B510" s="307" t="s">
        <v>5357</v>
      </c>
      <c r="C510" s="307" t="s">
        <v>4069</v>
      </c>
      <c r="D510" s="307" t="s">
        <v>5358</v>
      </c>
      <c r="E510" s="307" t="s">
        <v>4021</v>
      </c>
      <c r="F510" s="307" t="s">
        <v>3906</v>
      </c>
      <c r="G510" s="307" t="s">
        <v>3907</v>
      </c>
    </row>
    <row r="511" spans="1:7" ht="13.5">
      <c r="A511" s="307" t="s">
        <v>5359</v>
      </c>
      <c r="B511" s="307" t="s">
        <v>571</v>
      </c>
      <c r="C511" s="307" t="s">
        <v>4069</v>
      </c>
      <c r="D511" s="307" t="s">
        <v>5360</v>
      </c>
      <c r="E511" s="307" t="s">
        <v>3905</v>
      </c>
      <c r="F511" s="307" t="s">
        <v>3906</v>
      </c>
      <c r="G511" s="307" t="s">
        <v>3907</v>
      </c>
    </row>
    <row r="512" spans="1:7" ht="13.5">
      <c r="A512" s="307" t="s">
        <v>581</v>
      </c>
      <c r="B512" s="307" t="s">
        <v>5361</v>
      </c>
      <c r="C512" s="307" t="s">
        <v>4069</v>
      </c>
      <c r="D512" s="307" t="s">
        <v>5362</v>
      </c>
      <c r="E512" s="307" t="s">
        <v>3905</v>
      </c>
      <c r="F512" s="307" t="s">
        <v>3906</v>
      </c>
      <c r="G512" s="307" t="s">
        <v>3907</v>
      </c>
    </row>
    <row r="513" spans="1:7" ht="13.5">
      <c r="A513" s="307" t="s">
        <v>5363</v>
      </c>
      <c r="B513" s="307" t="s">
        <v>5364</v>
      </c>
      <c r="C513" s="307" t="s">
        <v>4069</v>
      </c>
      <c r="D513" s="307" t="s">
        <v>5365</v>
      </c>
      <c r="E513" s="307" t="s">
        <v>3905</v>
      </c>
      <c r="F513" s="307" t="s">
        <v>3906</v>
      </c>
      <c r="G513" s="307" t="s">
        <v>3907</v>
      </c>
    </row>
    <row r="514" spans="1:7" ht="13.5">
      <c r="A514" s="307" t="s">
        <v>5366</v>
      </c>
      <c r="B514" s="307" t="s">
        <v>5367</v>
      </c>
      <c r="C514" s="307" t="s">
        <v>4069</v>
      </c>
      <c r="D514" s="307" t="s">
        <v>5368</v>
      </c>
      <c r="E514" s="307" t="s">
        <v>3905</v>
      </c>
      <c r="F514" s="307" t="s">
        <v>3906</v>
      </c>
      <c r="G514" s="307" t="s">
        <v>3907</v>
      </c>
    </row>
    <row r="515" spans="1:7" ht="13.5">
      <c r="A515" s="307" t="s">
        <v>5369</v>
      </c>
      <c r="B515" s="307" t="s">
        <v>5370</v>
      </c>
      <c r="C515" s="307" t="s">
        <v>4069</v>
      </c>
      <c r="D515" s="307" t="s">
        <v>5371</v>
      </c>
      <c r="E515" s="307" t="s">
        <v>3905</v>
      </c>
      <c r="F515" s="307" t="s">
        <v>3906</v>
      </c>
      <c r="G515" s="307" t="s">
        <v>3907</v>
      </c>
    </row>
    <row r="516" spans="1:7" ht="13.5">
      <c r="A516" s="307" t="s">
        <v>5372</v>
      </c>
      <c r="B516" s="307" t="s">
        <v>5373</v>
      </c>
      <c r="C516" s="307" t="s">
        <v>4069</v>
      </c>
      <c r="D516" s="307" t="s">
        <v>5374</v>
      </c>
      <c r="E516" s="307" t="s">
        <v>3905</v>
      </c>
      <c r="F516" s="307" t="s">
        <v>3906</v>
      </c>
      <c r="G516" s="307" t="s">
        <v>3907</v>
      </c>
    </row>
    <row r="517" spans="1:7" ht="13.5">
      <c r="A517" s="307" t="s">
        <v>5375</v>
      </c>
      <c r="B517" s="307" t="s">
        <v>5376</v>
      </c>
      <c r="C517" s="307" t="s">
        <v>4069</v>
      </c>
      <c r="D517" s="307" t="s">
        <v>5377</v>
      </c>
      <c r="E517" s="307" t="s">
        <v>3905</v>
      </c>
      <c r="F517" s="307" t="s">
        <v>3906</v>
      </c>
      <c r="G517" s="307" t="s">
        <v>3907</v>
      </c>
    </row>
    <row r="518" spans="1:7" ht="13.5">
      <c r="A518" s="307" t="s">
        <v>5378</v>
      </c>
      <c r="B518" s="307" t="s">
        <v>5379</v>
      </c>
      <c r="C518" s="307" t="s">
        <v>4069</v>
      </c>
      <c r="D518" s="307" t="s">
        <v>5380</v>
      </c>
      <c r="E518" s="307" t="s">
        <v>3905</v>
      </c>
      <c r="F518" s="307" t="s">
        <v>3906</v>
      </c>
      <c r="G518" s="307" t="s">
        <v>3907</v>
      </c>
    </row>
    <row r="519" spans="1:7" ht="13.5">
      <c r="A519" s="307" t="s">
        <v>5381</v>
      </c>
      <c r="B519" s="307" t="s">
        <v>5382</v>
      </c>
      <c r="C519" s="307" t="s">
        <v>4069</v>
      </c>
      <c r="D519" s="307" t="s">
        <v>5383</v>
      </c>
      <c r="E519" s="307" t="s">
        <v>3905</v>
      </c>
      <c r="F519" s="307" t="s">
        <v>3906</v>
      </c>
      <c r="G519" s="307" t="s">
        <v>3907</v>
      </c>
    </row>
    <row r="520" spans="1:7" ht="13.5">
      <c r="A520" s="307" t="s">
        <v>5384</v>
      </c>
      <c r="B520" s="307" t="s">
        <v>5385</v>
      </c>
      <c r="C520" s="307" t="s">
        <v>4069</v>
      </c>
      <c r="D520" s="307" t="s">
        <v>5386</v>
      </c>
      <c r="E520" s="307" t="s">
        <v>3905</v>
      </c>
      <c r="F520" s="307" t="s">
        <v>3906</v>
      </c>
      <c r="G520" s="307" t="s">
        <v>3907</v>
      </c>
    </row>
    <row r="521" spans="1:7" ht="13.5">
      <c r="A521" s="307" t="s">
        <v>5387</v>
      </c>
      <c r="B521" s="307" t="s">
        <v>5388</v>
      </c>
      <c r="C521" s="307" t="s">
        <v>4069</v>
      </c>
      <c r="D521" s="307" t="s">
        <v>5389</v>
      </c>
      <c r="E521" s="307" t="s">
        <v>3905</v>
      </c>
      <c r="F521" s="307" t="s">
        <v>3906</v>
      </c>
      <c r="G521" s="307" t="s">
        <v>3907</v>
      </c>
    </row>
    <row r="522" spans="1:7" ht="13.5">
      <c r="A522" s="307" t="s">
        <v>5390</v>
      </c>
      <c r="B522" s="307" t="s">
        <v>5391</v>
      </c>
      <c r="C522" s="307" t="s">
        <v>4069</v>
      </c>
      <c r="D522" s="307" t="s">
        <v>5392</v>
      </c>
      <c r="E522" s="307" t="s">
        <v>4021</v>
      </c>
      <c r="F522" s="307" t="s">
        <v>3906</v>
      </c>
      <c r="G522" s="307" t="s">
        <v>3907</v>
      </c>
    </row>
    <row r="523" spans="1:7" ht="13.5">
      <c r="A523" s="307" t="s">
        <v>5393</v>
      </c>
      <c r="B523" s="307" t="s">
        <v>5394</v>
      </c>
      <c r="C523" s="307" t="s">
        <v>4069</v>
      </c>
      <c r="D523" s="307" t="s">
        <v>5395</v>
      </c>
      <c r="E523" s="307" t="s">
        <v>3905</v>
      </c>
      <c r="F523" s="307" t="s">
        <v>3906</v>
      </c>
      <c r="G523" s="307" t="s">
        <v>3907</v>
      </c>
    </row>
    <row r="524" spans="1:7" ht="13.5">
      <c r="A524" s="307" t="s">
        <v>5396</v>
      </c>
      <c r="B524" s="307" t="s">
        <v>5397</v>
      </c>
      <c r="C524" s="307" t="s">
        <v>4069</v>
      </c>
      <c r="D524" s="307" t="s">
        <v>5398</v>
      </c>
      <c r="E524" s="307" t="s">
        <v>3905</v>
      </c>
      <c r="F524" s="307" t="s">
        <v>3906</v>
      </c>
      <c r="G524" s="307" t="s">
        <v>3907</v>
      </c>
    </row>
    <row r="525" spans="1:7" ht="13.5">
      <c r="A525" s="307" t="s">
        <v>5399</v>
      </c>
      <c r="B525" s="307" t="s">
        <v>5400</v>
      </c>
      <c r="C525" s="307" t="s">
        <v>4069</v>
      </c>
      <c r="D525" s="307" t="s">
        <v>5401</v>
      </c>
      <c r="E525" s="307" t="s">
        <v>4021</v>
      </c>
      <c r="F525" s="307" t="s">
        <v>3906</v>
      </c>
      <c r="G525" s="307" t="s">
        <v>3907</v>
      </c>
    </row>
    <row r="526" spans="1:7" ht="13.5">
      <c r="A526" s="307" t="s">
        <v>5402</v>
      </c>
      <c r="B526" s="307" t="s">
        <v>5403</v>
      </c>
      <c r="C526" s="307" t="s">
        <v>4069</v>
      </c>
      <c r="D526" s="307" t="s">
        <v>5404</v>
      </c>
      <c r="E526" s="307" t="s">
        <v>3905</v>
      </c>
      <c r="F526" s="307" t="s">
        <v>3906</v>
      </c>
      <c r="G526" s="307" t="s">
        <v>3907</v>
      </c>
    </row>
    <row r="527" spans="1:7" ht="13.5">
      <c r="A527" s="307" t="s">
        <v>5405</v>
      </c>
      <c r="B527" s="307" t="s">
        <v>5406</v>
      </c>
      <c r="C527" s="307" t="s">
        <v>4069</v>
      </c>
      <c r="D527" s="307" t="s">
        <v>5407</v>
      </c>
      <c r="E527" s="307" t="s">
        <v>3905</v>
      </c>
      <c r="F527" s="307" t="s">
        <v>3906</v>
      </c>
      <c r="G527" s="307" t="s">
        <v>3907</v>
      </c>
    </row>
    <row r="528" spans="1:7" ht="13.5">
      <c r="A528" s="307" t="s">
        <v>5408</v>
      </c>
      <c r="B528" s="307" t="s">
        <v>5409</v>
      </c>
      <c r="C528" s="307" t="s">
        <v>4069</v>
      </c>
      <c r="D528" s="307" t="s">
        <v>5410</v>
      </c>
      <c r="E528" s="307" t="s">
        <v>3905</v>
      </c>
      <c r="F528" s="307" t="s">
        <v>3906</v>
      </c>
      <c r="G528" s="307" t="s">
        <v>3907</v>
      </c>
    </row>
    <row r="529" spans="1:7" ht="13.5">
      <c r="A529" s="307" t="s">
        <v>5411</v>
      </c>
      <c r="B529" s="307" t="s">
        <v>5412</v>
      </c>
      <c r="C529" s="307" t="s">
        <v>4069</v>
      </c>
      <c r="D529" s="307" t="s">
        <v>5413</v>
      </c>
      <c r="E529" s="307" t="s">
        <v>3905</v>
      </c>
      <c r="F529" s="307" t="s">
        <v>3906</v>
      </c>
      <c r="G529" s="307" t="s">
        <v>3907</v>
      </c>
    </row>
    <row r="530" spans="1:7" ht="13.5">
      <c r="A530" s="307" t="s">
        <v>5414</v>
      </c>
      <c r="B530" s="307" t="s">
        <v>5415</v>
      </c>
      <c r="C530" s="307" t="s">
        <v>4069</v>
      </c>
      <c r="D530" s="307" t="s">
        <v>5416</v>
      </c>
      <c r="E530" s="307" t="s">
        <v>3905</v>
      </c>
      <c r="F530" s="307" t="s">
        <v>3906</v>
      </c>
      <c r="G530" s="307" t="s">
        <v>3907</v>
      </c>
    </row>
    <row r="531" spans="1:7" ht="13.5">
      <c r="A531" s="307" t="s">
        <v>5417</v>
      </c>
      <c r="B531" s="307" t="s">
        <v>5418</v>
      </c>
      <c r="C531" s="307" t="s">
        <v>4069</v>
      </c>
      <c r="D531" s="307" t="s">
        <v>5416</v>
      </c>
      <c r="E531" s="307" t="s">
        <v>3905</v>
      </c>
      <c r="F531" s="307" t="s">
        <v>3906</v>
      </c>
      <c r="G531" s="307" t="s">
        <v>3907</v>
      </c>
    </row>
    <row r="532" spans="1:7" ht="13.5">
      <c r="A532" s="307" t="s">
        <v>5419</v>
      </c>
      <c r="B532" s="307" t="s">
        <v>5420</v>
      </c>
      <c r="C532" s="307" t="s">
        <v>4069</v>
      </c>
      <c r="D532" s="307" t="s">
        <v>5421</v>
      </c>
      <c r="E532" s="307" t="s">
        <v>3905</v>
      </c>
      <c r="F532" s="307" t="s">
        <v>3906</v>
      </c>
      <c r="G532" s="307" t="s">
        <v>3907</v>
      </c>
    </row>
    <row r="533" spans="1:7" ht="13.5">
      <c r="A533" s="307" t="s">
        <v>5422</v>
      </c>
      <c r="B533" s="307" t="s">
        <v>5423</v>
      </c>
      <c r="C533" s="307" t="s">
        <v>4069</v>
      </c>
      <c r="D533" s="307" t="s">
        <v>5424</v>
      </c>
      <c r="E533" s="307" t="s">
        <v>3905</v>
      </c>
      <c r="F533" s="307" t="s">
        <v>3906</v>
      </c>
      <c r="G533" s="307" t="s">
        <v>3907</v>
      </c>
    </row>
    <row r="534" spans="1:7" ht="13.5">
      <c r="A534" s="307" t="s">
        <v>5425</v>
      </c>
      <c r="B534" s="307" t="s">
        <v>5426</v>
      </c>
      <c r="C534" s="307" t="s">
        <v>4069</v>
      </c>
      <c r="D534" s="307" t="s">
        <v>5427</v>
      </c>
      <c r="E534" s="307" t="s">
        <v>3905</v>
      </c>
      <c r="F534" s="307" t="s">
        <v>3906</v>
      </c>
      <c r="G534" s="307" t="s">
        <v>3907</v>
      </c>
    </row>
    <row r="535" spans="1:7" ht="13.5">
      <c r="A535" s="307" t="s">
        <v>5428</v>
      </c>
      <c r="B535" s="307" t="s">
        <v>5429</v>
      </c>
      <c r="C535" s="307" t="s">
        <v>4069</v>
      </c>
      <c r="D535" s="307" t="s">
        <v>5430</v>
      </c>
      <c r="E535" s="307" t="s">
        <v>3905</v>
      </c>
      <c r="F535" s="307" t="s">
        <v>3906</v>
      </c>
      <c r="G535" s="307" t="s">
        <v>3907</v>
      </c>
    </row>
    <row r="536" spans="1:7" ht="13.5">
      <c r="A536" s="307" t="s">
        <v>5431</v>
      </c>
      <c r="B536" s="307" t="s">
        <v>5432</v>
      </c>
      <c r="C536" s="307" t="s">
        <v>4069</v>
      </c>
      <c r="D536" s="307" t="s">
        <v>5433</v>
      </c>
      <c r="E536" s="307" t="s">
        <v>3905</v>
      </c>
      <c r="F536" s="307" t="s">
        <v>3906</v>
      </c>
      <c r="G536" s="307" t="s">
        <v>3907</v>
      </c>
    </row>
    <row r="537" spans="1:7" ht="13.5">
      <c r="A537" s="307" t="s">
        <v>5434</v>
      </c>
      <c r="B537" s="307" t="s">
        <v>5435</v>
      </c>
      <c r="C537" s="307" t="s">
        <v>4069</v>
      </c>
      <c r="D537" s="307" t="s">
        <v>5436</v>
      </c>
      <c r="E537" s="307" t="s">
        <v>3905</v>
      </c>
      <c r="F537" s="307" t="s">
        <v>3906</v>
      </c>
      <c r="G537" s="307" t="s">
        <v>3907</v>
      </c>
    </row>
    <row r="538" spans="1:7" ht="13.5">
      <c r="A538" s="307" t="s">
        <v>5437</v>
      </c>
      <c r="B538" s="307" t="s">
        <v>5438</v>
      </c>
      <c r="C538" s="307" t="s">
        <v>4069</v>
      </c>
      <c r="D538" s="307" t="s">
        <v>5439</v>
      </c>
      <c r="E538" s="307" t="s">
        <v>3905</v>
      </c>
      <c r="F538" s="307" t="s">
        <v>3906</v>
      </c>
      <c r="G538" s="307" t="s">
        <v>3907</v>
      </c>
    </row>
    <row r="539" spans="1:7" ht="13.5">
      <c r="A539" s="307" t="s">
        <v>5440</v>
      </c>
      <c r="B539" s="307" t="s">
        <v>5441</v>
      </c>
      <c r="C539" s="307" t="s">
        <v>4069</v>
      </c>
      <c r="D539" s="307" t="s">
        <v>5442</v>
      </c>
      <c r="E539" s="307" t="s">
        <v>3905</v>
      </c>
      <c r="F539" s="307" t="s">
        <v>3906</v>
      </c>
      <c r="G539" s="307" t="s">
        <v>3907</v>
      </c>
    </row>
    <row r="540" spans="1:7" ht="13.5">
      <c r="A540" s="307" t="s">
        <v>5443</v>
      </c>
      <c r="B540" s="307" t="s">
        <v>5444</v>
      </c>
      <c r="C540" s="307" t="s">
        <v>4069</v>
      </c>
      <c r="D540" s="307" t="s">
        <v>5445</v>
      </c>
      <c r="E540" s="307" t="s">
        <v>3905</v>
      </c>
      <c r="F540" s="307" t="s">
        <v>3906</v>
      </c>
      <c r="G540" s="307" t="s">
        <v>3907</v>
      </c>
    </row>
    <row r="541" spans="1:7" ht="13.5">
      <c r="A541" s="307" t="s">
        <v>5446</v>
      </c>
      <c r="B541" s="307" t="s">
        <v>5447</v>
      </c>
      <c r="C541" s="307" t="s">
        <v>4069</v>
      </c>
      <c r="D541" s="307" t="s">
        <v>5448</v>
      </c>
      <c r="E541" s="307" t="s">
        <v>3905</v>
      </c>
      <c r="F541" s="307" t="s">
        <v>3906</v>
      </c>
      <c r="G541" s="307" t="s">
        <v>3907</v>
      </c>
    </row>
    <row r="542" spans="1:7" ht="13.5">
      <c r="A542" s="307" t="s">
        <v>5449</v>
      </c>
      <c r="B542" s="307" t="s">
        <v>5450</v>
      </c>
      <c r="C542" s="307" t="s">
        <v>4069</v>
      </c>
      <c r="D542" s="307" t="s">
        <v>5451</v>
      </c>
      <c r="E542" s="307" t="s">
        <v>3905</v>
      </c>
      <c r="F542" s="307" t="s">
        <v>3906</v>
      </c>
      <c r="G542" s="307" t="s">
        <v>3907</v>
      </c>
    </row>
    <row r="543" spans="1:7" ht="13.5">
      <c r="A543" s="307" t="s">
        <v>5452</v>
      </c>
      <c r="B543" s="307" t="s">
        <v>5453</v>
      </c>
      <c r="C543" s="307" t="s">
        <v>4069</v>
      </c>
      <c r="D543" s="307" t="s">
        <v>5454</v>
      </c>
      <c r="E543" s="307" t="s">
        <v>3905</v>
      </c>
      <c r="F543" s="307" t="s">
        <v>3906</v>
      </c>
      <c r="G543" s="307" t="s">
        <v>3907</v>
      </c>
    </row>
    <row r="544" spans="1:7" ht="13.5">
      <c r="A544" s="307" t="s">
        <v>5455</v>
      </c>
      <c r="B544" s="307" t="s">
        <v>5456</v>
      </c>
      <c r="C544" s="307" t="s">
        <v>4069</v>
      </c>
      <c r="D544" s="307" t="s">
        <v>5457</v>
      </c>
      <c r="E544" s="307" t="s">
        <v>3905</v>
      </c>
      <c r="F544" s="307" t="s">
        <v>3906</v>
      </c>
      <c r="G544" s="307" t="s">
        <v>3907</v>
      </c>
    </row>
    <row r="545" spans="1:7" ht="13.5">
      <c r="A545" s="307" t="s">
        <v>560</v>
      </c>
      <c r="B545" s="307" t="s">
        <v>810</v>
      </c>
      <c r="C545" s="307" t="s">
        <v>4069</v>
      </c>
      <c r="D545" s="307" t="s">
        <v>5458</v>
      </c>
      <c r="E545" s="307" t="s">
        <v>3905</v>
      </c>
      <c r="F545" s="307" t="s">
        <v>3906</v>
      </c>
      <c r="G545" s="307" t="s">
        <v>3907</v>
      </c>
    </row>
    <row r="546" spans="1:7" ht="13.5">
      <c r="A546" s="307" t="s">
        <v>5459</v>
      </c>
      <c r="B546" s="307" t="s">
        <v>5460</v>
      </c>
      <c r="C546" s="307" t="s">
        <v>4069</v>
      </c>
      <c r="D546" s="307" t="s">
        <v>5461</v>
      </c>
      <c r="E546" s="307" t="s">
        <v>3905</v>
      </c>
      <c r="F546" s="307" t="s">
        <v>3906</v>
      </c>
      <c r="G546" s="307" t="s">
        <v>3907</v>
      </c>
    </row>
    <row r="547" spans="1:7" ht="13.5">
      <c r="A547" s="307" t="s">
        <v>5462</v>
      </c>
      <c r="B547" s="307" t="s">
        <v>5463</v>
      </c>
      <c r="C547" s="307" t="s">
        <v>4069</v>
      </c>
      <c r="D547" s="307" t="s">
        <v>5464</v>
      </c>
      <c r="E547" s="307" t="s">
        <v>3905</v>
      </c>
      <c r="F547" s="307" t="s">
        <v>3906</v>
      </c>
      <c r="G547" s="307" t="s">
        <v>3907</v>
      </c>
    </row>
    <row r="548" spans="1:7" ht="13.5">
      <c r="A548" s="307" t="s">
        <v>5465</v>
      </c>
      <c r="B548" s="307" t="s">
        <v>5466</v>
      </c>
      <c r="C548" s="307" t="s">
        <v>4069</v>
      </c>
      <c r="D548" s="307" t="s">
        <v>5467</v>
      </c>
      <c r="E548" s="307" t="s">
        <v>3905</v>
      </c>
      <c r="F548" s="307" t="s">
        <v>3906</v>
      </c>
      <c r="G548" s="307" t="s">
        <v>3907</v>
      </c>
    </row>
    <row r="549" spans="1:7" ht="13.5">
      <c r="A549" s="307" t="s">
        <v>5468</v>
      </c>
      <c r="B549" s="307" t="s">
        <v>5469</v>
      </c>
      <c r="C549" s="307" t="s">
        <v>4069</v>
      </c>
      <c r="D549" s="307" t="s">
        <v>5470</v>
      </c>
      <c r="E549" s="307" t="s">
        <v>3905</v>
      </c>
      <c r="F549" s="307" t="s">
        <v>3906</v>
      </c>
      <c r="G549" s="307" t="s">
        <v>3907</v>
      </c>
    </row>
    <row r="550" spans="1:7" ht="13.5">
      <c r="A550" s="307" t="s">
        <v>5471</v>
      </c>
      <c r="B550" s="307" t="s">
        <v>5472</v>
      </c>
      <c r="C550" s="307" t="s">
        <v>4069</v>
      </c>
      <c r="D550" s="307" t="s">
        <v>5473</v>
      </c>
      <c r="E550" s="307" t="s">
        <v>3905</v>
      </c>
      <c r="F550" s="307" t="s">
        <v>3906</v>
      </c>
      <c r="G550" s="307" t="s">
        <v>3907</v>
      </c>
    </row>
    <row r="551" spans="1:7" ht="13.5">
      <c r="A551" s="307" t="s">
        <v>5474</v>
      </c>
      <c r="B551" s="307" t="s">
        <v>5475</v>
      </c>
      <c r="C551" s="307" t="s">
        <v>4069</v>
      </c>
      <c r="D551" s="307" t="s">
        <v>5476</v>
      </c>
      <c r="E551" s="307" t="s">
        <v>3905</v>
      </c>
      <c r="F551" s="307" t="s">
        <v>3906</v>
      </c>
      <c r="G551" s="307" t="s">
        <v>3907</v>
      </c>
    </row>
    <row r="552" spans="1:7" ht="13.5">
      <c r="A552" s="307" t="s">
        <v>5477</v>
      </c>
      <c r="B552" s="307" t="s">
        <v>5478</v>
      </c>
      <c r="C552" s="307" t="s">
        <v>4069</v>
      </c>
      <c r="D552" s="307" t="s">
        <v>5479</v>
      </c>
      <c r="E552" s="307" t="s">
        <v>3905</v>
      </c>
      <c r="F552" s="307" t="s">
        <v>3906</v>
      </c>
      <c r="G552" s="307" t="s">
        <v>3907</v>
      </c>
    </row>
    <row r="553" spans="1:7" ht="13.5">
      <c r="A553" s="307" t="s">
        <v>5480</v>
      </c>
      <c r="B553" s="307" t="s">
        <v>5481</v>
      </c>
      <c r="C553" s="307" t="s">
        <v>4069</v>
      </c>
      <c r="D553" s="307" t="s">
        <v>5482</v>
      </c>
      <c r="E553" s="307" t="s">
        <v>3905</v>
      </c>
      <c r="F553" s="307" t="s">
        <v>3906</v>
      </c>
      <c r="G553" s="307" t="s">
        <v>3907</v>
      </c>
    </row>
    <row r="554" spans="1:7" ht="13.5">
      <c r="A554" s="307" t="s">
        <v>5483</v>
      </c>
      <c r="B554" s="307" t="s">
        <v>5484</v>
      </c>
      <c r="C554" s="307" t="s">
        <v>4069</v>
      </c>
      <c r="D554" s="307" t="s">
        <v>5485</v>
      </c>
      <c r="E554" s="307" t="s">
        <v>3905</v>
      </c>
      <c r="F554" s="307" t="s">
        <v>3906</v>
      </c>
      <c r="G554" s="307" t="s">
        <v>3907</v>
      </c>
    </row>
    <row r="555" spans="1:7" ht="13.5">
      <c r="A555" s="307" t="s">
        <v>5486</v>
      </c>
      <c r="B555" s="307" t="s">
        <v>5487</v>
      </c>
      <c r="C555" s="307" t="s">
        <v>4069</v>
      </c>
      <c r="D555" s="307" t="s">
        <v>5488</v>
      </c>
      <c r="E555" s="307" t="s">
        <v>3905</v>
      </c>
      <c r="F555" s="307" t="s">
        <v>3906</v>
      </c>
      <c r="G555" s="307" t="s">
        <v>3907</v>
      </c>
    </row>
    <row r="556" spans="1:7" ht="13.5">
      <c r="A556" s="307" t="s">
        <v>5489</v>
      </c>
      <c r="B556" s="307" t="s">
        <v>5490</v>
      </c>
      <c r="C556" s="307" t="s">
        <v>4069</v>
      </c>
      <c r="D556" s="307" t="s">
        <v>5491</v>
      </c>
      <c r="E556" s="307" t="s">
        <v>3905</v>
      </c>
      <c r="F556" s="307" t="s">
        <v>3906</v>
      </c>
      <c r="G556" s="307" t="s">
        <v>3907</v>
      </c>
    </row>
    <row r="557" spans="1:7" ht="13.5">
      <c r="A557" s="307" t="s">
        <v>5492</v>
      </c>
      <c r="B557" s="307" t="s">
        <v>5493</v>
      </c>
      <c r="C557" s="307" t="s">
        <v>4069</v>
      </c>
      <c r="D557" s="307" t="s">
        <v>5494</v>
      </c>
      <c r="E557" s="307" t="s">
        <v>3905</v>
      </c>
      <c r="F557" s="307" t="s">
        <v>3906</v>
      </c>
      <c r="G557" s="307" t="s">
        <v>3907</v>
      </c>
    </row>
    <row r="558" spans="1:7" ht="13.5">
      <c r="A558" s="307" t="s">
        <v>5495</v>
      </c>
      <c r="B558" s="307" t="s">
        <v>5496</v>
      </c>
      <c r="C558" s="307" t="s">
        <v>4069</v>
      </c>
      <c r="D558" s="307" t="s">
        <v>5497</v>
      </c>
      <c r="E558" s="307" t="s">
        <v>3905</v>
      </c>
      <c r="F558" s="307" t="s">
        <v>3906</v>
      </c>
      <c r="G558" s="307" t="s">
        <v>3907</v>
      </c>
    </row>
    <row r="559" spans="1:7" ht="13.5">
      <c r="A559" s="307" t="s">
        <v>5498</v>
      </c>
      <c r="B559" s="307" t="s">
        <v>5499</v>
      </c>
      <c r="C559" s="307" t="s">
        <v>4069</v>
      </c>
      <c r="D559" s="307" t="s">
        <v>5500</v>
      </c>
      <c r="E559" s="307" t="s">
        <v>3905</v>
      </c>
      <c r="F559" s="307" t="s">
        <v>3906</v>
      </c>
      <c r="G559" s="307" t="s">
        <v>3907</v>
      </c>
    </row>
    <row r="560" spans="1:7" ht="13.5">
      <c r="A560" s="307" t="s">
        <v>5501</v>
      </c>
      <c r="B560" s="307" t="s">
        <v>5502</v>
      </c>
      <c r="C560" s="307" t="s">
        <v>4069</v>
      </c>
      <c r="D560" s="307" t="s">
        <v>5503</v>
      </c>
      <c r="E560" s="307" t="s">
        <v>3905</v>
      </c>
      <c r="F560" s="307" t="s">
        <v>3906</v>
      </c>
      <c r="G560" s="307" t="s">
        <v>3907</v>
      </c>
    </row>
    <row r="561" spans="1:7" ht="13.5">
      <c r="A561" s="307" t="s">
        <v>5504</v>
      </c>
      <c r="B561" s="307" t="s">
        <v>5505</v>
      </c>
      <c r="C561" s="307" t="s">
        <v>4069</v>
      </c>
      <c r="D561" s="307" t="s">
        <v>5506</v>
      </c>
      <c r="E561" s="307" t="s">
        <v>3905</v>
      </c>
      <c r="F561" s="307" t="s">
        <v>3906</v>
      </c>
      <c r="G561" s="307" t="s">
        <v>3907</v>
      </c>
    </row>
    <row r="562" spans="1:7" ht="13.5">
      <c r="A562" s="307" t="s">
        <v>5507</v>
      </c>
      <c r="B562" s="307" t="s">
        <v>5508</v>
      </c>
      <c r="C562" s="307" t="s">
        <v>4069</v>
      </c>
      <c r="D562" s="307" t="s">
        <v>5509</v>
      </c>
      <c r="E562" s="307" t="s">
        <v>3905</v>
      </c>
      <c r="F562" s="307" t="s">
        <v>3906</v>
      </c>
      <c r="G562" s="307" t="s">
        <v>3907</v>
      </c>
    </row>
    <row r="563" spans="1:7" ht="13.5">
      <c r="A563" s="307" t="s">
        <v>5510</v>
      </c>
      <c r="B563" s="307" t="s">
        <v>5511</v>
      </c>
      <c r="C563" s="307" t="s">
        <v>4069</v>
      </c>
      <c r="D563" s="307" t="s">
        <v>5512</v>
      </c>
      <c r="E563" s="307" t="s">
        <v>3905</v>
      </c>
      <c r="F563" s="307" t="s">
        <v>3906</v>
      </c>
      <c r="G563" s="307" t="s">
        <v>3907</v>
      </c>
    </row>
    <row r="564" spans="1:7" ht="13.5">
      <c r="A564" s="307" t="s">
        <v>5513</v>
      </c>
      <c r="B564" s="307" t="s">
        <v>5514</v>
      </c>
      <c r="C564" s="307" t="s">
        <v>4069</v>
      </c>
      <c r="D564" s="307" t="s">
        <v>5515</v>
      </c>
      <c r="E564" s="307" t="s">
        <v>3905</v>
      </c>
      <c r="F564" s="307" t="s">
        <v>3906</v>
      </c>
      <c r="G564" s="307" t="s">
        <v>3907</v>
      </c>
    </row>
    <row r="565" spans="1:7" ht="13.5">
      <c r="A565" s="307" t="s">
        <v>5516</v>
      </c>
      <c r="B565" s="307" t="s">
        <v>5517</v>
      </c>
      <c r="C565" s="307" t="s">
        <v>4069</v>
      </c>
      <c r="D565" s="307" t="s">
        <v>5518</v>
      </c>
      <c r="E565" s="307" t="s">
        <v>3905</v>
      </c>
      <c r="F565" s="307" t="s">
        <v>3906</v>
      </c>
      <c r="G565" s="307" t="s">
        <v>3907</v>
      </c>
    </row>
    <row r="566" spans="1:7" ht="13.5">
      <c r="A566" s="307" t="s">
        <v>5519</v>
      </c>
      <c r="B566" s="307" t="s">
        <v>5520</v>
      </c>
      <c r="C566" s="307" t="s">
        <v>4069</v>
      </c>
      <c r="D566" s="307" t="s">
        <v>5521</v>
      </c>
      <c r="E566" s="307" t="s">
        <v>3905</v>
      </c>
      <c r="F566" s="307" t="s">
        <v>3906</v>
      </c>
      <c r="G566" s="307" t="s">
        <v>3907</v>
      </c>
    </row>
    <row r="567" spans="1:7" ht="13.5">
      <c r="A567" s="307" t="s">
        <v>5522</v>
      </c>
      <c r="B567" s="307" t="s">
        <v>5523</v>
      </c>
      <c r="C567" s="307" t="s">
        <v>4069</v>
      </c>
      <c r="D567" s="307" t="s">
        <v>5524</v>
      </c>
      <c r="E567" s="307" t="s">
        <v>3905</v>
      </c>
      <c r="F567" s="307" t="s">
        <v>3906</v>
      </c>
      <c r="G567" s="307" t="s">
        <v>3907</v>
      </c>
    </row>
    <row r="568" spans="1:7" ht="13.5">
      <c r="A568" s="307" t="s">
        <v>569</v>
      </c>
      <c r="B568" s="307" t="s">
        <v>5525</v>
      </c>
      <c r="C568" s="307" t="s">
        <v>4069</v>
      </c>
      <c r="D568" s="307" t="s">
        <v>5525</v>
      </c>
      <c r="E568" s="307" t="s">
        <v>3905</v>
      </c>
      <c r="F568" s="307" t="s">
        <v>3906</v>
      </c>
      <c r="G568" s="307" t="s">
        <v>3907</v>
      </c>
    </row>
    <row r="569" spans="1:7" ht="13.5">
      <c r="A569" s="307" t="s">
        <v>5526</v>
      </c>
      <c r="B569" s="307" t="s">
        <v>5527</v>
      </c>
      <c r="C569" s="307" t="s">
        <v>4069</v>
      </c>
      <c r="D569" s="307" t="s">
        <v>5528</v>
      </c>
      <c r="E569" s="307" t="s">
        <v>3905</v>
      </c>
      <c r="F569" s="307" t="s">
        <v>3906</v>
      </c>
      <c r="G569" s="307" t="s">
        <v>3907</v>
      </c>
    </row>
    <row r="570" spans="1:7" ht="13.5">
      <c r="A570" s="307" t="s">
        <v>5529</v>
      </c>
      <c r="B570" s="307" t="s">
        <v>5530</v>
      </c>
      <c r="C570" s="307" t="s">
        <v>4069</v>
      </c>
      <c r="D570" s="307" t="s">
        <v>5531</v>
      </c>
      <c r="E570" s="307" t="s">
        <v>3905</v>
      </c>
      <c r="F570" s="307" t="s">
        <v>3906</v>
      </c>
      <c r="G570" s="307" t="s">
        <v>3907</v>
      </c>
    </row>
    <row r="571" spans="1:7" ht="13.5">
      <c r="A571" s="307" t="s">
        <v>5532</v>
      </c>
      <c r="B571" s="307" t="s">
        <v>5533</v>
      </c>
      <c r="C571" s="307" t="s">
        <v>4069</v>
      </c>
      <c r="D571" s="307" t="s">
        <v>5534</v>
      </c>
      <c r="E571" s="307" t="s">
        <v>3905</v>
      </c>
      <c r="F571" s="307" t="s">
        <v>3906</v>
      </c>
      <c r="G571" s="307" t="s">
        <v>3907</v>
      </c>
    </row>
    <row r="572" spans="1:7" ht="13.5">
      <c r="A572" s="307" t="s">
        <v>5535</v>
      </c>
      <c r="B572" s="307" t="s">
        <v>5536</v>
      </c>
      <c r="C572" s="307" t="s">
        <v>4069</v>
      </c>
      <c r="D572" s="307" t="s">
        <v>5537</v>
      </c>
      <c r="E572" s="307" t="s">
        <v>3905</v>
      </c>
      <c r="F572" s="307" t="s">
        <v>3906</v>
      </c>
      <c r="G572" s="307" t="s">
        <v>3907</v>
      </c>
    </row>
    <row r="573" spans="1:7" ht="13.5">
      <c r="A573" s="307" t="s">
        <v>5538</v>
      </c>
      <c r="B573" s="307" t="s">
        <v>5539</v>
      </c>
      <c r="C573" s="307" t="s">
        <v>4069</v>
      </c>
      <c r="D573" s="307" t="s">
        <v>5540</v>
      </c>
      <c r="E573" s="307" t="s">
        <v>3905</v>
      </c>
      <c r="F573" s="307" t="s">
        <v>3906</v>
      </c>
      <c r="G573" s="307" t="s">
        <v>3907</v>
      </c>
    </row>
    <row r="574" spans="1:7" ht="13.5">
      <c r="A574" s="307" t="s">
        <v>5541</v>
      </c>
      <c r="B574" s="307" t="s">
        <v>5542</v>
      </c>
      <c r="C574" s="307" t="s">
        <v>4069</v>
      </c>
      <c r="D574" s="307" t="s">
        <v>5543</v>
      </c>
      <c r="E574" s="307" t="s">
        <v>3905</v>
      </c>
      <c r="F574" s="307" t="s">
        <v>3906</v>
      </c>
      <c r="G574" s="307" t="s">
        <v>3907</v>
      </c>
    </row>
    <row r="575" spans="1:7" ht="13.5">
      <c r="A575" s="307" t="s">
        <v>5544</v>
      </c>
      <c r="B575" s="307" t="s">
        <v>5545</v>
      </c>
      <c r="C575" s="307" t="s">
        <v>4069</v>
      </c>
      <c r="D575" s="307" t="s">
        <v>5546</v>
      </c>
      <c r="E575" s="307" t="s">
        <v>3905</v>
      </c>
      <c r="F575" s="307" t="s">
        <v>3906</v>
      </c>
      <c r="G575" s="307" t="s">
        <v>3907</v>
      </c>
    </row>
    <row r="576" spans="1:7" ht="13.5">
      <c r="A576" s="307" t="s">
        <v>5547</v>
      </c>
      <c r="B576" s="307" t="s">
        <v>5548</v>
      </c>
      <c r="C576" s="307" t="s">
        <v>4069</v>
      </c>
      <c r="D576" s="307" t="s">
        <v>5549</v>
      </c>
      <c r="E576" s="307" t="s">
        <v>3905</v>
      </c>
      <c r="F576" s="307" t="s">
        <v>3906</v>
      </c>
      <c r="G576" s="307" t="s">
        <v>3907</v>
      </c>
    </row>
    <row r="577" spans="1:7" ht="13.5">
      <c r="A577" s="307" t="s">
        <v>5550</v>
      </c>
      <c r="B577" s="307" t="s">
        <v>5551</v>
      </c>
      <c r="C577" s="307" t="s">
        <v>4069</v>
      </c>
      <c r="D577" s="307" t="s">
        <v>5552</v>
      </c>
      <c r="E577" s="307" t="s">
        <v>4021</v>
      </c>
      <c r="F577" s="307" t="s">
        <v>3906</v>
      </c>
      <c r="G577" s="307" t="s">
        <v>3907</v>
      </c>
    </row>
    <row r="578" spans="1:7" ht="13.5">
      <c r="A578" s="307" t="s">
        <v>5553</v>
      </c>
      <c r="B578" s="307" t="s">
        <v>5554</v>
      </c>
      <c r="C578" s="307" t="s">
        <v>4069</v>
      </c>
      <c r="D578" s="307" t="s">
        <v>5555</v>
      </c>
      <c r="E578" s="307" t="s">
        <v>3905</v>
      </c>
      <c r="F578" s="307" t="s">
        <v>3906</v>
      </c>
      <c r="G578" s="307" t="s">
        <v>3907</v>
      </c>
    </row>
    <row r="579" spans="1:7" ht="13.5">
      <c r="A579" s="307" t="s">
        <v>5556</v>
      </c>
      <c r="B579" s="307" t="s">
        <v>5557</v>
      </c>
      <c r="C579" s="307" t="s">
        <v>4069</v>
      </c>
      <c r="D579" s="307" t="s">
        <v>5558</v>
      </c>
      <c r="E579" s="307" t="s">
        <v>3905</v>
      </c>
      <c r="F579" s="307" t="s">
        <v>3906</v>
      </c>
      <c r="G579" s="307" t="s">
        <v>3907</v>
      </c>
    </row>
    <row r="580" spans="1:7" ht="13.5">
      <c r="A580" s="307" t="s">
        <v>5559</v>
      </c>
      <c r="B580" s="307" t="s">
        <v>5560</v>
      </c>
      <c r="C580" s="307" t="s">
        <v>4069</v>
      </c>
      <c r="D580" s="307" t="s">
        <v>5561</v>
      </c>
      <c r="E580" s="307" t="s">
        <v>3905</v>
      </c>
      <c r="F580" s="307" t="s">
        <v>3906</v>
      </c>
      <c r="G580" s="307" t="s">
        <v>3907</v>
      </c>
    </row>
    <row r="581" spans="1:7" ht="13.5">
      <c r="A581" s="307" t="s">
        <v>5562</v>
      </c>
      <c r="B581" s="307" t="s">
        <v>5563</v>
      </c>
      <c r="C581" s="307" t="s">
        <v>4069</v>
      </c>
      <c r="D581" s="307" t="s">
        <v>5564</v>
      </c>
      <c r="E581" s="307" t="s">
        <v>3905</v>
      </c>
      <c r="F581" s="307" t="s">
        <v>3906</v>
      </c>
      <c r="G581" s="307" t="s">
        <v>3907</v>
      </c>
    </row>
    <row r="582" spans="1:7" ht="13.5">
      <c r="A582" s="307" t="s">
        <v>5565</v>
      </c>
      <c r="B582" s="307" t="s">
        <v>5566</v>
      </c>
      <c r="C582" s="307" t="s">
        <v>4069</v>
      </c>
      <c r="D582" s="307" t="s">
        <v>5567</v>
      </c>
      <c r="E582" s="307" t="s">
        <v>3905</v>
      </c>
      <c r="F582" s="307" t="s">
        <v>3906</v>
      </c>
      <c r="G582" s="307" t="s">
        <v>3907</v>
      </c>
    </row>
    <row r="583" spans="1:7" ht="13.5">
      <c r="A583" s="307" t="s">
        <v>5568</v>
      </c>
      <c r="B583" s="307" t="s">
        <v>5569</v>
      </c>
      <c r="C583" s="307" t="s">
        <v>4069</v>
      </c>
      <c r="D583" s="307" t="s">
        <v>5570</v>
      </c>
      <c r="E583" s="307" t="s">
        <v>3905</v>
      </c>
      <c r="F583" s="307" t="s">
        <v>3906</v>
      </c>
      <c r="G583" s="307" t="s">
        <v>3907</v>
      </c>
    </row>
    <row r="584" spans="1:7" ht="13.5">
      <c r="A584" s="307" t="s">
        <v>5571</v>
      </c>
      <c r="B584" s="307" t="s">
        <v>5572</v>
      </c>
      <c r="C584" s="307" t="s">
        <v>4069</v>
      </c>
      <c r="D584" s="307" t="s">
        <v>5573</v>
      </c>
      <c r="E584" s="307" t="s">
        <v>3905</v>
      </c>
      <c r="F584" s="307" t="s">
        <v>3906</v>
      </c>
      <c r="G584" s="307" t="s">
        <v>3907</v>
      </c>
    </row>
    <row r="585" spans="1:7" ht="13.5">
      <c r="A585" s="307" t="s">
        <v>5574</v>
      </c>
      <c r="B585" s="307" t="s">
        <v>5575</v>
      </c>
      <c r="C585" s="307" t="s">
        <v>4069</v>
      </c>
      <c r="D585" s="307" t="s">
        <v>5576</v>
      </c>
      <c r="E585" s="307" t="s">
        <v>3905</v>
      </c>
      <c r="F585" s="307" t="s">
        <v>3906</v>
      </c>
      <c r="G585" s="307" t="s">
        <v>3907</v>
      </c>
    </row>
    <row r="586" spans="1:7" ht="13.5">
      <c r="A586" s="307" t="s">
        <v>5577</v>
      </c>
      <c r="B586" s="307" t="s">
        <v>5578</v>
      </c>
      <c r="C586" s="307" t="s">
        <v>4069</v>
      </c>
      <c r="D586" s="307" t="s">
        <v>5579</v>
      </c>
      <c r="E586" s="307" t="s">
        <v>3905</v>
      </c>
      <c r="F586" s="307" t="s">
        <v>3906</v>
      </c>
      <c r="G586" s="307" t="s">
        <v>3907</v>
      </c>
    </row>
    <row r="587" spans="1:7" ht="13.5">
      <c r="A587" s="307" t="s">
        <v>5580</v>
      </c>
      <c r="B587" s="307" t="s">
        <v>5581</v>
      </c>
      <c r="C587" s="307" t="s">
        <v>4069</v>
      </c>
      <c r="D587" s="307" t="s">
        <v>5582</v>
      </c>
      <c r="E587" s="307" t="s">
        <v>3905</v>
      </c>
      <c r="F587" s="307" t="s">
        <v>3906</v>
      </c>
      <c r="G587" s="307" t="s">
        <v>3907</v>
      </c>
    </row>
    <row r="588" spans="1:7" ht="13.5">
      <c r="A588" s="307" t="s">
        <v>5583</v>
      </c>
      <c r="B588" s="307" t="s">
        <v>5584</v>
      </c>
      <c r="C588" s="307" t="s">
        <v>4069</v>
      </c>
      <c r="D588" s="307" t="s">
        <v>5585</v>
      </c>
      <c r="E588" s="307" t="s">
        <v>3905</v>
      </c>
      <c r="F588" s="307" t="s">
        <v>3906</v>
      </c>
      <c r="G588" s="307" t="s">
        <v>3907</v>
      </c>
    </row>
    <row r="589" spans="1:7" ht="13.5">
      <c r="A589" s="307" t="s">
        <v>5586</v>
      </c>
      <c r="B589" s="307" t="s">
        <v>5587</v>
      </c>
      <c r="C589" s="307" t="s">
        <v>4069</v>
      </c>
      <c r="D589" s="307" t="s">
        <v>5588</v>
      </c>
      <c r="E589" s="307" t="s">
        <v>3905</v>
      </c>
      <c r="F589" s="307" t="s">
        <v>3906</v>
      </c>
      <c r="G589" s="307" t="s">
        <v>3907</v>
      </c>
    </row>
    <row r="590" spans="1:7" ht="13.5">
      <c r="A590" s="307" t="s">
        <v>5589</v>
      </c>
      <c r="B590" s="307" t="s">
        <v>5590</v>
      </c>
      <c r="C590" s="307" t="s">
        <v>4069</v>
      </c>
      <c r="D590" s="307" t="s">
        <v>5591</v>
      </c>
      <c r="E590" s="307" t="s">
        <v>3905</v>
      </c>
      <c r="F590" s="307" t="s">
        <v>3906</v>
      </c>
      <c r="G590" s="307" t="s">
        <v>3907</v>
      </c>
    </row>
    <row r="591" spans="1:7" ht="13.5">
      <c r="A591" s="307" t="s">
        <v>5592</v>
      </c>
      <c r="B591" s="307" t="s">
        <v>5593</v>
      </c>
      <c r="C591" s="307" t="s">
        <v>4069</v>
      </c>
      <c r="D591" s="307" t="s">
        <v>5594</v>
      </c>
      <c r="E591" s="307" t="s">
        <v>3905</v>
      </c>
      <c r="F591" s="307" t="s">
        <v>3906</v>
      </c>
      <c r="G591" s="307" t="s">
        <v>3907</v>
      </c>
    </row>
    <row r="592" spans="1:7" ht="13.5">
      <c r="A592" s="307" t="s">
        <v>5595</v>
      </c>
      <c r="B592" s="307" t="s">
        <v>5596</v>
      </c>
      <c r="C592" s="307" t="s">
        <v>4069</v>
      </c>
      <c r="D592" s="307" t="s">
        <v>5597</v>
      </c>
      <c r="E592" s="307" t="s">
        <v>3905</v>
      </c>
      <c r="F592" s="307" t="s">
        <v>3906</v>
      </c>
      <c r="G592" s="307" t="s">
        <v>3907</v>
      </c>
    </row>
    <row r="593" spans="1:7" ht="13.5">
      <c r="A593" s="307" t="s">
        <v>5598</v>
      </c>
      <c r="B593" s="307" t="s">
        <v>5599</v>
      </c>
      <c r="C593" s="307" t="s">
        <v>4069</v>
      </c>
      <c r="D593" s="307" t="s">
        <v>5600</v>
      </c>
      <c r="E593" s="307" t="s">
        <v>3905</v>
      </c>
      <c r="F593" s="307" t="s">
        <v>3906</v>
      </c>
      <c r="G593" s="307" t="s">
        <v>3907</v>
      </c>
    </row>
    <row r="594" spans="1:7" ht="13.5">
      <c r="A594" s="307" t="s">
        <v>5601</v>
      </c>
      <c r="B594" s="307" t="s">
        <v>5602</v>
      </c>
      <c r="C594" s="307" t="s">
        <v>4069</v>
      </c>
      <c r="D594" s="307" t="s">
        <v>5603</v>
      </c>
      <c r="E594" s="307" t="s">
        <v>3905</v>
      </c>
      <c r="F594" s="307" t="s">
        <v>3906</v>
      </c>
      <c r="G594" s="307" t="s">
        <v>3907</v>
      </c>
    </row>
    <row r="595" spans="1:7" ht="13.5">
      <c r="A595" s="307" t="s">
        <v>5604</v>
      </c>
      <c r="B595" s="307" t="s">
        <v>5605</v>
      </c>
      <c r="C595" s="307" t="s">
        <v>4069</v>
      </c>
      <c r="D595" s="307" t="s">
        <v>5606</v>
      </c>
      <c r="E595" s="307" t="s">
        <v>3905</v>
      </c>
      <c r="F595" s="307" t="s">
        <v>3906</v>
      </c>
      <c r="G595" s="307" t="s">
        <v>3907</v>
      </c>
    </row>
    <row r="596" spans="1:7" ht="13.5">
      <c r="A596" s="307" t="s">
        <v>5607</v>
      </c>
      <c r="B596" s="307" t="s">
        <v>5608</v>
      </c>
      <c r="C596" s="307" t="s">
        <v>4069</v>
      </c>
      <c r="D596" s="307" t="s">
        <v>5609</v>
      </c>
      <c r="E596" s="307" t="s">
        <v>3905</v>
      </c>
      <c r="F596" s="307" t="s">
        <v>3906</v>
      </c>
      <c r="G596" s="307" t="s">
        <v>3907</v>
      </c>
    </row>
    <row r="597" spans="1:7" ht="13.5">
      <c r="A597" s="307" t="s">
        <v>5610</v>
      </c>
      <c r="B597" s="307" t="s">
        <v>5611</v>
      </c>
      <c r="C597" s="307" t="s">
        <v>4069</v>
      </c>
      <c r="D597" s="307" t="s">
        <v>5612</v>
      </c>
      <c r="E597" s="307" t="s">
        <v>3905</v>
      </c>
      <c r="F597" s="307" t="s">
        <v>3906</v>
      </c>
      <c r="G597" s="307" t="s">
        <v>3907</v>
      </c>
    </row>
    <row r="598" spans="1:7" ht="13.5">
      <c r="A598" s="307" t="s">
        <v>5613</v>
      </c>
      <c r="B598" s="307" t="s">
        <v>5614</v>
      </c>
      <c r="C598" s="307" t="s">
        <v>4069</v>
      </c>
      <c r="D598" s="307" t="s">
        <v>5615</v>
      </c>
      <c r="E598" s="307" t="s">
        <v>3905</v>
      </c>
      <c r="F598" s="307" t="s">
        <v>3906</v>
      </c>
      <c r="G598" s="307" t="s">
        <v>3907</v>
      </c>
    </row>
    <row r="599" spans="1:7" ht="13.5">
      <c r="A599" s="307" t="s">
        <v>5616</v>
      </c>
      <c r="B599" s="307" t="s">
        <v>5617</v>
      </c>
      <c r="C599" s="307" t="s">
        <v>4069</v>
      </c>
      <c r="D599" s="307" t="s">
        <v>5618</v>
      </c>
      <c r="E599" s="307" t="s">
        <v>4021</v>
      </c>
      <c r="F599" s="307" t="s">
        <v>3906</v>
      </c>
      <c r="G599" s="307" t="s">
        <v>3907</v>
      </c>
    </row>
    <row r="600" spans="1:7" ht="13.5">
      <c r="A600" s="307" t="s">
        <v>5619</v>
      </c>
      <c r="B600" s="307" t="s">
        <v>5620</v>
      </c>
      <c r="C600" s="307" t="s">
        <v>4069</v>
      </c>
      <c r="D600" s="307" t="s">
        <v>5621</v>
      </c>
      <c r="E600" s="307" t="s">
        <v>3905</v>
      </c>
      <c r="F600" s="307" t="s">
        <v>3906</v>
      </c>
      <c r="G600" s="307" t="s">
        <v>3907</v>
      </c>
    </row>
    <row r="601" spans="1:7" ht="13.5">
      <c r="A601" s="307" t="s">
        <v>5622</v>
      </c>
      <c r="B601" s="307" t="s">
        <v>5623</v>
      </c>
      <c r="C601" s="307" t="s">
        <v>4069</v>
      </c>
      <c r="D601" s="307" t="s">
        <v>5624</v>
      </c>
      <c r="E601" s="307" t="s">
        <v>3905</v>
      </c>
      <c r="F601" s="307" t="s">
        <v>3906</v>
      </c>
      <c r="G601" s="307" t="s">
        <v>3907</v>
      </c>
    </row>
    <row r="602" spans="1:7" ht="13.5">
      <c r="A602" s="307" t="s">
        <v>5625</v>
      </c>
      <c r="B602" s="307" t="s">
        <v>5626</v>
      </c>
      <c r="C602" s="307" t="s">
        <v>4069</v>
      </c>
      <c r="D602" s="307" t="s">
        <v>5627</v>
      </c>
      <c r="E602" s="307" t="s">
        <v>3905</v>
      </c>
      <c r="F602" s="307" t="s">
        <v>3906</v>
      </c>
      <c r="G602" s="307" t="s">
        <v>3907</v>
      </c>
    </row>
    <row r="603" spans="1:7" ht="13.5">
      <c r="A603" s="307" t="s">
        <v>5628</v>
      </c>
      <c r="B603" s="307" t="s">
        <v>825</v>
      </c>
      <c r="C603" s="307" t="s">
        <v>4069</v>
      </c>
      <c r="D603" s="307" t="s">
        <v>5629</v>
      </c>
      <c r="E603" s="307" t="s">
        <v>3905</v>
      </c>
      <c r="F603" s="307" t="s">
        <v>3906</v>
      </c>
      <c r="G603" s="307" t="s">
        <v>3907</v>
      </c>
    </row>
    <row r="604" spans="1:7" ht="13.5">
      <c r="A604" s="307" t="s">
        <v>5630</v>
      </c>
      <c r="B604" s="307" t="s">
        <v>5631</v>
      </c>
      <c r="C604" s="307" t="s">
        <v>4069</v>
      </c>
      <c r="D604" s="307" t="s">
        <v>5632</v>
      </c>
      <c r="E604" s="307" t="s">
        <v>3905</v>
      </c>
      <c r="F604" s="307" t="s">
        <v>3906</v>
      </c>
      <c r="G604" s="307" t="s">
        <v>3907</v>
      </c>
    </row>
    <row r="605" spans="1:7" ht="13.5">
      <c r="A605" s="307" t="s">
        <v>5633</v>
      </c>
      <c r="B605" s="307" t="s">
        <v>5634</v>
      </c>
      <c r="C605" s="307" t="s">
        <v>4069</v>
      </c>
      <c r="D605" s="307" t="s">
        <v>5635</v>
      </c>
      <c r="E605" s="307" t="s">
        <v>3905</v>
      </c>
      <c r="F605" s="307" t="s">
        <v>3906</v>
      </c>
      <c r="G605" s="307" t="s">
        <v>3907</v>
      </c>
    </row>
    <row r="606" spans="1:7" ht="13.5">
      <c r="A606" s="307" t="s">
        <v>5636</v>
      </c>
      <c r="B606" s="307" t="s">
        <v>5637</v>
      </c>
      <c r="C606" s="307" t="s">
        <v>4069</v>
      </c>
      <c r="D606" s="307" t="s">
        <v>5638</v>
      </c>
      <c r="E606" s="307" t="s">
        <v>3905</v>
      </c>
      <c r="F606" s="307" t="s">
        <v>3906</v>
      </c>
      <c r="G606" s="307" t="s">
        <v>3907</v>
      </c>
    </row>
    <row r="607" spans="1:7" ht="13.5">
      <c r="A607" s="307" t="s">
        <v>5639</v>
      </c>
      <c r="B607" s="307" t="s">
        <v>5640</v>
      </c>
      <c r="C607" s="307" t="s">
        <v>4069</v>
      </c>
      <c r="D607" s="307" t="s">
        <v>5641</v>
      </c>
      <c r="E607" s="307" t="s">
        <v>3905</v>
      </c>
      <c r="F607" s="307" t="s">
        <v>3906</v>
      </c>
      <c r="G607" s="307" t="s">
        <v>3907</v>
      </c>
    </row>
    <row r="608" spans="1:7" ht="13.5">
      <c r="A608" s="307" t="s">
        <v>5642</v>
      </c>
      <c r="B608" s="307" t="s">
        <v>5643</v>
      </c>
      <c r="C608" s="307" t="s">
        <v>4069</v>
      </c>
      <c r="D608" s="307" t="s">
        <v>5644</v>
      </c>
      <c r="E608" s="307" t="s">
        <v>3905</v>
      </c>
      <c r="F608" s="307" t="s">
        <v>3906</v>
      </c>
      <c r="G608" s="307" t="s">
        <v>3907</v>
      </c>
    </row>
    <row r="609" spans="1:7" ht="13.5">
      <c r="A609" s="307" t="s">
        <v>5645</v>
      </c>
      <c r="B609" s="307" t="s">
        <v>5646</v>
      </c>
      <c r="C609" s="307" t="s">
        <v>4069</v>
      </c>
      <c r="D609" s="307" t="s">
        <v>5647</v>
      </c>
      <c r="E609" s="307" t="s">
        <v>3905</v>
      </c>
      <c r="F609" s="307" t="s">
        <v>3906</v>
      </c>
      <c r="G609" s="307" t="s">
        <v>3907</v>
      </c>
    </row>
    <row r="610" spans="1:7" ht="13.5">
      <c r="A610" s="307" t="s">
        <v>5648</v>
      </c>
      <c r="B610" s="307" t="s">
        <v>5649</v>
      </c>
      <c r="C610" s="307" t="s">
        <v>4069</v>
      </c>
      <c r="D610" s="307" t="s">
        <v>5650</v>
      </c>
      <c r="E610" s="307" t="s">
        <v>3905</v>
      </c>
      <c r="F610" s="307" t="s">
        <v>3906</v>
      </c>
      <c r="G610" s="307" t="s">
        <v>3907</v>
      </c>
    </row>
    <row r="611" spans="1:7" ht="13.5">
      <c r="A611" s="307" t="s">
        <v>5651</v>
      </c>
      <c r="B611" s="307" t="s">
        <v>5652</v>
      </c>
      <c r="C611" s="307" t="s">
        <v>4069</v>
      </c>
      <c r="D611" s="307" t="s">
        <v>5653</v>
      </c>
      <c r="E611" s="307" t="s">
        <v>3905</v>
      </c>
      <c r="F611" s="307" t="s">
        <v>3906</v>
      </c>
      <c r="G611" s="307" t="s">
        <v>3907</v>
      </c>
    </row>
    <row r="612" spans="1:7" ht="13.5">
      <c r="A612" s="307" t="s">
        <v>5654</v>
      </c>
      <c r="B612" s="307" t="s">
        <v>5655</v>
      </c>
      <c r="C612" s="307" t="s">
        <v>4069</v>
      </c>
      <c r="D612" s="307" t="s">
        <v>5656</v>
      </c>
      <c r="E612" s="307" t="s">
        <v>3905</v>
      </c>
      <c r="F612" s="307" t="s">
        <v>3906</v>
      </c>
      <c r="G612" s="307" t="s">
        <v>3907</v>
      </c>
    </row>
    <row r="613" spans="1:7" ht="13.5">
      <c r="A613" s="307" t="s">
        <v>5657</v>
      </c>
      <c r="B613" s="307" t="s">
        <v>5658</v>
      </c>
      <c r="C613" s="307" t="s">
        <v>4069</v>
      </c>
      <c r="D613" s="307" t="s">
        <v>5659</v>
      </c>
      <c r="E613" s="307" t="s">
        <v>3905</v>
      </c>
      <c r="F613" s="307" t="s">
        <v>3906</v>
      </c>
      <c r="G613" s="307" t="s">
        <v>3907</v>
      </c>
    </row>
    <row r="614" spans="1:7" ht="13.5">
      <c r="A614" s="307" t="s">
        <v>5660</v>
      </c>
      <c r="B614" s="307" t="s">
        <v>5661</v>
      </c>
      <c r="C614" s="307" t="s">
        <v>4069</v>
      </c>
      <c r="D614" s="307" t="s">
        <v>5662</v>
      </c>
      <c r="E614" s="307" t="s">
        <v>3905</v>
      </c>
      <c r="F614" s="307" t="s">
        <v>3906</v>
      </c>
      <c r="G614" s="307" t="s">
        <v>3907</v>
      </c>
    </row>
    <row r="615" spans="1:7" ht="13.5">
      <c r="A615" s="307" t="s">
        <v>5663</v>
      </c>
      <c r="B615" s="307" t="s">
        <v>5664</v>
      </c>
      <c r="C615" s="307" t="s">
        <v>4069</v>
      </c>
      <c r="D615" s="307" t="s">
        <v>5665</v>
      </c>
      <c r="E615" s="307" t="s">
        <v>3905</v>
      </c>
      <c r="F615" s="307" t="s">
        <v>3906</v>
      </c>
      <c r="G615" s="307" t="s">
        <v>3907</v>
      </c>
    </row>
    <row r="616" spans="1:7" ht="13.5">
      <c r="A616" s="307" t="s">
        <v>5666</v>
      </c>
      <c r="B616" s="307" t="s">
        <v>5667</v>
      </c>
      <c r="C616" s="307" t="s">
        <v>4069</v>
      </c>
      <c r="D616" s="307" t="s">
        <v>5668</v>
      </c>
      <c r="E616" s="307" t="s">
        <v>3905</v>
      </c>
      <c r="F616" s="307" t="s">
        <v>3906</v>
      </c>
      <c r="G616" s="307" t="s">
        <v>3907</v>
      </c>
    </row>
    <row r="617" spans="1:7" ht="13.5">
      <c r="A617" s="307" t="s">
        <v>5669</v>
      </c>
      <c r="B617" s="307" t="s">
        <v>5670</v>
      </c>
      <c r="C617" s="307" t="s">
        <v>4069</v>
      </c>
      <c r="D617" s="307" t="s">
        <v>5671</v>
      </c>
      <c r="E617" s="307" t="s">
        <v>3905</v>
      </c>
      <c r="F617" s="307" t="s">
        <v>3906</v>
      </c>
      <c r="G617" s="307" t="s">
        <v>3907</v>
      </c>
    </row>
    <row r="618" spans="1:7" ht="13.5">
      <c r="A618" s="307" t="s">
        <v>5672</v>
      </c>
      <c r="B618" s="307" t="s">
        <v>5673</v>
      </c>
      <c r="C618" s="307" t="s">
        <v>4069</v>
      </c>
      <c r="D618" s="307" t="s">
        <v>5674</v>
      </c>
      <c r="E618" s="307" t="s">
        <v>3905</v>
      </c>
      <c r="F618" s="307" t="s">
        <v>3906</v>
      </c>
      <c r="G618" s="307" t="s">
        <v>3907</v>
      </c>
    </row>
    <row r="619" spans="1:7" ht="13.5">
      <c r="A619" s="307" t="s">
        <v>5675</v>
      </c>
      <c r="B619" s="307" t="s">
        <v>5676</v>
      </c>
      <c r="C619" s="307" t="s">
        <v>4069</v>
      </c>
      <c r="D619" s="307" t="s">
        <v>5677</v>
      </c>
      <c r="E619" s="307" t="s">
        <v>3905</v>
      </c>
      <c r="F619" s="307" t="s">
        <v>3906</v>
      </c>
      <c r="G619" s="307" t="s">
        <v>3907</v>
      </c>
    </row>
    <row r="620" spans="1:7" ht="13.5">
      <c r="A620" s="307" t="s">
        <v>5678</v>
      </c>
      <c r="B620" s="307" t="s">
        <v>5679</v>
      </c>
      <c r="C620" s="307" t="s">
        <v>4069</v>
      </c>
      <c r="D620" s="307" t="s">
        <v>5680</v>
      </c>
      <c r="E620" s="307" t="s">
        <v>3905</v>
      </c>
      <c r="F620" s="307" t="s">
        <v>3906</v>
      </c>
      <c r="G620" s="307" t="s">
        <v>3907</v>
      </c>
    </row>
    <row r="621" spans="1:7" ht="13.5">
      <c r="A621" s="307" t="s">
        <v>5681</v>
      </c>
      <c r="B621" s="307" t="s">
        <v>5682</v>
      </c>
      <c r="C621" s="307" t="s">
        <v>4069</v>
      </c>
      <c r="D621" s="307" t="s">
        <v>5683</v>
      </c>
      <c r="E621" s="307" t="s">
        <v>3905</v>
      </c>
      <c r="F621" s="307" t="s">
        <v>3906</v>
      </c>
      <c r="G621" s="307" t="s">
        <v>3907</v>
      </c>
    </row>
    <row r="622" spans="1:7" ht="13.5">
      <c r="A622" s="307" t="s">
        <v>5684</v>
      </c>
      <c r="B622" s="307" t="s">
        <v>5685</v>
      </c>
      <c r="C622" s="307" t="s">
        <v>4069</v>
      </c>
      <c r="D622" s="307" t="s">
        <v>5686</v>
      </c>
      <c r="E622" s="307" t="s">
        <v>3905</v>
      </c>
      <c r="F622" s="307" t="s">
        <v>3906</v>
      </c>
      <c r="G622" s="307" t="s">
        <v>3907</v>
      </c>
    </row>
    <row r="623" spans="1:7" ht="13.5">
      <c r="A623" s="307" t="s">
        <v>5687</v>
      </c>
      <c r="B623" s="307" t="s">
        <v>5688</v>
      </c>
      <c r="C623" s="307" t="s">
        <v>4069</v>
      </c>
      <c r="D623" s="307" t="s">
        <v>5689</v>
      </c>
      <c r="E623" s="307" t="s">
        <v>3905</v>
      </c>
      <c r="F623" s="307" t="s">
        <v>3906</v>
      </c>
      <c r="G623" s="307" t="s">
        <v>3907</v>
      </c>
    </row>
    <row r="624" spans="1:7" ht="13.5">
      <c r="A624" s="307" t="s">
        <v>5690</v>
      </c>
      <c r="B624" s="307" t="s">
        <v>5691</v>
      </c>
      <c r="C624" s="307" t="s">
        <v>4069</v>
      </c>
      <c r="D624" s="307" t="s">
        <v>5692</v>
      </c>
      <c r="E624" s="307" t="s">
        <v>3905</v>
      </c>
      <c r="F624" s="307" t="s">
        <v>3906</v>
      </c>
      <c r="G624" s="307" t="s">
        <v>3907</v>
      </c>
    </row>
    <row r="625" spans="1:7" ht="13.5">
      <c r="A625" s="307" t="s">
        <v>589</v>
      </c>
      <c r="B625" s="307" t="s">
        <v>820</v>
      </c>
      <c r="C625" s="307" t="s">
        <v>4069</v>
      </c>
      <c r="D625" s="307" t="s">
        <v>5693</v>
      </c>
      <c r="E625" s="307" t="s">
        <v>3905</v>
      </c>
      <c r="F625" s="307" t="s">
        <v>3906</v>
      </c>
      <c r="G625" s="307" t="s">
        <v>3907</v>
      </c>
    </row>
    <row r="626" spans="1:7" ht="13.5">
      <c r="A626" s="307" t="s">
        <v>5694</v>
      </c>
      <c r="B626" s="307" t="s">
        <v>5695</v>
      </c>
      <c r="C626" s="307" t="s">
        <v>4069</v>
      </c>
      <c r="D626" s="307" t="s">
        <v>5696</v>
      </c>
      <c r="E626" s="307" t="s">
        <v>3905</v>
      </c>
      <c r="F626" s="307" t="s">
        <v>3906</v>
      </c>
      <c r="G626" s="307" t="s">
        <v>3907</v>
      </c>
    </row>
    <row r="627" spans="1:7" ht="13.5">
      <c r="A627" s="307" t="s">
        <v>5697</v>
      </c>
      <c r="B627" s="307" t="s">
        <v>5698</v>
      </c>
      <c r="C627" s="307" t="s">
        <v>4069</v>
      </c>
      <c r="D627" s="307" t="s">
        <v>5699</v>
      </c>
      <c r="E627" s="307" t="s">
        <v>3905</v>
      </c>
      <c r="F627" s="307" t="s">
        <v>3906</v>
      </c>
      <c r="G627" s="307" t="s">
        <v>3907</v>
      </c>
    </row>
    <row r="628" spans="1:7" ht="13.5">
      <c r="A628" s="307" t="s">
        <v>5700</v>
      </c>
      <c r="B628" s="307" t="s">
        <v>5701</v>
      </c>
      <c r="C628" s="307" t="s">
        <v>4069</v>
      </c>
      <c r="D628" s="307" t="s">
        <v>5702</v>
      </c>
      <c r="E628" s="307" t="s">
        <v>3905</v>
      </c>
      <c r="F628" s="307" t="s">
        <v>3906</v>
      </c>
      <c r="G628" s="307" t="s">
        <v>3907</v>
      </c>
    </row>
    <row r="629" spans="1:7" ht="13.5">
      <c r="A629" s="307" t="s">
        <v>5703</v>
      </c>
      <c r="B629" s="307" t="s">
        <v>5704</v>
      </c>
      <c r="C629" s="307" t="s">
        <v>4069</v>
      </c>
      <c r="D629" s="307" t="s">
        <v>5705</v>
      </c>
      <c r="E629" s="307" t="s">
        <v>3905</v>
      </c>
      <c r="F629" s="307" t="s">
        <v>3906</v>
      </c>
      <c r="G629" s="307" t="s">
        <v>3907</v>
      </c>
    </row>
    <row r="630" spans="1:7" ht="13.5">
      <c r="A630" s="307" t="s">
        <v>5706</v>
      </c>
      <c r="B630" s="307" t="s">
        <v>5707</v>
      </c>
      <c r="C630" s="307" t="s">
        <v>4069</v>
      </c>
      <c r="D630" s="307" t="s">
        <v>5708</v>
      </c>
      <c r="E630" s="307" t="s">
        <v>3905</v>
      </c>
      <c r="F630" s="307" t="s">
        <v>3906</v>
      </c>
      <c r="G630" s="307" t="s">
        <v>3907</v>
      </c>
    </row>
    <row r="631" spans="1:7" ht="13.5">
      <c r="A631" s="307" t="s">
        <v>5709</v>
      </c>
      <c r="B631" s="307" t="s">
        <v>5710</v>
      </c>
      <c r="C631" s="307" t="s">
        <v>4069</v>
      </c>
      <c r="D631" s="307" t="s">
        <v>5711</v>
      </c>
      <c r="E631" s="307" t="s">
        <v>3905</v>
      </c>
      <c r="F631" s="307" t="s">
        <v>3906</v>
      </c>
      <c r="G631" s="307" t="s">
        <v>3907</v>
      </c>
    </row>
    <row r="632" spans="1:7" ht="13.5">
      <c r="A632" s="307" t="s">
        <v>5712</v>
      </c>
      <c r="B632" s="307" t="s">
        <v>5713</v>
      </c>
      <c r="C632" s="307" t="s">
        <v>4069</v>
      </c>
      <c r="D632" s="307" t="s">
        <v>5714</v>
      </c>
      <c r="E632" s="307" t="s">
        <v>3905</v>
      </c>
      <c r="F632" s="307" t="s">
        <v>3906</v>
      </c>
      <c r="G632" s="307" t="s">
        <v>3907</v>
      </c>
    </row>
    <row r="633" spans="1:7" ht="13.5">
      <c r="A633" s="307" t="s">
        <v>5715</v>
      </c>
      <c r="B633" s="307" t="s">
        <v>5716</v>
      </c>
      <c r="C633" s="307" t="s">
        <v>4069</v>
      </c>
      <c r="D633" s="307" t="s">
        <v>5717</v>
      </c>
      <c r="E633" s="307" t="s">
        <v>3905</v>
      </c>
      <c r="F633" s="307" t="s">
        <v>3906</v>
      </c>
      <c r="G633" s="307" t="s">
        <v>3907</v>
      </c>
    </row>
    <row r="634" spans="1:7" ht="13.5">
      <c r="A634" s="307" t="s">
        <v>587</v>
      </c>
      <c r="B634" s="307" t="s">
        <v>801</v>
      </c>
      <c r="C634" s="307" t="s">
        <v>4069</v>
      </c>
      <c r="D634" s="307" t="s">
        <v>5718</v>
      </c>
      <c r="E634" s="307" t="s">
        <v>3905</v>
      </c>
      <c r="F634" s="307" t="s">
        <v>3906</v>
      </c>
      <c r="G634" s="307" t="s">
        <v>3907</v>
      </c>
    </row>
    <row r="635" spans="1:7" ht="13.5">
      <c r="A635" s="307" t="s">
        <v>5719</v>
      </c>
      <c r="B635" s="307" t="s">
        <v>5720</v>
      </c>
      <c r="C635" s="307" t="s">
        <v>4069</v>
      </c>
      <c r="D635" s="307" t="s">
        <v>5721</v>
      </c>
      <c r="E635" s="307" t="s">
        <v>3905</v>
      </c>
      <c r="F635" s="307" t="s">
        <v>3906</v>
      </c>
      <c r="G635" s="307" t="s">
        <v>3907</v>
      </c>
    </row>
    <row r="636" spans="1:7" ht="13.5">
      <c r="A636" s="307" t="s">
        <v>5722</v>
      </c>
      <c r="B636" s="307" t="s">
        <v>5723</v>
      </c>
      <c r="C636" s="307" t="s">
        <v>4069</v>
      </c>
      <c r="D636" s="307" t="s">
        <v>5724</v>
      </c>
      <c r="E636" s="307" t="s">
        <v>3905</v>
      </c>
      <c r="F636" s="307" t="s">
        <v>3906</v>
      </c>
      <c r="G636" s="307" t="s">
        <v>3907</v>
      </c>
    </row>
    <row r="637" spans="1:7" ht="13.5">
      <c r="A637" s="307" t="s">
        <v>5725</v>
      </c>
      <c r="B637" s="307" t="s">
        <v>5726</v>
      </c>
      <c r="C637" s="307" t="s">
        <v>4069</v>
      </c>
      <c r="D637" s="307" t="s">
        <v>5727</v>
      </c>
      <c r="E637" s="307" t="s">
        <v>3905</v>
      </c>
      <c r="F637" s="307" t="s">
        <v>3906</v>
      </c>
      <c r="G637" s="307" t="s">
        <v>3907</v>
      </c>
    </row>
    <row r="638" spans="1:7" ht="13.5">
      <c r="A638" s="307" t="s">
        <v>5728</v>
      </c>
      <c r="B638" s="307" t="s">
        <v>5729</v>
      </c>
      <c r="C638" s="307" t="s">
        <v>4069</v>
      </c>
      <c r="D638" s="307" t="s">
        <v>5730</v>
      </c>
      <c r="E638" s="307" t="s">
        <v>3905</v>
      </c>
      <c r="F638" s="307" t="s">
        <v>3906</v>
      </c>
      <c r="G638" s="307" t="s">
        <v>3907</v>
      </c>
    </row>
    <row r="639" spans="1:7" ht="13.5">
      <c r="A639" s="307" t="s">
        <v>5731</v>
      </c>
      <c r="B639" s="307" t="s">
        <v>5732</v>
      </c>
      <c r="C639" s="307" t="s">
        <v>4069</v>
      </c>
      <c r="D639" s="307" t="s">
        <v>5733</v>
      </c>
      <c r="E639" s="307" t="s">
        <v>3905</v>
      </c>
      <c r="F639" s="307" t="s">
        <v>3906</v>
      </c>
      <c r="G639" s="307" t="s">
        <v>3907</v>
      </c>
    </row>
    <row r="640" spans="1:7" ht="13.5">
      <c r="A640" s="307" t="s">
        <v>5734</v>
      </c>
      <c r="B640" s="307" t="s">
        <v>5735</v>
      </c>
      <c r="C640" s="307" t="s">
        <v>4069</v>
      </c>
      <c r="D640" s="307" t="s">
        <v>5736</v>
      </c>
      <c r="E640" s="307" t="s">
        <v>3905</v>
      </c>
      <c r="F640" s="307" t="s">
        <v>3906</v>
      </c>
      <c r="G640" s="307" t="s">
        <v>3907</v>
      </c>
    </row>
    <row r="641" spans="1:7" ht="13.5">
      <c r="A641" s="307" t="s">
        <v>5737</v>
      </c>
      <c r="B641" s="307" t="s">
        <v>5738</v>
      </c>
      <c r="C641" s="307" t="s">
        <v>4069</v>
      </c>
      <c r="D641" s="307" t="s">
        <v>5739</v>
      </c>
      <c r="E641" s="307" t="s">
        <v>3905</v>
      </c>
      <c r="F641" s="307" t="s">
        <v>3906</v>
      </c>
      <c r="G641" s="307" t="s">
        <v>3907</v>
      </c>
    </row>
    <row r="642" spans="1:7" ht="13.5">
      <c r="A642" s="307" t="s">
        <v>577</v>
      </c>
      <c r="B642" s="307" t="s">
        <v>5740</v>
      </c>
      <c r="C642" s="307" t="s">
        <v>4069</v>
      </c>
      <c r="D642" s="307" t="s">
        <v>5741</v>
      </c>
      <c r="E642" s="307" t="s">
        <v>3905</v>
      </c>
      <c r="F642" s="307" t="s">
        <v>3906</v>
      </c>
      <c r="G642" s="307" t="s">
        <v>3907</v>
      </c>
    </row>
    <row r="643" spans="1:7" ht="13.5">
      <c r="A643" s="307" t="s">
        <v>5742</v>
      </c>
      <c r="B643" s="307" t="s">
        <v>5743</v>
      </c>
      <c r="C643" s="307" t="s">
        <v>4069</v>
      </c>
      <c r="D643" s="307" t="s">
        <v>5744</v>
      </c>
      <c r="E643" s="307" t="s">
        <v>3905</v>
      </c>
      <c r="F643" s="307" t="s">
        <v>3906</v>
      </c>
      <c r="G643" s="307" t="s">
        <v>3907</v>
      </c>
    </row>
    <row r="644" spans="1:7" ht="13.5">
      <c r="A644" s="307" t="s">
        <v>5745</v>
      </c>
      <c r="B644" s="307" t="s">
        <v>5746</v>
      </c>
      <c r="C644" s="307" t="s">
        <v>4069</v>
      </c>
      <c r="D644" s="307" t="s">
        <v>5747</v>
      </c>
      <c r="E644" s="307" t="s">
        <v>3905</v>
      </c>
      <c r="F644" s="307" t="s">
        <v>3906</v>
      </c>
      <c r="G644" s="307" t="s">
        <v>3907</v>
      </c>
    </row>
    <row r="645" spans="1:7" ht="13.5">
      <c r="A645" s="307" t="s">
        <v>5748</v>
      </c>
      <c r="B645" s="307" t="s">
        <v>5749</v>
      </c>
      <c r="C645" s="307" t="s">
        <v>4069</v>
      </c>
      <c r="D645" s="307" t="s">
        <v>5750</v>
      </c>
      <c r="E645" s="307" t="s">
        <v>3905</v>
      </c>
      <c r="F645" s="307" t="s">
        <v>3906</v>
      </c>
      <c r="G645" s="307" t="s">
        <v>3907</v>
      </c>
    </row>
    <row r="646" spans="1:7" ht="13.5">
      <c r="A646" s="307" t="s">
        <v>5751</v>
      </c>
      <c r="B646" s="307" t="s">
        <v>5752</v>
      </c>
      <c r="C646" s="307" t="s">
        <v>4069</v>
      </c>
      <c r="D646" s="307" t="s">
        <v>5753</v>
      </c>
      <c r="E646" s="307" t="s">
        <v>3905</v>
      </c>
      <c r="F646" s="307" t="s">
        <v>3906</v>
      </c>
      <c r="G646" s="307" t="s">
        <v>3907</v>
      </c>
    </row>
    <row r="647" spans="1:7" ht="13.5">
      <c r="A647" s="307" t="s">
        <v>5754</v>
      </c>
      <c r="B647" s="307" t="s">
        <v>5755</v>
      </c>
      <c r="C647" s="307" t="s">
        <v>4069</v>
      </c>
      <c r="D647" s="307" t="s">
        <v>5756</v>
      </c>
      <c r="E647" s="307" t="s">
        <v>3905</v>
      </c>
      <c r="F647" s="307" t="s">
        <v>3906</v>
      </c>
      <c r="G647" s="307" t="s">
        <v>3907</v>
      </c>
    </row>
    <row r="648" spans="1:7" ht="13.5">
      <c r="A648" s="307" t="s">
        <v>5757</v>
      </c>
      <c r="B648" s="307" t="s">
        <v>5758</v>
      </c>
      <c r="C648" s="307" t="s">
        <v>4069</v>
      </c>
      <c r="D648" s="307" t="s">
        <v>5759</v>
      </c>
      <c r="E648" s="307" t="s">
        <v>3905</v>
      </c>
      <c r="F648" s="307" t="s">
        <v>3906</v>
      </c>
      <c r="G648" s="307" t="s">
        <v>3907</v>
      </c>
    </row>
    <row r="649" spans="1:7" ht="13.5">
      <c r="A649" s="307" t="s">
        <v>601</v>
      </c>
      <c r="B649" s="307" t="s">
        <v>5760</v>
      </c>
      <c r="C649" s="307" t="s">
        <v>4069</v>
      </c>
      <c r="D649" s="307" t="s">
        <v>5761</v>
      </c>
      <c r="E649" s="307" t="s">
        <v>3905</v>
      </c>
      <c r="F649" s="307" t="s">
        <v>3906</v>
      </c>
      <c r="G649" s="307" t="s">
        <v>3907</v>
      </c>
    </row>
    <row r="650" spans="1:7" ht="13.5">
      <c r="A650" s="307" t="s">
        <v>5762</v>
      </c>
      <c r="B650" s="307" t="s">
        <v>5763</v>
      </c>
      <c r="C650" s="307" t="s">
        <v>4069</v>
      </c>
      <c r="D650" s="307" t="s">
        <v>5764</v>
      </c>
      <c r="E650" s="307" t="s">
        <v>3905</v>
      </c>
      <c r="F650" s="307" t="s">
        <v>3906</v>
      </c>
      <c r="G650" s="307" t="s">
        <v>3907</v>
      </c>
    </row>
    <row r="651" spans="1:7" ht="13.5">
      <c r="A651" s="307" t="s">
        <v>5765</v>
      </c>
      <c r="B651" s="307" t="s">
        <v>5766</v>
      </c>
      <c r="C651" s="307" t="s">
        <v>4069</v>
      </c>
      <c r="D651" s="307" t="s">
        <v>5767</v>
      </c>
      <c r="E651" s="307" t="s">
        <v>3905</v>
      </c>
      <c r="F651" s="307" t="s">
        <v>3906</v>
      </c>
      <c r="G651" s="307" t="s">
        <v>3907</v>
      </c>
    </row>
    <row r="652" spans="1:7" ht="13.5">
      <c r="A652" s="307" t="s">
        <v>5768</v>
      </c>
      <c r="B652" s="307" t="s">
        <v>5769</v>
      </c>
      <c r="C652" s="307" t="s">
        <v>4069</v>
      </c>
      <c r="D652" s="307" t="s">
        <v>5770</v>
      </c>
      <c r="E652" s="307" t="s">
        <v>3905</v>
      </c>
      <c r="F652" s="307" t="s">
        <v>3906</v>
      </c>
      <c r="G652" s="307" t="s">
        <v>3907</v>
      </c>
    </row>
    <row r="653" spans="1:7" ht="13.5">
      <c r="A653" s="307" t="s">
        <v>5771</v>
      </c>
      <c r="B653" s="307" t="s">
        <v>5772</v>
      </c>
      <c r="C653" s="307" t="s">
        <v>4069</v>
      </c>
      <c r="D653" s="307" t="s">
        <v>5773</v>
      </c>
      <c r="E653" s="307" t="s">
        <v>3905</v>
      </c>
      <c r="F653" s="307" t="s">
        <v>3906</v>
      </c>
      <c r="G653" s="307" t="s">
        <v>3907</v>
      </c>
    </row>
    <row r="654" spans="1:7" ht="13.5">
      <c r="A654" s="307" t="s">
        <v>5774</v>
      </c>
      <c r="B654" s="307" t="s">
        <v>5775</v>
      </c>
      <c r="C654" s="307" t="s">
        <v>4069</v>
      </c>
      <c r="D654" s="307" t="s">
        <v>5776</v>
      </c>
      <c r="E654" s="307" t="s">
        <v>3905</v>
      </c>
      <c r="F654" s="307" t="s">
        <v>3906</v>
      </c>
      <c r="G654" s="307" t="s">
        <v>3907</v>
      </c>
    </row>
    <row r="655" spans="1:7" ht="13.5">
      <c r="A655" s="307" t="s">
        <v>5777</v>
      </c>
      <c r="B655" s="307" t="s">
        <v>5778</v>
      </c>
      <c r="C655" s="307" t="s">
        <v>4069</v>
      </c>
      <c r="D655" s="307" t="s">
        <v>5779</v>
      </c>
      <c r="E655" s="307" t="s">
        <v>3905</v>
      </c>
      <c r="F655" s="307" t="s">
        <v>3906</v>
      </c>
      <c r="G655" s="307" t="s">
        <v>3907</v>
      </c>
    </row>
    <row r="656" spans="1:7" ht="13.5">
      <c r="A656" s="307" t="s">
        <v>5780</v>
      </c>
      <c r="B656" s="307" t="s">
        <v>5781</v>
      </c>
      <c r="C656" s="307" t="s">
        <v>4069</v>
      </c>
      <c r="D656" s="307" t="s">
        <v>5782</v>
      </c>
      <c r="E656" s="307" t="s">
        <v>3905</v>
      </c>
      <c r="F656" s="307" t="s">
        <v>3906</v>
      </c>
      <c r="G656" s="307" t="s">
        <v>3907</v>
      </c>
    </row>
    <row r="657" spans="1:7" ht="13.5">
      <c r="A657" s="307" t="s">
        <v>5783</v>
      </c>
      <c r="B657" s="307" t="s">
        <v>5784</v>
      </c>
      <c r="C657" s="307" t="s">
        <v>4069</v>
      </c>
      <c r="D657" s="307" t="s">
        <v>5785</v>
      </c>
      <c r="E657" s="307" t="s">
        <v>3905</v>
      </c>
      <c r="F657" s="307" t="s">
        <v>3906</v>
      </c>
      <c r="G657" s="307" t="s">
        <v>3907</v>
      </c>
    </row>
    <row r="658" spans="1:7" ht="13.5">
      <c r="A658" s="307" t="s">
        <v>5786</v>
      </c>
      <c r="B658" s="307" t="s">
        <v>5787</v>
      </c>
      <c r="C658" s="307" t="s">
        <v>4069</v>
      </c>
      <c r="D658" s="307" t="s">
        <v>5788</v>
      </c>
      <c r="E658" s="307" t="s">
        <v>3905</v>
      </c>
      <c r="F658" s="307" t="s">
        <v>3906</v>
      </c>
      <c r="G658" s="307" t="s">
        <v>3907</v>
      </c>
    </row>
    <row r="659" spans="1:7" ht="13.5">
      <c r="A659" s="307" t="s">
        <v>5789</v>
      </c>
      <c r="B659" s="307" t="s">
        <v>5790</v>
      </c>
      <c r="C659" s="307" t="s">
        <v>4069</v>
      </c>
      <c r="D659" s="307" t="s">
        <v>5791</v>
      </c>
      <c r="E659" s="307" t="s">
        <v>3905</v>
      </c>
      <c r="F659" s="307" t="s">
        <v>3906</v>
      </c>
      <c r="G659" s="307" t="s">
        <v>3907</v>
      </c>
    </row>
    <row r="660" spans="1:7" ht="13.5">
      <c r="A660" s="307" t="s">
        <v>5792</v>
      </c>
      <c r="B660" s="307" t="s">
        <v>5793</v>
      </c>
      <c r="C660" s="307" t="s">
        <v>4069</v>
      </c>
      <c r="D660" s="307" t="s">
        <v>5794</v>
      </c>
      <c r="E660" s="307" t="s">
        <v>3905</v>
      </c>
      <c r="F660" s="307" t="s">
        <v>3906</v>
      </c>
      <c r="G660" s="307" t="s">
        <v>3907</v>
      </c>
    </row>
    <row r="661" spans="1:7" ht="13.5">
      <c r="A661" s="307" t="s">
        <v>5795</v>
      </c>
      <c r="B661" s="307" t="s">
        <v>5796</v>
      </c>
      <c r="C661" s="307" t="s">
        <v>4069</v>
      </c>
      <c r="D661" s="307" t="s">
        <v>5797</v>
      </c>
      <c r="E661" s="307" t="s">
        <v>3905</v>
      </c>
      <c r="F661" s="307" t="s">
        <v>3906</v>
      </c>
      <c r="G661" s="307" t="s">
        <v>3907</v>
      </c>
    </row>
    <row r="662" spans="1:7" ht="13.5">
      <c r="A662" s="307" t="s">
        <v>582</v>
      </c>
      <c r="B662" s="307" t="s">
        <v>5798</v>
      </c>
      <c r="C662" s="307" t="s">
        <v>4069</v>
      </c>
      <c r="D662" s="307" t="s">
        <v>5799</v>
      </c>
      <c r="E662" s="307" t="s">
        <v>3905</v>
      </c>
      <c r="F662" s="307" t="s">
        <v>3906</v>
      </c>
      <c r="G662" s="307" t="s">
        <v>3907</v>
      </c>
    </row>
    <row r="663" spans="1:7" ht="13.5">
      <c r="A663" s="307" t="s">
        <v>5800</v>
      </c>
      <c r="B663" s="307" t="s">
        <v>5801</v>
      </c>
      <c r="C663" s="307" t="s">
        <v>4069</v>
      </c>
      <c r="D663" s="307" t="s">
        <v>5802</v>
      </c>
      <c r="E663" s="307" t="s">
        <v>3905</v>
      </c>
      <c r="F663" s="307" t="s">
        <v>3906</v>
      </c>
      <c r="G663" s="307" t="s">
        <v>3907</v>
      </c>
    </row>
    <row r="664" spans="1:7" ht="13.5">
      <c r="A664" s="307" t="s">
        <v>5803</v>
      </c>
      <c r="B664" s="307" t="s">
        <v>5804</v>
      </c>
      <c r="C664" s="307" t="s">
        <v>4069</v>
      </c>
      <c r="D664" s="307" t="s">
        <v>5805</v>
      </c>
      <c r="E664" s="307" t="s">
        <v>3905</v>
      </c>
      <c r="F664" s="307" t="s">
        <v>3906</v>
      </c>
      <c r="G664" s="307" t="s">
        <v>3907</v>
      </c>
    </row>
    <row r="665" spans="1:7" ht="13.5">
      <c r="A665" s="307" t="s">
        <v>5806</v>
      </c>
      <c r="B665" s="307" t="s">
        <v>5807</v>
      </c>
      <c r="C665" s="307" t="s">
        <v>4069</v>
      </c>
      <c r="D665" s="307" t="s">
        <v>5808</v>
      </c>
      <c r="E665" s="307" t="s">
        <v>3905</v>
      </c>
      <c r="F665" s="307" t="s">
        <v>3906</v>
      </c>
      <c r="G665" s="307" t="s">
        <v>3907</v>
      </c>
    </row>
    <row r="666" spans="1:7" ht="13.5">
      <c r="A666" s="307" t="s">
        <v>5809</v>
      </c>
      <c r="B666" s="307" t="s">
        <v>5810</v>
      </c>
      <c r="C666" s="307" t="s">
        <v>4069</v>
      </c>
      <c r="D666" s="307" t="s">
        <v>5811</v>
      </c>
      <c r="E666" s="307" t="s">
        <v>3905</v>
      </c>
      <c r="F666" s="307" t="s">
        <v>3906</v>
      </c>
      <c r="G666" s="307" t="s">
        <v>3907</v>
      </c>
    </row>
    <row r="667" spans="1:7" ht="13.5">
      <c r="A667" s="307" t="s">
        <v>5812</v>
      </c>
      <c r="B667" s="307" t="s">
        <v>5813</v>
      </c>
      <c r="C667" s="307" t="s">
        <v>5814</v>
      </c>
      <c r="D667" s="307" t="s">
        <v>5815</v>
      </c>
      <c r="E667" s="307" t="s">
        <v>3905</v>
      </c>
      <c r="F667" s="307" t="s">
        <v>3906</v>
      </c>
      <c r="G667" s="307" t="s">
        <v>3907</v>
      </c>
    </row>
    <row r="668" spans="1:7" ht="13.5">
      <c r="A668" s="307" t="s">
        <v>5816</v>
      </c>
      <c r="B668" s="307" t="s">
        <v>5817</v>
      </c>
      <c r="C668" s="307" t="s">
        <v>5814</v>
      </c>
      <c r="D668" s="307" t="s">
        <v>5818</v>
      </c>
      <c r="E668" s="307" t="s">
        <v>3905</v>
      </c>
      <c r="F668" s="307" t="s">
        <v>3906</v>
      </c>
      <c r="G668" s="307" t="s">
        <v>3907</v>
      </c>
    </row>
    <row r="669" spans="1:7" ht="13.5">
      <c r="A669" s="307" t="s">
        <v>5819</v>
      </c>
      <c r="B669" s="307" t="s">
        <v>5820</v>
      </c>
      <c r="C669" s="307" t="s">
        <v>5814</v>
      </c>
      <c r="D669" s="307" t="s">
        <v>5821</v>
      </c>
      <c r="E669" s="307" t="s">
        <v>3905</v>
      </c>
      <c r="F669" s="307" t="s">
        <v>3906</v>
      </c>
      <c r="G669" s="307" t="s">
        <v>3907</v>
      </c>
    </row>
    <row r="670" spans="1:7" ht="13.5">
      <c r="A670" s="307" t="s">
        <v>5822</v>
      </c>
      <c r="B670" s="307" t="s">
        <v>5823</v>
      </c>
      <c r="C670" s="307" t="s">
        <v>5814</v>
      </c>
      <c r="D670" s="307" t="s">
        <v>5824</v>
      </c>
      <c r="E670" s="307" t="s">
        <v>3905</v>
      </c>
      <c r="F670" s="307" t="s">
        <v>3906</v>
      </c>
      <c r="G670" s="307" t="s">
        <v>3907</v>
      </c>
    </row>
    <row r="671" spans="1:7" ht="13.5">
      <c r="A671" s="307" t="s">
        <v>5825</v>
      </c>
      <c r="B671" s="307" t="s">
        <v>5826</v>
      </c>
      <c r="C671" s="307" t="s">
        <v>5814</v>
      </c>
      <c r="D671" s="307" t="s">
        <v>5827</v>
      </c>
      <c r="E671" s="307" t="s">
        <v>3905</v>
      </c>
      <c r="F671" s="307" t="s">
        <v>3906</v>
      </c>
      <c r="G671" s="307" t="s">
        <v>3907</v>
      </c>
    </row>
    <row r="672" spans="1:7" ht="13.5">
      <c r="A672" s="307" t="s">
        <v>5828</v>
      </c>
      <c r="B672" s="307" t="s">
        <v>5829</v>
      </c>
      <c r="C672" s="307" t="s">
        <v>5814</v>
      </c>
      <c r="D672" s="307" t="s">
        <v>5830</v>
      </c>
      <c r="E672" s="307" t="s">
        <v>3905</v>
      </c>
      <c r="F672" s="307" t="s">
        <v>3906</v>
      </c>
      <c r="G672" s="307" t="s">
        <v>3907</v>
      </c>
    </row>
    <row r="673" spans="1:7" ht="13.5">
      <c r="A673" s="307" t="s">
        <v>5831</v>
      </c>
      <c r="B673" s="307" t="s">
        <v>5832</v>
      </c>
      <c r="C673" s="307" t="s">
        <v>5814</v>
      </c>
      <c r="D673" s="307" t="s">
        <v>5833</v>
      </c>
      <c r="E673" s="307" t="s">
        <v>3905</v>
      </c>
      <c r="F673" s="307" t="s">
        <v>3906</v>
      </c>
      <c r="G673" s="307" t="s">
        <v>3907</v>
      </c>
    </row>
    <row r="674" spans="1:7" ht="13.5">
      <c r="A674" s="307" t="s">
        <v>5834</v>
      </c>
      <c r="B674" s="307" t="s">
        <v>5835</v>
      </c>
      <c r="C674" s="307" t="s">
        <v>5814</v>
      </c>
      <c r="D674" s="307" t="s">
        <v>5836</v>
      </c>
      <c r="E674" s="307" t="s">
        <v>3905</v>
      </c>
      <c r="F674" s="307" t="s">
        <v>3906</v>
      </c>
      <c r="G674" s="307" t="s">
        <v>3907</v>
      </c>
    </row>
    <row r="675" spans="1:7" ht="13.5">
      <c r="A675" s="307" t="s">
        <v>5837</v>
      </c>
      <c r="B675" s="307" t="s">
        <v>5838</v>
      </c>
      <c r="C675" s="307" t="s">
        <v>5814</v>
      </c>
      <c r="D675" s="307" t="s">
        <v>5839</v>
      </c>
      <c r="E675" s="307" t="s">
        <v>3905</v>
      </c>
      <c r="F675" s="307" t="s">
        <v>3906</v>
      </c>
      <c r="G675" s="307" t="s">
        <v>3907</v>
      </c>
    </row>
    <row r="676" spans="1:7" ht="13.5">
      <c r="A676" s="307" t="s">
        <v>5840</v>
      </c>
      <c r="B676" s="307" t="s">
        <v>5841</v>
      </c>
      <c r="C676" s="307" t="s">
        <v>5814</v>
      </c>
      <c r="D676" s="307" t="s">
        <v>5842</v>
      </c>
      <c r="E676" s="307" t="s">
        <v>3905</v>
      </c>
      <c r="F676" s="307" t="s">
        <v>3906</v>
      </c>
      <c r="G676" s="307" t="s">
        <v>3907</v>
      </c>
    </row>
    <row r="677" spans="1:7" ht="13.5">
      <c r="A677" s="307" t="s">
        <v>5843</v>
      </c>
      <c r="B677" s="307" t="s">
        <v>5844</v>
      </c>
      <c r="C677" s="307" t="s">
        <v>5814</v>
      </c>
      <c r="D677" s="307" t="s">
        <v>5845</v>
      </c>
      <c r="E677" s="307" t="s">
        <v>3905</v>
      </c>
      <c r="F677" s="307" t="s">
        <v>3906</v>
      </c>
      <c r="G677" s="307" t="s">
        <v>3907</v>
      </c>
    </row>
    <row r="678" spans="1:7" ht="13.5">
      <c r="A678" s="307" t="s">
        <v>5846</v>
      </c>
      <c r="B678" s="307" t="s">
        <v>5847</v>
      </c>
      <c r="C678" s="307" t="s">
        <v>5814</v>
      </c>
      <c r="D678" s="307" t="s">
        <v>5848</v>
      </c>
      <c r="E678" s="307" t="s">
        <v>4021</v>
      </c>
      <c r="F678" s="307" t="s">
        <v>3906</v>
      </c>
      <c r="G678" s="307" t="s">
        <v>3907</v>
      </c>
    </row>
    <row r="679" spans="1:7" ht="13.5">
      <c r="A679" s="307" t="s">
        <v>5849</v>
      </c>
      <c r="B679" s="307" t="s">
        <v>5850</v>
      </c>
      <c r="C679" s="307" t="s">
        <v>5814</v>
      </c>
      <c r="D679" s="307" t="s">
        <v>5851</v>
      </c>
      <c r="E679" s="307" t="s">
        <v>3905</v>
      </c>
      <c r="F679" s="307" t="s">
        <v>3906</v>
      </c>
      <c r="G679" s="307" t="s">
        <v>3907</v>
      </c>
    </row>
    <row r="680" spans="1:7" ht="13.5">
      <c r="A680" s="307" t="s">
        <v>5852</v>
      </c>
      <c r="B680" s="307" t="s">
        <v>5853</v>
      </c>
      <c r="C680" s="307" t="s">
        <v>5814</v>
      </c>
      <c r="D680" s="307" t="s">
        <v>5854</v>
      </c>
      <c r="E680" s="307" t="s">
        <v>4021</v>
      </c>
      <c r="F680" s="307" t="s">
        <v>3906</v>
      </c>
      <c r="G680" s="307" t="s">
        <v>3907</v>
      </c>
    </row>
    <row r="681" spans="1:7" ht="13.5">
      <c r="A681" s="307" t="s">
        <v>5855</v>
      </c>
      <c r="B681" s="307" t="s">
        <v>5856</v>
      </c>
      <c r="C681" s="307" t="s">
        <v>5814</v>
      </c>
      <c r="D681" s="307" t="s">
        <v>5857</v>
      </c>
      <c r="E681" s="307" t="s">
        <v>3905</v>
      </c>
      <c r="F681" s="307" t="s">
        <v>3906</v>
      </c>
      <c r="G681" s="307" t="s">
        <v>3907</v>
      </c>
    </row>
    <row r="682" spans="1:7" ht="13.5">
      <c r="A682" s="307" t="s">
        <v>5858</v>
      </c>
      <c r="B682" s="307" t="s">
        <v>5859</v>
      </c>
      <c r="C682" s="307" t="s">
        <v>5814</v>
      </c>
      <c r="D682" s="307" t="s">
        <v>5860</v>
      </c>
      <c r="E682" s="307" t="s">
        <v>3905</v>
      </c>
      <c r="F682" s="307" t="s">
        <v>3906</v>
      </c>
      <c r="G682" s="307" t="s">
        <v>3907</v>
      </c>
    </row>
    <row r="683" spans="1:7" ht="13.5">
      <c r="A683" s="307" t="s">
        <v>5861</v>
      </c>
      <c r="B683" s="307" t="s">
        <v>5862</v>
      </c>
      <c r="C683" s="307" t="s">
        <v>5814</v>
      </c>
      <c r="D683" s="307" t="s">
        <v>5863</v>
      </c>
      <c r="E683" s="307" t="s">
        <v>3905</v>
      </c>
      <c r="F683" s="307" t="s">
        <v>3906</v>
      </c>
      <c r="G683" s="307" t="s">
        <v>3907</v>
      </c>
    </row>
    <row r="684" spans="1:7" ht="13.5">
      <c r="A684" s="307" t="s">
        <v>5864</v>
      </c>
      <c r="B684" s="307" t="s">
        <v>5865</v>
      </c>
      <c r="C684" s="307" t="s">
        <v>5814</v>
      </c>
      <c r="D684" s="307" t="s">
        <v>5866</v>
      </c>
      <c r="E684" s="307" t="s">
        <v>3905</v>
      </c>
      <c r="F684" s="307" t="s">
        <v>3906</v>
      </c>
      <c r="G684" s="307" t="s">
        <v>3907</v>
      </c>
    </row>
    <row r="685" spans="1:7" ht="13.5">
      <c r="A685" s="307" t="s">
        <v>5867</v>
      </c>
      <c r="B685" s="307" t="s">
        <v>5868</v>
      </c>
      <c r="C685" s="307" t="s">
        <v>5814</v>
      </c>
      <c r="D685" s="307" t="s">
        <v>5869</v>
      </c>
      <c r="E685" s="307" t="s">
        <v>3905</v>
      </c>
      <c r="F685" s="307" t="s">
        <v>3906</v>
      </c>
      <c r="G685" s="307" t="s">
        <v>3907</v>
      </c>
    </row>
    <row r="686" spans="1:7" ht="13.5">
      <c r="A686" s="307" t="s">
        <v>5870</v>
      </c>
      <c r="B686" s="307" t="s">
        <v>5871</v>
      </c>
      <c r="C686" s="307" t="s">
        <v>5814</v>
      </c>
      <c r="D686" s="307" t="s">
        <v>5872</v>
      </c>
      <c r="E686" s="307" t="s">
        <v>3905</v>
      </c>
      <c r="F686" s="307" t="s">
        <v>3906</v>
      </c>
      <c r="G686" s="307" t="s">
        <v>3907</v>
      </c>
    </row>
    <row r="687" spans="1:7" ht="13.5">
      <c r="A687" s="307" t="s">
        <v>5873</v>
      </c>
      <c r="B687" s="307" t="s">
        <v>5874</v>
      </c>
      <c r="C687" s="307" t="s">
        <v>5814</v>
      </c>
      <c r="D687" s="307" t="s">
        <v>5875</v>
      </c>
      <c r="E687" s="307" t="s">
        <v>3905</v>
      </c>
      <c r="F687" s="307" t="s">
        <v>3906</v>
      </c>
      <c r="G687" s="307" t="s">
        <v>3907</v>
      </c>
    </row>
    <row r="688" spans="1:7" ht="13.5">
      <c r="A688" s="307" t="s">
        <v>5876</v>
      </c>
      <c r="B688" s="307" t="s">
        <v>5877</v>
      </c>
      <c r="C688" s="307" t="s">
        <v>5814</v>
      </c>
      <c r="D688" s="307" t="s">
        <v>5878</v>
      </c>
      <c r="E688" s="307" t="s">
        <v>3905</v>
      </c>
      <c r="F688" s="307" t="s">
        <v>3906</v>
      </c>
      <c r="G688" s="307" t="s">
        <v>3907</v>
      </c>
    </row>
    <row r="689" spans="1:7" ht="13.5">
      <c r="A689" s="307" t="s">
        <v>5879</v>
      </c>
      <c r="B689" s="307" t="s">
        <v>5880</v>
      </c>
      <c r="C689" s="307" t="s">
        <v>5814</v>
      </c>
      <c r="D689" s="307" t="s">
        <v>5881</v>
      </c>
      <c r="E689" s="307" t="s">
        <v>3905</v>
      </c>
      <c r="F689" s="307" t="s">
        <v>3906</v>
      </c>
      <c r="G689" s="307" t="s">
        <v>3907</v>
      </c>
    </row>
    <row r="690" spans="1:7" ht="13.5">
      <c r="A690" s="307" t="s">
        <v>5882</v>
      </c>
      <c r="B690" s="307" t="s">
        <v>5883</v>
      </c>
      <c r="C690" s="307" t="s">
        <v>5814</v>
      </c>
      <c r="D690" s="307" t="s">
        <v>5884</v>
      </c>
      <c r="E690" s="307" t="s">
        <v>4021</v>
      </c>
      <c r="F690" s="307" t="s">
        <v>3906</v>
      </c>
      <c r="G690" s="307" t="s">
        <v>3907</v>
      </c>
    </row>
    <row r="691" spans="1:7" ht="13.5">
      <c r="A691" s="307" t="s">
        <v>5885</v>
      </c>
      <c r="B691" s="307" t="s">
        <v>5886</v>
      </c>
      <c r="C691" s="307" t="s">
        <v>5814</v>
      </c>
      <c r="D691" s="307" t="s">
        <v>5887</v>
      </c>
      <c r="E691" s="307" t="s">
        <v>3905</v>
      </c>
      <c r="F691" s="307" t="s">
        <v>3906</v>
      </c>
      <c r="G691" s="307" t="s">
        <v>3907</v>
      </c>
    </row>
    <row r="692" spans="1:7" ht="13.5">
      <c r="A692" s="307" t="s">
        <v>5888</v>
      </c>
      <c r="B692" s="307" t="s">
        <v>5889</v>
      </c>
      <c r="C692" s="307" t="s">
        <v>5814</v>
      </c>
      <c r="D692" s="307" t="s">
        <v>5890</v>
      </c>
      <c r="E692" s="307" t="s">
        <v>3905</v>
      </c>
      <c r="F692" s="307" t="s">
        <v>3906</v>
      </c>
      <c r="G692" s="307" t="s">
        <v>3907</v>
      </c>
    </row>
    <row r="693" spans="1:7" ht="13.5">
      <c r="A693" s="307" t="s">
        <v>5891</v>
      </c>
      <c r="B693" s="307" t="s">
        <v>5892</v>
      </c>
      <c r="C693" s="307" t="s">
        <v>5814</v>
      </c>
      <c r="D693" s="307" t="s">
        <v>5893</v>
      </c>
      <c r="E693" s="307" t="s">
        <v>3905</v>
      </c>
      <c r="F693" s="307" t="s">
        <v>3906</v>
      </c>
      <c r="G693" s="307" t="s">
        <v>3907</v>
      </c>
    </row>
    <row r="694" spans="1:7" ht="13.5">
      <c r="A694" s="307" t="s">
        <v>5894</v>
      </c>
      <c r="B694" s="307" t="s">
        <v>5895</v>
      </c>
      <c r="C694" s="307" t="s">
        <v>5814</v>
      </c>
      <c r="D694" s="307" t="s">
        <v>5896</v>
      </c>
      <c r="E694" s="307" t="s">
        <v>3905</v>
      </c>
      <c r="F694" s="307" t="s">
        <v>3906</v>
      </c>
      <c r="G694" s="307" t="s">
        <v>3907</v>
      </c>
    </row>
    <row r="695" spans="1:7" ht="13.5">
      <c r="A695" s="307" t="s">
        <v>5897</v>
      </c>
      <c r="B695" s="307" t="s">
        <v>5898</v>
      </c>
      <c r="C695" s="307" t="s">
        <v>5814</v>
      </c>
      <c r="D695" s="307" t="s">
        <v>5899</v>
      </c>
      <c r="E695" s="307" t="s">
        <v>3905</v>
      </c>
      <c r="F695" s="307" t="s">
        <v>3906</v>
      </c>
      <c r="G695" s="307" t="s">
        <v>3907</v>
      </c>
    </row>
    <row r="696" spans="1:7" ht="13.5">
      <c r="A696" s="307" t="s">
        <v>5900</v>
      </c>
      <c r="B696" s="307" t="s">
        <v>5901</v>
      </c>
      <c r="C696" s="307" t="s">
        <v>5814</v>
      </c>
      <c r="D696" s="307" t="s">
        <v>5902</v>
      </c>
      <c r="E696" s="307" t="s">
        <v>3905</v>
      </c>
      <c r="F696" s="307" t="s">
        <v>3906</v>
      </c>
      <c r="G696" s="307" t="s">
        <v>3907</v>
      </c>
    </row>
    <row r="697" spans="1:7" ht="13.5">
      <c r="A697" s="307" t="s">
        <v>5903</v>
      </c>
      <c r="B697" s="307" t="s">
        <v>5904</v>
      </c>
      <c r="C697" s="307" t="s">
        <v>5814</v>
      </c>
      <c r="D697" s="307" t="s">
        <v>5905</v>
      </c>
      <c r="E697" s="307" t="s">
        <v>3905</v>
      </c>
      <c r="F697" s="307" t="s">
        <v>3906</v>
      </c>
      <c r="G697" s="307" t="s">
        <v>3907</v>
      </c>
    </row>
    <row r="698" spans="1:7" ht="13.5">
      <c r="A698" s="307" t="s">
        <v>5906</v>
      </c>
      <c r="B698" s="307" t="s">
        <v>5907</v>
      </c>
      <c r="C698" s="307" t="s">
        <v>5814</v>
      </c>
      <c r="D698" s="307" t="s">
        <v>5908</v>
      </c>
      <c r="E698" s="307" t="s">
        <v>3905</v>
      </c>
      <c r="F698" s="307" t="s">
        <v>3906</v>
      </c>
      <c r="G698" s="307" t="s">
        <v>3907</v>
      </c>
    </row>
    <row r="699" spans="1:7" ht="13.5">
      <c r="A699" s="307" t="s">
        <v>5909</v>
      </c>
      <c r="B699" s="307" t="s">
        <v>5910</v>
      </c>
      <c r="C699" s="307" t="s">
        <v>5814</v>
      </c>
      <c r="D699" s="307" t="s">
        <v>5911</v>
      </c>
      <c r="E699" s="307" t="s">
        <v>3905</v>
      </c>
      <c r="F699" s="307" t="s">
        <v>3906</v>
      </c>
      <c r="G699" s="307" t="s">
        <v>3907</v>
      </c>
    </row>
    <row r="700" spans="1:7" ht="13.5">
      <c r="A700" s="307" t="s">
        <v>5912</v>
      </c>
      <c r="B700" s="307" t="s">
        <v>5913</v>
      </c>
      <c r="C700" s="307" t="s">
        <v>5814</v>
      </c>
      <c r="D700" s="307" t="s">
        <v>5914</v>
      </c>
      <c r="E700" s="307" t="s">
        <v>4021</v>
      </c>
      <c r="F700" s="307" t="s">
        <v>3906</v>
      </c>
      <c r="G700" s="307" t="s">
        <v>3907</v>
      </c>
    </row>
    <row r="701" spans="1:7" ht="13.5">
      <c r="A701" s="307" t="s">
        <v>5915</v>
      </c>
      <c r="B701" s="307" t="s">
        <v>5916</v>
      </c>
      <c r="C701" s="307" t="s">
        <v>5814</v>
      </c>
      <c r="D701" s="307" t="s">
        <v>5917</v>
      </c>
      <c r="E701" s="307" t="s">
        <v>3905</v>
      </c>
      <c r="F701" s="307" t="s">
        <v>3906</v>
      </c>
      <c r="G701" s="307" t="s">
        <v>3907</v>
      </c>
    </row>
    <row r="702" spans="1:7" ht="13.5">
      <c r="A702" s="307" t="s">
        <v>5918</v>
      </c>
      <c r="B702" s="307" t="s">
        <v>5919</v>
      </c>
      <c r="C702" s="307" t="s">
        <v>5814</v>
      </c>
      <c r="D702" s="307" t="s">
        <v>5920</v>
      </c>
      <c r="E702" s="307" t="s">
        <v>3905</v>
      </c>
      <c r="F702" s="307" t="s">
        <v>3906</v>
      </c>
      <c r="G702" s="307" t="s">
        <v>3907</v>
      </c>
    </row>
    <row r="703" spans="1:7" ht="13.5">
      <c r="A703" s="307" t="s">
        <v>5921</v>
      </c>
      <c r="B703" s="307" t="s">
        <v>5922</v>
      </c>
      <c r="C703" s="307" t="s">
        <v>5814</v>
      </c>
      <c r="D703" s="307" t="s">
        <v>5923</v>
      </c>
      <c r="E703" s="307" t="s">
        <v>3905</v>
      </c>
      <c r="F703" s="307" t="s">
        <v>3906</v>
      </c>
      <c r="G703" s="307" t="s">
        <v>3907</v>
      </c>
    </row>
    <row r="704" spans="1:7" ht="13.5">
      <c r="A704" s="307" t="s">
        <v>5924</v>
      </c>
      <c r="B704" s="307" t="s">
        <v>5925</v>
      </c>
      <c r="C704" s="307" t="s">
        <v>5814</v>
      </c>
      <c r="D704" s="307" t="s">
        <v>5926</v>
      </c>
      <c r="E704" s="307" t="s">
        <v>3905</v>
      </c>
      <c r="F704" s="307" t="s">
        <v>3906</v>
      </c>
      <c r="G704" s="307" t="s">
        <v>3907</v>
      </c>
    </row>
    <row r="705" spans="1:7" ht="13.5">
      <c r="A705" s="307" t="s">
        <v>5927</v>
      </c>
      <c r="B705" s="307" t="s">
        <v>5928</v>
      </c>
      <c r="C705" s="307" t="s">
        <v>5814</v>
      </c>
      <c r="D705" s="307" t="s">
        <v>5929</v>
      </c>
      <c r="E705" s="307" t="s">
        <v>3905</v>
      </c>
      <c r="F705" s="307" t="s">
        <v>3906</v>
      </c>
      <c r="G705" s="307" t="s">
        <v>3907</v>
      </c>
    </row>
    <row r="706" spans="1:7" ht="13.5">
      <c r="A706" s="307" t="s">
        <v>5930</v>
      </c>
      <c r="B706" s="307" t="s">
        <v>5931</v>
      </c>
      <c r="C706" s="307" t="s">
        <v>5814</v>
      </c>
      <c r="D706" s="307" t="s">
        <v>5932</v>
      </c>
      <c r="E706" s="307" t="s">
        <v>3905</v>
      </c>
      <c r="F706" s="307" t="s">
        <v>3906</v>
      </c>
      <c r="G706" s="307" t="s">
        <v>3907</v>
      </c>
    </row>
    <row r="707" spans="1:7" ht="13.5">
      <c r="A707" s="307" t="s">
        <v>5933</v>
      </c>
      <c r="B707" s="307" t="s">
        <v>5934</v>
      </c>
      <c r="C707" s="307" t="s">
        <v>5814</v>
      </c>
      <c r="D707" s="307" t="s">
        <v>5935</v>
      </c>
      <c r="E707" s="307" t="s">
        <v>3905</v>
      </c>
      <c r="F707" s="307" t="s">
        <v>3906</v>
      </c>
      <c r="G707" s="307" t="s">
        <v>3907</v>
      </c>
    </row>
    <row r="708" spans="1:7" ht="13.5">
      <c r="A708" s="307" t="s">
        <v>5936</v>
      </c>
      <c r="B708" s="307" t="s">
        <v>5937</v>
      </c>
      <c r="C708" s="307" t="s">
        <v>5814</v>
      </c>
      <c r="D708" s="307" t="s">
        <v>5938</v>
      </c>
      <c r="E708" s="307" t="s">
        <v>4021</v>
      </c>
      <c r="F708" s="307" t="s">
        <v>3906</v>
      </c>
      <c r="G708" s="307" t="s">
        <v>3907</v>
      </c>
    </row>
    <row r="709" spans="1:7" ht="13.5">
      <c r="A709" s="307" t="s">
        <v>5939</v>
      </c>
      <c r="B709" s="307" t="s">
        <v>5940</v>
      </c>
      <c r="C709" s="307" t="s">
        <v>5814</v>
      </c>
      <c r="D709" s="307" t="s">
        <v>5941</v>
      </c>
      <c r="E709" s="307" t="s">
        <v>3905</v>
      </c>
      <c r="F709" s="307" t="s">
        <v>3906</v>
      </c>
      <c r="G709" s="307" t="s">
        <v>3907</v>
      </c>
    </row>
    <row r="710" spans="1:7" ht="13.5">
      <c r="A710" s="307" t="s">
        <v>5942</v>
      </c>
      <c r="B710" s="307" t="s">
        <v>5943</v>
      </c>
      <c r="C710" s="307" t="s">
        <v>5814</v>
      </c>
      <c r="D710" s="307" t="s">
        <v>2368</v>
      </c>
      <c r="E710" s="307" t="s">
        <v>3905</v>
      </c>
      <c r="F710" s="307" t="s">
        <v>3906</v>
      </c>
      <c r="G710" s="307" t="s">
        <v>3907</v>
      </c>
    </row>
    <row r="711" spans="1:7" ht="13.5">
      <c r="A711" s="307" t="s">
        <v>5944</v>
      </c>
      <c r="B711" s="307" t="s">
        <v>5945</v>
      </c>
      <c r="C711" s="307" t="s">
        <v>5814</v>
      </c>
      <c r="D711" s="307" t="s">
        <v>5946</v>
      </c>
      <c r="E711" s="307" t="s">
        <v>3905</v>
      </c>
      <c r="F711" s="307" t="s">
        <v>3906</v>
      </c>
      <c r="G711" s="307" t="s">
        <v>3907</v>
      </c>
    </row>
    <row r="712" spans="1:7" ht="13.5">
      <c r="A712" s="307" t="s">
        <v>5947</v>
      </c>
      <c r="B712" s="307" t="s">
        <v>5948</v>
      </c>
      <c r="C712" s="307" t="s">
        <v>5814</v>
      </c>
      <c r="D712" s="307" t="s">
        <v>5949</v>
      </c>
      <c r="E712" s="307" t="s">
        <v>4021</v>
      </c>
      <c r="F712" s="307" t="s">
        <v>3906</v>
      </c>
      <c r="G712" s="307" t="s">
        <v>3907</v>
      </c>
    </row>
    <row r="713" spans="1:7" ht="13.5">
      <c r="A713" s="307" t="s">
        <v>5950</v>
      </c>
      <c r="B713" s="307" t="s">
        <v>5951</v>
      </c>
      <c r="C713" s="307" t="s">
        <v>5814</v>
      </c>
      <c r="D713" s="307" t="s">
        <v>5952</v>
      </c>
      <c r="E713" s="307" t="s">
        <v>3905</v>
      </c>
      <c r="F713" s="307" t="s">
        <v>3906</v>
      </c>
      <c r="G713" s="307" t="s">
        <v>3907</v>
      </c>
    </row>
    <row r="714" spans="1:7" ht="13.5">
      <c r="A714" s="307" t="s">
        <v>5953</v>
      </c>
      <c r="B714" s="307" t="s">
        <v>5954</v>
      </c>
      <c r="C714" s="307" t="s">
        <v>5814</v>
      </c>
      <c r="D714" s="307" t="s">
        <v>5955</v>
      </c>
      <c r="E714" s="307" t="s">
        <v>3905</v>
      </c>
      <c r="F714" s="307" t="s">
        <v>3906</v>
      </c>
      <c r="G714" s="307" t="s">
        <v>3907</v>
      </c>
    </row>
    <row r="715" spans="1:7" ht="13.5">
      <c r="A715" s="307" t="s">
        <v>5956</v>
      </c>
      <c r="B715" s="307" t="s">
        <v>5957</v>
      </c>
      <c r="C715" s="307" t="s">
        <v>5814</v>
      </c>
      <c r="D715" s="307" t="s">
        <v>5958</v>
      </c>
      <c r="E715" s="307" t="s">
        <v>3905</v>
      </c>
      <c r="F715" s="307" t="s">
        <v>3906</v>
      </c>
      <c r="G715" s="307" t="s">
        <v>3907</v>
      </c>
    </row>
    <row r="716" spans="1:7" ht="13.5">
      <c r="A716" s="307" t="s">
        <v>5959</v>
      </c>
      <c r="B716" s="307" t="s">
        <v>5960</v>
      </c>
      <c r="C716" s="307" t="s">
        <v>5814</v>
      </c>
      <c r="D716" s="307" t="s">
        <v>5961</v>
      </c>
      <c r="E716" s="307" t="s">
        <v>3905</v>
      </c>
      <c r="F716" s="307" t="s">
        <v>3906</v>
      </c>
      <c r="G716" s="307" t="s">
        <v>3907</v>
      </c>
    </row>
    <row r="717" spans="1:7" ht="13.5">
      <c r="A717" s="307" t="s">
        <v>5962</v>
      </c>
      <c r="B717" s="307" t="s">
        <v>5963</v>
      </c>
      <c r="C717" s="307" t="s">
        <v>5814</v>
      </c>
      <c r="D717" s="307" t="s">
        <v>5964</v>
      </c>
      <c r="E717" s="307" t="s">
        <v>3905</v>
      </c>
      <c r="F717" s="307" t="s">
        <v>3906</v>
      </c>
      <c r="G717" s="307" t="s">
        <v>3907</v>
      </c>
    </row>
    <row r="718" spans="1:7" ht="13.5">
      <c r="A718" s="307" t="s">
        <v>5965</v>
      </c>
      <c r="B718" s="307" t="s">
        <v>5966</v>
      </c>
      <c r="C718" s="307" t="s">
        <v>5814</v>
      </c>
      <c r="D718" s="307" t="s">
        <v>5967</v>
      </c>
      <c r="E718" s="307" t="s">
        <v>3905</v>
      </c>
      <c r="F718" s="307" t="s">
        <v>3906</v>
      </c>
      <c r="G718" s="307" t="s">
        <v>3907</v>
      </c>
    </row>
    <row r="719" spans="1:7" ht="13.5">
      <c r="A719" s="307" t="s">
        <v>5968</v>
      </c>
      <c r="B719" s="307" t="s">
        <v>5969</v>
      </c>
      <c r="C719" s="307" t="s">
        <v>5814</v>
      </c>
      <c r="D719" s="307" t="s">
        <v>5970</v>
      </c>
      <c r="E719" s="307" t="s">
        <v>3905</v>
      </c>
      <c r="F719" s="307" t="s">
        <v>3906</v>
      </c>
      <c r="G719" s="307" t="s">
        <v>3907</v>
      </c>
    </row>
    <row r="720" spans="1:7" ht="13.5">
      <c r="A720" s="307" t="s">
        <v>5971</v>
      </c>
      <c r="B720" s="307" t="s">
        <v>5972</v>
      </c>
      <c r="C720" s="307" t="s">
        <v>5814</v>
      </c>
      <c r="D720" s="307" t="s">
        <v>5973</v>
      </c>
      <c r="E720" s="307" t="s">
        <v>3905</v>
      </c>
      <c r="F720" s="307" t="s">
        <v>3906</v>
      </c>
      <c r="G720" s="307" t="s">
        <v>3907</v>
      </c>
    </row>
    <row r="721" spans="1:7" ht="13.5">
      <c r="A721" s="307" t="s">
        <v>5974</v>
      </c>
      <c r="B721" s="307" t="s">
        <v>5975</v>
      </c>
      <c r="C721" s="307" t="s">
        <v>5814</v>
      </c>
      <c r="D721" s="307" t="s">
        <v>5976</v>
      </c>
      <c r="E721" s="307" t="s">
        <v>3905</v>
      </c>
      <c r="F721" s="307" t="s">
        <v>3906</v>
      </c>
      <c r="G721" s="307" t="s">
        <v>3907</v>
      </c>
    </row>
    <row r="722" spans="1:7" ht="13.5">
      <c r="A722" s="307" t="s">
        <v>5977</v>
      </c>
      <c r="B722" s="307" t="s">
        <v>5978</v>
      </c>
      <c r="C722" s="307" t="s">
        <v>5814</v>
      </c>
      <c r="D722" s="307" t="s">
        <v>5979</v>
      </c>
      <c r="E722" s="307" t="s">
        <v>3905</v>
      </c>
      <c r="F722" s="307" t="s">
        <v>3906</v>
      </c>
      <c r="G722" s="307" t="s">
        <v>3907</v>
      </c>
    </row>
    <row r="723" spans="1:7" ht="13.5">
      <c r="A723" s="307" t="s">
        <v>5980</v>
      </c>
      <c r="B723" s="307" t="s">
        <v>5981</v>
      </c>
      <c r="C723" s="307" t="s">
        <v>5814</v>
      </c>
      <c r="D723" s="307" t="s">
        <v>5982</v>
      </c>
      <c r="E723" s="307" t="s">
        <v>3905</v>
      </c>
      <c r="F723" s="307" t="s">
        <v>3906</v>
      </c>
      <c r="G723" s="307" t="s">
        <v>3907</v>
      </c>
    </row>
    <row r="724" spans="1:7" ht="13.5">
      <c r="A724" s="307" t="s">
        <v>5983</v>
      </c>
      <c r="B724" s="307" t="s">
        <v>5984</v>
      </c>
      <c r="C724" s="307" t="s">
        <v>5814</v>
      </c>
      <c r="D724" s="307" t="s">
        <v>5985</v>
      </c>
      <c r="E724" s="307" t="s">
        <v>3905</v>
      </c>
      <c r="F724" s="307" t="s">
        <v>3906</v>
      </c>
      <c r="G724" s="307" t="s">
        <v>3907</v>
      </c>
    </row>
    <row r="725" spans="1:7" ht="13.5">
      <c r="A725" s="307" t="s">
        <v>5986</v>
      </c>
      <c r="B725" s="307" t="s">
        <v>5987</v>
      </c>
      <c r="C725" s="307" t="s">
        <v>5814</v>
      </c>
      <c r="D725" s="307" t="s">
        <v>5988</v>
      </c>
      <c r="E725" s="307" t="s">
        <v>3905</v>
      </c>
      <c r="F725" s="307" t="s">
        <v>3906</v>
      </c>
      <c r="G725" s="307" t="s">
        <v>3907</v>
      </c>
    </row>
    <row r="726" spans="1:7" ht="13.5">
      <c r="A726" s="307" t="s">
        <v>5989</v>
      </c>
      <c r="B726" s="307" t="s">
        <v>5990</v>
      </c>
      <c r="C726" s="307" t="s">
        <v>5814</v>
      </c>
      <c r="D726" s="307" t="s">
        <v>5991</v>
      </c>
      <c r="E726" s="307" t="s">
        <v>3905</v>
      </c>
      <c r="F726" s="307" t="s">
        <v>3906</v>
      </c>
      <c r="G726" s="307" t="s">
        <v>3907</v>
      </c>
    </row>
    <row r="727" spans="1:7" ht="13.5">
      <c r="A727" s="307" t="s">
        <v>5992</v>
      </c>
      <c r="B727" s="307" t="s">
        <v>5993</v>
      </c>
      <c r="C727" s="307" t="s">
        <v>5814</v>
      </c>
      <c r="D727" s="307" t="s">
        <v>2580</v>
      </c>
      <c r="E727" s="307" t="s">
        <v>3905</v>
      </c>
      <c r="F727" s="307" t="s">
        <v>3906</v>
      </c>
      <c r="G727" s="307" t="s">
        <v>3907</v>
      </c>
    </row>
    <row r="728" spans="1:7" ht="13.5">
      <c r="A728" s="307" t="s">
        <v>5994</v>
      </c>
      <c r="B728" s="307" t="s">
        <v>5995</v>
      </c>
      <c r="C728" s="307" t="s">
        <v>5814</v>
      </c>
      <c r="D728" s="307" t="s">
        <v>5996</v>
      </c>
      <c r="E728" s="307" t="s">
        <v>3905</v>
      </c>
      <c r="F728" s="307" t="s">
        <v>3906</v>
      </c>
      <c r="G728" s="307" t="s">
        <v>3907</v>
      </c>
    </row>
    <row r="729" spans="1:7" ht="13.5">
      <c r="A729" s="307" t="s">
        <v>5997</v>
      </c>
      <c r="B729" s="307" t="s">
        <v>5998</v>
      </c>
      <c r="C729" s="307" t="s">
        <v>5814</v>
      </c>
      <c r="D729" s="307" t="s">
        <v>5999</v>
      </c>
      <c r="E729" s="307" t="s">
        <v>3905</v>
      </c>
      <c r="F729" s="307" t="s">
        <v>3906</v>
      </c>
      <c r="G729" s="307" t="s">
        <v>3907</v>
      </c>
    </row>
    <row r="730" spans="1:7" ht="13.5">
      <c r="A730" s="307" t="s">
        <v>6000</v>
      </c>
      <c r="B730" s="307" t="s">
        <v>6001</v>
      </c>
      <c r="C730" s="307" t="s">
        <v>5814</v>
      </c>
      <c r="D730" s="307" t="s">
        <v>6002</v>
      </c>
      <c r="E730" s="307" t="s">
        <v>3905</v>
      </c>
      <c r="F730" s="307" t="s">
        <v>3906</v>
      </c>
      <c r="G730" s="307" t="s">
        <v>3907</v>
      </c>
    </row>
    <row r="731" spans="1:7" ht="13.5">
      <c r="A731" s="307" t="s">
        <v>6003</v>
      </c>
      <c r="B731" s="307" t="s">
        <v>6004</v>
      </c>
      <c r="C731" s="307" t="s">
        <v>5814</v>
      </c>
      <c r="D731" s="307" t="s">
        <v>6005</v>
      </c>
      <c r="E731" s="307" t="s">
        <v>3905</v>
      </c>
      <c r="F731" s="307" t="s">
        <v>3906</v>
      </c>
      <c r="G731" s="307" t="s">
        <v>3907</v>
      </c>
    </row>
    <row r="732" spans="1:7" ht="13.5">
      <c r="A732" s="307" t="s">
        <v>6006</v>
      </c>
      <c r="B732" s="307" t="s">
        <v>6007</v>
      </c>
      <c r="C732" s="307" t="s">
        <v>5814</v>
      </c>
      <c r="D732" s="307" t="s">
        <v>6008</v>
      </c>
      <c r="E732" s="307" t="s">
        <v>3905</v>
      </c>
      <c r="F732" s="307" t="s">
        <v>3906</v>
      </c>
      <c r="G732" s="307" t="s">
        <v>3907</v>
      </c>
    </row>
    <row r="733" spans="1:7" ht="13.5">
      <c r="A733" s="307" t="s">
        <v>6009</v>
      </c>
      <c r="B733" s="307" t="s">
        <v>6010</v>
      </c>
      <c r="C733" s="307" t="s">
        <v>5814</v>
      </c>
      <c r="D733" s="307" t="s">
        <v>6011</v>
      </c>
      <c r="E733" s="307" t="s">
        <v>3905</v>
      </c>
      <c r="F733" s="307" t="s">
        <v>3906</v>
      </c>
      <c r="G733" s="307" t="s">
        <v>3907</v>
      </c>
    </row>
    <row r="734" spans="1:7" ht="13.5">
      <c r="A734" s="307" t="s">
        <v>6012</v>
      </c>
      <c r="B734" s="307" t="s">
        <v>6013</v>
      </c>
      <c r="C734" s="307" t="s">
        <v>5814</v>
      </c>
      <c r="D734" s="307" t="s">
        <v>6014</v>
      </c>
      <c r="E734" s="307" t="s">
        <v>3905</v>
      </c>
      <c r="F734" s="307" t="s">
        <v>3906</v>
      </c>
      <c r="G734" s="307" t="s">
        <v>3907</v>
      </c>
    </row>
    <row r="735" spans="1:7" ht="13.5">
      <c r="A735" s="307" t="s">
        <v>6015</v>
      </c>
      <c r="B735" s="307" t="s">
        <v>6016</v>
      </c>
      <c r="C735" s="307" t="s">
        <v>5814</v>
      </c>
      <c r="D735" s="307" t="s">
        <v>4121</v>
      </c>
      <c r="E735" s="307" t="s">
        <v>3905</v>
      </c>
      <c r="F735" s="307" t="s">
        <v>3906</v>
      </c>
      <c r="G735" s="307" t="s">
        <v>3907</v>
      </c>
    </row>
    <row r="736" spans="1:7" ht="13.5">
      <c r="A736" s="307" t="s">
        <v>6017</v>
      </c>
      <c r="B736" s="307" t="s">
        <v>6018</v>
      </c>
      <c r="C736" s="307" t="s">
        <v>5814</v>
      </c>
      <c r="D736" s="307" t="s">
        <v>6019</v>
      </c>
      <c r="E736" s="307" t="s">
        <v>3905</v>
      </c>
      <c r="F736" s="307" t="s">
        <v>3906</v>
      </c>
      <c r="G736" s="307" t="s">
        <v>3907</v>
      </c>
    </row>
    <row r="737" spans="1:7" ht="13.5">
      <c r="A737" s="307" t="s">
        <v>6020</v>
      </c>
      <c r="B737" s="307" t="s">
        <v>6021</v>
      </c>
      <c r="C737" s="307" t="s">
        <v>5814</v>
      </c>
      <c r="D737" s="307" t="s">
        <v>6022</v>
      </c>
      <c r="E737" s="307" t="s">
        <v>3905</v>
      </c>
      <c r="F737" s="307" t="s">
        <v>3906</v>
      </c>
      <c r="G737" s="307" t="s">
        <v>3907</v>
      </c>
    </row>
    <row r="738" spans="1:7" ht="13.5">
      <c r="A738" s="307" t="s">
        <v>6023</v>
      </c>
      <c r="B738" s="307" t="s">
        <v>6024</v>
      </c>
      <c r="C738" s="307" t="s">
        <v>5814</v>
      </c>
      <c r="D738" s="307" t="s">
        <v>6025</v>
      </c>
      <c r="E738" s="307" t="s">
        <v>3905</v>
      </c>
      <c r="F738" s="307" t="s">
        <v>3906</v>
      </c>
      <c r="G738" s="307" t="s">
        <v>3907</v>
      </c>
    </row>
    <row r="739" spans="1:7" ht="13.5">
      <c r="A739" s="307" t="s">
        <v>6026</v>
      </c>
      <c r="B739" s="307" t="s">
        <v>6027</v>
      </c>
      <c r="C739" s="307" t="s">
        <v>5814</v>
      </c>
      <c r="D739" s="307" t="s">
        <v>6028</v>
      </c>
      <c r="E739" s="307" t="s">
        <v>3905</v>
      </c>
      <c r="F739" s="307" t="s">
        <v>3906</v>
      </c>
      <c r="G739" s="307" t="s">
        <v>3907</v>
      </c>
    </row>
    <row r="740" spans="1:7" ht="13.5">
      <c r="A740" s="307" t="s">
        <v>6029</v>
      </c>
      <c r="B740" s="307" t="s">
        <v>6030</v>
      </c>
      <c r="C740" s="307" t="s">
        <v>5814</v>
      </c>
      <c r="D740" s="307" t="s">
        <v>6031</v>
      </c>
      <c r="E740" s="307" t="s">
        <v>3905</v>
      </c>
      <c r="F740" s="307" t="s">
        <v>3906</v>
      </c>
      <c r="G740" s="307" t="s">
        <v>3907</v>
      </c>
    </row>
    <row r="741" spans="1:7" ht="13.5">
      <c r="A741" s="307" t="s">
        <v>6032</v>
      </c>
      <c r="B741" s="307" t="s">
        <v>6033</v>
      </c>
      <c r="C741" s="307" t="s">
        <v>5814</v>
      </c>
      <c r="D741" s="307" t="s">
        <v>6031</v>
      </c>
      <c r="E741" s="307" t="s">
        <v>3905</v>
      </c>
      <c r="F741" s="307" t="s">
        <v>3906</v>
      </c>
      <c r="G741" s="307" t="s">
        <v>3907</v>
      </c>
    </row>
    <row r="742" spans="1:7" ht="13.5">
      <c r="A742" s="307" t="s">
        <v>6034</v>
      </c>
      <c r="B742" s="307" t="s">
        <v>6035</v>
      </c>
      <c r="C742" s="307" t="s">
        <v>5814</v>
      </c>
      <c r="D742" s="307" t="s">
        <v>6036</v>
      </c>
      <c r="E742" s="307" t="s">
        <v>3905</v>
      </c>
      <c r="F742" s="307" t="s">
        <v>3906</v>
      </c>
      <c r="G742" s="307" t="s">
        <v>3907</v>
      </c>
    </row>
    <row r="743" spans="1:7" ht="13.5">
      <c r="A743" s="307" t="s">
        <v>6037</v>
      </c>
      <c r="B743" s="307" t="s">
        <v>6038</v>
      </c>
      <c r="C743" s="307" t="s">
        <v>5814</v>
      </c>
      <c r="D743" s="307" t="s">
        <v>6039</v>
      </c>
      <c r="E743" s="307" t="s">
        <v>3905</v>
      </c>
      <c r="F743" s="307" t="s">
        <v>3906</v>
      </c>
      <c r="G743" s="307" t="s">
        <v>3907</v>
      </c>
    </row>
    <row r="744" spans="1:7" ht="13.5">
      <c r="A744" s="307" t="s">
        <v>6040</v>
      </c>
      <c r="B744" s="307" t="s">
        <v>6041</v>
      </c>
      <c r="C744" s="307" t="s">
        <v>5814</v>
      </c>
      <c r="D744" s="307" t="s">
        <v>6039</v>
      </c>
      <c r="E744" s="307" t="s">
        <v>3905</v>
      </c>
      <c r="F744" s="307" t="s">
        <v>3906</v>
      </c>
      <c r="G744" s="307" t="s">
        <v>3907</v>
      </c>
    </row>
    <row r="745" spans="1:7" ht="13.5">
      <c r="A745" s="307" t="s">
        <v>6042</v>
      </c>
      <c r="B745" s="307" t="s">
        <v>6043</v>
      </c>
      <c r="C745" s="307" t="s">
        <v>5814</v>
      </c>
      <c r="D745" s="307" t="s">
        <v>6044</v>
      </c>
      <c r="E745" s="307" t="s">
        <v>4021</v>
      </c>
      <c r="F745" s="307" t="s">
        <v>3906</v>
      </c>
      <c r="G745" s="307" t="s">
        <v>3907</v>
      </c>
    </row>
    <row r="746" spans="1:7" ht="13.5">
      <c r="A746" s="307" t="s">
        <v>6045</v>
      </c>
      <c r="B746" s="307" t="s">
        <v>6046</v>
      </c>
      <c r="C746" s="307" t="s">
        <v>5814</v>
      </c>
      <c r="D746" s="307" t="s">
        <v>3674</v>
      </c>
      <c r="E746" s="307" t="s">
        <v>3905</v>
      </c>
      <c r="F746" s="307" t="s">
        <v>3906</v>
      </c>
      <c r="G746" s="307" t="s">
        <v>3907</v>
      </c>
    </row>
    <row r="747" spans="1:7" ht="13.5">
      <c r="A747" s="307" t="s">
        <v>6047</v>
      </c>
      <c r="B747" s="307" t="s">
        <v>6048</v>
      </c>
      <c r="C747" s="307" t="s">
        <v>5814</v>
      </c>
      <c r="D747" s="307" t="s">
        <v>1959</v>
      </c>
      <c r="E747" s="307" t="s">
        <v>3905</v>
      </c>
      <c r="F747" s="307" t="s">
        <v>3906</v>
      </c>
      <c r="G747" s="307" t="s">
        <v>3907</v>
      </c>
    </row>
    <row r="748" spans="1:7" ht="13.5">
      <c r="A748" s="307" t="s">
        <v>6049</v>
      </c>
      <c r="B748" s="307" t="s">
        <v>6050</v>
      </c>
      <c r="C748" s="307" t="s">
        <v>5814</v>
      </c>
      <c r="D748" s="307" t="s">
        <v>3206</v>
      </c>
      <c r="E748" s="307" t="s">
        <v>3905</v>
      </c>
      <c r="F748" s="307" t="s">
        <v>3906</v>
      </c>
      <c r="G748" s="307" t="s">
        <v>3907</v>
      </c>
    </row>
    <row r="749" spans="1:7" ht="13.5">
      <c r="A749" s="307" t="s">
        <v>6051</v>
      </c>
      <c r="B749" s="307" t="s">
        <v>6052</v>
      </c>
      <c r="C749" s="307" t="s">
        <v>5814</v>
      </c>
      <c r="D749" s="307" t="s">
        <v>6053</v>
      </c>
      <c r="E749" s="307" t="s">
        <v>3905</v>
      </c>
      <c r="F749" s="307" t="s">
        <v>3906</v>
      </c>
      <c r="G749" s="307" t="s">
        <v>3907</v>
      </c>
    </row>
    <row r="750" spans="1:7" ht="13.5">
      <c r="A750" s="307" t="s">
        <v>6054</v>
      </c>
      <c r="B750" s="307" t="s">
        <v>6055</v>
      </c>
      <c r="C750" s="307" t="s">
        <v>5814</v>
      </c>
      <c r="D750" s="307" t="s">
        <v>6056</v>
      </c>
      <c r="E750" s="307" t="s">
        <v>3905</v>
      </c>
      <c r="F750" s="307" t="s">
        <v>3906</v>
      </c>
      <c r="G750" s="307" t="s">
        <v>3907</v>
      </c>
    </row>
    <row r="751" spans="1:7" ht="13.5">
      <c r="A751" s="307" t="s">
        <v>6057</v>
      </c>
      <c r="B751" s="307" t="s">
        <v>6058</v>
      </c>
      <c r="C751" s="307" t="s">
        <v>5814</v>
      </c>
      <c r="D751" s="307" t="s">
        <v>6059</v>
      </c>
      <c r="E751" s="307" t="s">
        <v>3905</v>
      </c>
      <c r="F751" s="307" t="s">
        <v>3906</v>
      </c>
      <c r="G751" s="307" t="s">
        <v>3907</v>
      </c>
    </row>
    <row r="752" spans="1:7" ht="13.5">
      <c r="A752" s="307" t="s">
        <v>6060</v>
      </c>
      <c r="B752" s="307" t="s">
        <v>6061</v>
      </c>
      <c r="C752" s="307" t="s">
        <v>5814</v>
      </c>
      <c r="D752" s="307" t="s">
        <v>6062</v>
      </c>
      <c r="E752" s="307" t="s">
        <v>3905</v>
      </c>
      <c r="F752" s="307" t="s">
        <v>3906</v>
      </c>
      <c r="G752" s="307" t="s">
        <v>3907</v>
      </c>
    </row>
    <row r="753" spans="1:7" ht="13.5">
      <c r="A753" s="307" t="s">
        <v>6063</v>
      </c>
      <c r="B753" s="307" t="s">
        <v>6064</v>
      </c>
      <c r="C753" s="307" t="s">
        <v>5814</v>
      </c>
      <c r="D753" s="307" t="s">
        <v>6065</v>
      </c>
      <c r="E753" s="307" t="s">
        <v>3905</v>
      </c>
      <c r="F753" s="307" t="s">
        <v>3906</v>
      </c>
      <c r="G753" s="307" t="s">
        <v>3907</v>
      </c>
    </row>
    <row r="754" spans="1:7" ht="13.5">
      <c r="A754" s="307" t="s">
        <v>6066</v>
      </c>
      <c r="B754" s="307" t="s">
        <v>6067</v>
      </c>
      <c r="C754" s="307" t="s">
        <v>5814</v>
      </c>
      <c r="D754" s="307" t="s">
        <v>6068</v>
      </c>
      <c r="E754" s="307" t="s">
        <v>3905</v>
      </c>
      <c r="F754" s="307" t="s">
        <v>3906</v>
      </c>
      <c r="G754" s="307" t="s">
        <v>3907</v>
      </c>
    </row>
    <row r="755" spans="1:7" ht="13.5">
      <c r="A755" s="307" t="s">
        <v>6069</v>
      </c>
      <c r="B755" s="307" t="s">
        <v>6070</v>
      </c>
      <c r="C755" s="307" t="s">
        <v>5814</v>
      </c>
      <c r="D755" s="307" t="s">
        <v>6071</v>
      </c>
      <c r="E755" s="307" t="s">
        <v>3905</v>
      </c>
      <c r="F755" s="307" t="s">
        <v>3906</v>
      </c>
      <c r="G755" s="307" t="s">
        <v>3907</v>
      </c>
    </row>
    <row r="756" spans="1:7" ht="13.5">
      <c r="A756" s="307" t="s">
        <v>6072</v>
      </c>
      <c r="B756" s="307" t="s">
        <v>6073</v>
      </c>
      <c r="C756" s="307" t="s">
        <v>5814</v>
      </c>
      <c r="D756" s="307" t="s">
        <v>6074</v>
      </c>
      <c r="E756" s="307" t="s">
        <v>3905</v>
      </c>
      <c r="F756" s="307" t="s">
        <v>3906</v>
      </c>
      <c r="G756" s="307" t="s">
        <v>3907</v>
      </c>
    </row>
    <row r="757" spans="1:7" ht="13.5">
      <c r="A757" s="307" t="s">
        <v>6075</v>
      </c>
      <c r="B757" s="307" t="s">
        <v>6076</v>
      </c>
      <c r="C757" s="307" t="s">
        <v>5814</v>
      </c>
      <c r="D757" s="307" t="s">
        <v>6077</v>
      </c>
      <c r="E757" s="307" t="s">
        <v>3905</v>
      </c>
      <c r="F757" s="307" t="s">
        <v>3906</v>
      </c>
      <c r="G757" s="307" t="s">
        <v>3907</v>
      </c>
    </row>
    <row r="758" spans="1:7" ht="13.5">
      <c r="A758" s="307" t="s">
        <v>6078</v>
      </c>
      <c r="B758" s="307" t="s">
        <v>6079</v>
      </c>
      <c r="C758" s="307" t="s">
        <v>5814</v>
      </c>
      <c r="D758" s="307" t="s">
        <v>6080</v>
      </c>
      <c r="E758" s="307" t="s">
        <v>3905</v>
      </c>
      <c r="F758" s="307" t="s">
        <v>3906</v>
      </c>
      <c r="G758" s="307" t="s">
        <v>3907</v>
      </c>
    </row>
    <row r="759" spans="1:7" ht="13.5">
      <c r="A759" s="307" t="s">
        <v>6081</v>
      </c>
      <c r="B759" s="307" t="s">
        <v>6082</v>
      </c>
      <c r="C759" s="307" t="s">
        <v>5814</v>
      </c>
      <c r="D759" s="307" t="s">
        <v>6083</v>
      </c>
      <c r="E759" s="307" t="s">
        <v>3905</v>
      </c>
      <c r="F759" s="307" t="s">
        <v>3906</v>
      </c>
      <c r="G759" s="307" t="s">
        <v>3907</v>
      </c>
    </row>
    <row r="760" spans="1:7" ht="13.5">
      <c r="A760" s="307" t="s">
        <v>6084</v>
      </c>
      <c r="B760" s="307" t="s">
        <v>6085</v>
      </c>
      <c r="C760" s="307" t="s">
        <v>5814</v>
      </c>
      <c r="D760" s="307" t="s">
        <v>6086</v>
      </c>
      <c r="E760" s="307" t="s">
        <v>3905</v>
      </c>
      <c r="F760" s="307" t="s">
        <v>3906</v>
      </c>
      <c r="G760" s="307" t="s">
        <v>3907</v>
      </c>
    </row>
    <row r="761" spans="1:7" ht="13.5">
      <c r="A761" s="307" t="s">
        <v>6087</v>
      </c>
      <c r="B761" s="307" t="s">
        <v>6088</v>
      </c>
      <c r="C761" s="307" t="s">
        <v>5814</v>
      </c>
      <c r="D761" s="307" t="s">
        <v>6089</v>
      </c>
      <c r="E761" s="307" t="s">
        <v>3905</v>
      </c>
      <c r="F761" s="307" t="s">
        <v>3906</v>
      </c>
      <c r="G761" s="307" t="s">
        <v>3907</v>
      </c>
    </row>
    <row r="762" spans="1:7" ht="13.5">
      <c r="A762" s="307" t="s">
        <v>6090</v>
      </c>
      <c r="B762" s="307" t="s">
        <v>6091</v>
      </c>
      <c r="C762" s="307" t="s">
        <v>5814</v>
      </c>
      <c r="D762" s="307" t="s">
        <v>6092</v>
      </c>
      <c r="E762" s="307" t="s">
        <v>3905</v>
      </c>
      <c r="F762" s="307" t="s">
        <v>3906</v>
      </c>
      <c r="G762" s="307" t="s">
        <v>3907</v>
      </c>
    </row>
    <row r="763" spans="1:7" ht="13.5">
      <c r="A763" s="307" t="s">
        <v>6093</v>
      </c>
      <c r="B763" s="307" t="s">
        <v>6094</v>
      </c>
      <c r="C763" s="307" t="s">
        <v>5814</v>
      </c>
      <c r="D763" s="307" t="s">
        <v>6095</v>
      </c>
      <c r="E763" s="307" t="s">
        <v>3905</v>
      </c>
      <c r="F763" s="307" t="s">
        <v>3906</v>
      </c>
      <c r="G763" s="307" t="s">
        <v>3907</v>
      </c>
    </row>
    <row r="764" spans="1:7" ht="13.5">
      <c r="A764" s="307" t="s">
        <v>6096</v>
      </c>
      <c r="B764" s="307" t="s">
        <v>6097</v>
      </c>
      <c r="C764" s="307" t="s">
        <v>5814</v>
      </c>
      <c r="D764" s="307" t="s">
        <v>6098</v>
      </c>
      <c r="E764" s="307" t="s">
        <v>3905</v>
      </c>
      <c r="F764" s="307" t="s">
        <v>3906</v>
      </c>
      <c r="G764" s="307" t="s">
        <v>3907</v>
      </c>
    </row>
    <row r="765" spans="1:7" ht="13.5">
      <c r="A765" s="307" t="s">
        <v>6099</v>
      </c>
      <c r="B765" s="307" t="s">
        <v>6100</v>
      </c>
      <c r="C765" s="307" t="s">
        <v>5814</v>
      </c>
      <c r="D765" s="307" t="s">
        <v>6101</v>
      </c>
      <c r="E765" s="307" t="s">
        <v>3905</v>
      </c>
      <c r="F765" s="307" t="s">
        <v>3906</v>
      </c>
      <c r="G765" s="307" t="s">
        <v>3907</v>
      </c>
    </row>
    <row r="766" spans="1:7" ht="13.5">
      <c r="A766" s="307" t="s">
        <v>6102</v>
      </c>
      <c r="B766" s="307" t="s">
        <v>6103</v>
      </c>
      <c r="C766" s="307" t="s">
        <v>5814</v>
      </c>
      <c r="D766" s="307" t="s">
        <v>6104</v>
      </c>
      <c r="E766" s="307" t="s">
        <v>3905</v>
      </c>
      <c r="F766" s="307" t="s">
        <v>3906</v>
      </c>
      <c r="G766" s="307" t="s">
        <v>3907</v>
      </c>
    </row>
    <row r="767" spans="1:7" ht="13.5">
      <c r="A767" s="307" t="s">
        <v>6105</v>
      </c>
      <c r="B767" s="307" t="s">
        <v>6106</v>
      </c>
      <c r="C767" s="307" t="s">
        <v>5814</v>
      </c>
      <c r="D767" s="307" t="s">
        <v>6107</v>
      </c>
      <c r="E767" s="307" t="s">
        <v>3905</v>
      </c>
      <c r="F767" s="307" t="s">
        <v>3906</v>
      </c>
      <c r="G767" s="307" t="s">
        <v>3907</v>
      </c>
    </row>
    <row r="768" spans="1:7" ht="13.5">
      <c r="A768" s="307" t="s">
        <v>6108</v>
      </c>
      <c r="B768" s="307" t="s">
        <v>6109</v>
      </c>
      <c r="C768" s="307" t="s">
        <v>5814</v>
      </c>
      <c r="D768" s="307" t="s">
        <v>6110</v>
      </c>
      <c r="E768" s="307" t="s">
        <v>3905</v>
      </c>
      <c r="F768" s="307" t="s">
        <v>3906</v>
      </c>
      <c r="G768" s="307" t="s">
        <v>3907</v>
      </c>
    </row>
    <row r="769" spans="1:7" ht="13.5">
      <c r="A769" s="307" t="s">
        <v>6111</v>
      </c>
      <c r="B769" s="307" t="s">
        <v>6112</v>
      </c>
      <c r="C769" s="307" t="s">
        <v>5814</v>
      </c>
      <c r="D769" s="307" t="s">
        <v>6113</v>
      </c>
      <c r="E769" s="307" t="s">
        <v>3905</v>
      </c>
      <c r="F769" s="307" t="s">
        <v>3906</v>
      </c>
      <c r="G769" s="307" t="s">
        <v>3907</v>
      </c>
    </row>
    <row r="770" spans="1:7" ht="13.5">
      <c r="A770" s="307" t="s">
        <v>6114</v>
      </c>
      <c r="B770" s="307" t="s">
        <v>6115</v>
      </c>
      <c r="C770" s="307" t="s">
        <v>5814</v>
      </c>
      <c r="D770" s="307" t="s">
        <v>6116</v>
      </c>
      <c r="E770" s="307" t="s">
        <v>3905</v>
      </c>
      <c r="F770" s="307" t="s">
        <v>3906</v>
      </c>
      <c r="G770" s="307" t="s">
        <v>3907</v>
      </c>
    </row>
    <row r="771" spans="1:7" ht="13.5">
      <c r="A771" s="307" t="s">
        <v>6117</v>
      </c>
      <c r="B771" s="307" t="s">
        <v>6118</v>
      </c>
      <c r="C771" s="307" t="s">
        <v>5814</v>
      </c>
      <c r="D771" s="307" t="s">
        <v>6119</v>
      </c>
      <c r="E771" s="307" t="s">
        <v>3905</v>
      </c>
      <c r="F771" s="307" t="s">
        <v>3906</v>
      </c>
      <c r="G771" s="307" t="s">
        <v>3907</v>
      </c>
    </row>
    <row r="772" spans="1:7" ht="13.5">
      <c r="A772" s="307" t="s">
        <v>6120</v>
      </c>
      <c r="B772" s="307" t="s">
        <v>6121</v>
      </c>
      <c r="C772" s="307" t="s">
        <v>5814</v>
      </c>
      <c r="D772" s="307" t="s">
        <v>6122</v>
      </c>
      <c r="E772" s="307" t="s">
        <v>4021</v>
      </c>
      <c r="F772" s="307" t="s">
        <v>3906</v>
      </c>
      <c r="G772" s="307" t="s">
        <v>3907</v>
      </c>
    </row>
    <row r="773" spans="1:7" ht="13.5">
      <c r="A773" s="307" t="s">
        <v>6123</v>
      </c>
      <c r="B773" s="307" t="s">
        <v>6124</v>
      </c>
      <c r="C773" s="307" t="s">
        <v>5814</v>
      </c>
      <c r="D773" s="307" t="s">
        <v>6125</v>
      </c>
      <c r="E773" s="307" t="s">
        <v>3905</v>
      </c>
      <c r="F773" s="307" t="s">
        <v>3906</v>
      </c>
      <c r="G773" s="307" t="s">
        <v>3907</v>
      </c>
    </row>
    <row r="774" spans="1:7" ht="13.5">
      <c r="A774" s="307" t="s">
        <v>6126</v>
      </c>
      <c r="B774" s="307" t="s">
        <v>6127</v>
      </c>
      <c r="C774" s="307" t="s">
        <v>5814</v>
      </c>
      <c r="D774" s="307" t="s">
        <v>6128</v>
      </c>
      <c r="E774" s="307" t="s">
        <v>4021</v>
      </c>
      <c r="F774" s="307" t="s">
        <v>3906</v>
      </c>
      <c r="G774" s="307" t="s">
        <v>3907</v>
      </c>
    </row>
    <row r="775" spans="1:7" ht="13.5">
      <c r="A775" s="307" t="s">
        <v>6129</v>
      </c>
      <c r="B775" s="307" t="s">
        <v>6130</v>
      </c>
      <c r="C775" s="307" t="s">
        <v>5814</v>
      </c>
      <c r="D775" s="307" t="s">
        <v>6131</v>
      </c>
      <c r="E775" s="307" t="s">
        <v>3905</v>
      </c>
      <c r="F775" s="307" t="s">
        <v>3906</v>
      </c>
      <c r="G775" s="307" t="s">
        <v>3907</v>
      </c>
    </row>
    <row r="776" spans="1:7" ht="13.5">
      <c r="A776" s="307" t="s">
        <v>6132</v>
      </c>
      <c r="B776" s="307" t="s">
        <v>6133</v>
      </c>
      <c r="C776" s="307" t="s">
        <v>5814</v>
      </c>
      <c r="D776" s="307" t="s">
        <v>6131</v>
      </c>
      <c r="E776" s="307" t="s">
        <v>3905</v>
      </c>
      <c r="F776" s="307" t="s">
        <v>3906</v>
      </c>
      <c r="G776" s="307" t="s">
        <v>3907</v>
      </c>
    </row>
    <row r="777" spans="1:7" ht="13.5">
      <c r="A777" s="307" t="s">
        <v>6134</v>
      </c>
      <c r="B777" s="307" t="s">
        <v>6135</v>
      </c>
      <c r="C777" s="307" t="s">
        <v>5814</v>
      </c>
      <c r="D777" s="307" t="s">
        <v>6136</v>
      </c>
      <c r="E777" s="307" t="s">
        <v>3905</v>
      </c>
      <c r="F777" s="307" t="s">
        <v>3906</v>
      </c>
      <c r="G777" s="307" t="s">
        <v>3907</v>
      </c>
    </row>
    <row r="778" spans="1:7" ht="13.5">
      <c r="A778" s="307" t="s">
        <v>6137</v>
      </c>
      <c r="B778" s="307" t="s">
        <v>6138</v>
      </c>
      <c r="C778" s="307" t="s">
        <v>5814</v>
      </c>
      <c r="D778" s="307" t="s">
        <v>6139</v>
      </c>
      <c r="E778" s="307" t="s">
        <v>3905</v>
      </c>
      <c r="F778" s="307" t="s">
        <v>3906</v>
      </c>
      <c r="G778" s="307" t="s">
        <v>3907</v>
      </c>
    </row>
    <row r="779" spans="1:7" ht="13.5">
      <c r="A779" s="307" t="s">
        <v>6140</v>
      </c>
      <c r="B779" s="307" t="s">
        <v>6141</v>
      </c>
      <c r="C779" s="307" t="s">
        <v>5814</v>
      </c>
      <c r="D779" s="307" t="s">
        <v>6142</v>
      </c>
      <c r="E779" s="307" t="s">
        <v>3905</v>
      </c>
      <c r="F779" s="307" t="s">
        <v>3906</v>
      </c>
      <c r="G779" s="307" t="s">
        <v>3907</v>
      </c>
    </row>
    <row r="780" spans="1:7" ht="13.5">
      <c r="A780" s="307" t="s">
        <v>6143</v>
      </c>
      <c r="B780" s="307" t="s">
        <v>6144</v>
      </c>
      <c r="C780" s="307" t="s">
        <v>5814</v>
      </c>
      <c r="D780" s="307" t="s">
        <v>6145</v>
      </c>
      <c r="E780" s="307" t="s">
        <v>3905</v>
      </c>
      <c r="F780" s="307" t="s">
        <v>3906</v>
      </c>
      <c r="G780" s="307" t="s">
        <v>3907</v>
      </c>
    </row>
    <row r="781" spans="1:7" ht="13.5">
      <c r="A781" s="307" t="s">
        <v>6146</v>
      </c>
      <c r="B781" s="307" t="s">
        <v>6147</v>
      </c>
      <c r="C781" s="307" t="s">
        <v>5814</v>
      </c>
      <c r="D781" s="307" t="s">
        <v>6148</v>
      </c>
      <c r="E781" s="307" t="s">
        <v>3905</v>
      </c>
      <c r="F781" s="307" t="s">
        <v>3906</v>
      </c>
      <c r="G781" s="307" t="s">
        <v>3907</v>
      </c>
    </row>
    <row r="782" spans="1:7" ht="13.5">
      <c r="A782" s="307" t="s">
        <v>6149</v>
      </c>
      <c r="B782" s="307" t="s">
        <v>6150</v>
      </c>
      <c r="C782" s="307" t="s">
        <v>5814</v>
      </c>
      <c r="D782" s="307" t="s">
        <v>6151</v>
      </c>
      <c r="E782" s="307" t="s">
        <v>3905</v>
      </c>
      <c r="F782" s="307" t="s">
        <v>3906</v>
      </c>
      <c r="G782" s="307" t="s">
        <v>3907</v>
      </c>
    </row>
    <row r="783" spans="1:7" ht="13.5">
      <c r="A783" s="307" t="s">
        <v>6152</v>
      </c>
      <c r="B783" s="307" t="s">
        <v>6153</v>
      </c>
      <c r="C783" s="307" t="s">
        <v>5814</v>
      </c>
      <c r="D783" s="307" t="s">
        <v>6154</v>
      </c>
      <c r="E783" s="307" t="s">
        <v>3905</v>
      </c>
      <c r="F783" s="307" t="s">
        <v>3906</v>
      </c>
      <c r="G783" s="307" t="s">
        <v>3907</v>
      </c>
    </row>
    <row r="784" spans="1:7" ht="13.5">
      <c r="A784" s="307" t="s">
        <v>6155</v>
      </c>
      <c r="B784" s="307" t="s">
        <v>6156</v>
      </c>
      <c r="C784" s="307" t="s">
        <v>5814</v>
      </c>
      <c r="D784" s="307" t="s">
        <v>6157</v>
      </c>
      <c r="E784" s="307" t="s">
        <v>3905</v>
      </c>
      <c r="F784" s="307" t="s">
        <v>3906</v>
      </c>
      <c r="G784" s="307" t="s">
        <v>3907</v>
      </c>
    </row>
    <row r="785" spans="1:7" ht="13.5">
      <c r="A785" s="307" t="s">
        <v>6158</v>
      </c>
      <c r="B785" s="307" t="s">
        <v>6159</v>
      </c>
      <c r="C785" s="307" t="s">
        <v>5814</v>
      </c>
      <c r="D785" s="307" t="s">
        <v>6160</v>
      </c>
      <c r="E785" s="307" t="s">
        <v>3905</v>
      </c>
      <c r="F785" s="307" t="s">
        <v>3906</v>
      </c>
      <c r="G785" s="307" t="s">
        <v>3907</v>
      </c>
    </row>
    <row r="786" spans="1:7" ht="13.5">
      <c r="A786" s="307" t="s">
        <v>6161</v>
      </c>
      <c r="B786" s="307" t="s">
        <v>6162</v>
      </c>
      <c r="C786" s="307" t="s">
        <v>5814</v>
      </c>
      <c r="D786" s="307" t="s">
        <v>6163</v>
      </c>
      <c r="E786" s="307" t="s">
        <v>3905</v>
      </c>
      <c r="F786" s="307" t="s">
        <v>3906</v>
      </c>
      <c r="G786" s="307" t="s">
        <v>3907</v>
      </c>
    </row>
    <row r="787" spans="1:7" ht="13.5">
      <c r="A787" s="307" t="s">
        <v>6164</v>
      </c>
      <c r="B787" s="307" t="s">
        <v>6165</v>
      </c>
      <c r="C787" s="307" t="s">
        <v>5814</v>
      </c>
      <c r="D787" s="307" t="s">
        <v>6166</v>
      </c>
      <c r="E787" s="307" t="s">
        <v>3905</v>
      </c>
      <c r="F787" s="307" t="s">
        <v>3906</v>
      </c>
      <c r="G787" s="307" t="s">
        <v>3907</v>
      </c>
    </row>
    <row r="788" spans="1:7" ht="13.5">
      <c r="A788" s="307" t="s">
        <v>6167</v>
      </c>
      <c r="B788" s="307" t="s">
        <v>6168</v>
      </c>
      <c r="C788" s="307" t="s">
        <v>5814</v>
      </c>
      <c r="D788" s="307" t="s">
        <v>6169</v>
      </c>
      <c r="E788" s="307" t="s">
        <v>3905</v>
      </c>
      <c r="F788" s="307" t="s">
        <v>3906</v>
      </c>
      <c r="G788" s="307" t="s">
        <v>3907</v>
      </c>
    </row>
    <row r="789" spans="1:7" ht="13.5">
      <c r="A789" s="307" t="s">
        <v>6170</v>
      </c>
      <c r="B789" s="307" t="s">
        <v>6171</v>
      </c>
      <c r="C789" s="307" t="s">
        <v>5814</v>
      </c>
      <c r="D789" s="307" t="s">
        <v>6172</v>
      </c>
      <c r="E789" s="307" t="s">
        <v>3905</v>
      </c>
      <c r="F789" s="307" t="s">
        <v>3906</v>
      </c>
      <c r="G789" s="307" t="s">
        <v>3907</v>
      </c>
    </row>
    <row r="790" spans="1:7" ht="13.5">
      <c r="A790" s="307" t="s">
        <v>6173</v>
      </c>
      <c r="B790" s="307" t="s">
        <v>6174</v>
      </c>
      <c r="C790" s="307" t="s">
        <v>5814</v>
      </c>
      <c r="D790" s="307" t="s">
        <v>6175</v>
      </c>
      <c r="E790" s="307" t="s">
        <v>4021</v>
      </c>
      <c r="F790" s="307" t="s">
        <v>3906</v>
      </c>
      <c r="G790" s="307" t="s">
        <v>3907</v>
      </c>
    </row>
    <row r="791" spans="1:7" ht="13.5">
      <c r="A791" s="307" t="s">
        <v>6176</v>
      </c>
      <c r="B791" s="307" t="s">
        <v>6177</v>
      </c>
      <c r="C791" s="307" t="s">
        <v>5814</v>
      </c>
      <c r="D791" s="307" t="s">
        <v>6178</v>
      </c>
      <c r="E791" s="307" t="s">
        <v>4021</v>
      </c>
      <c r="F791" s="307" t="s">
        <v>3906</v>
      </c>
      <c r="G791" s="307" t="s">
        <v>3907</v>
      </c>
    </row>
    <row r="792" spans="1:7" ht="13.5">
      <c r="A792" s="307" t="s">
        <v>6179</v>
      </c>
      <c r="B792" s="307" t="s">
        <v>6180</v>
      </c>
      <c r="C792" s="307" t="s">
        <v>5814</v>
      </c>
      <c r="D792" s="307" t="s">
        <v>6181</v>
      </c>
      <c r="E792" s="307" t="s">
        <v>3905</v>
      </c>
      <c r="F792" s="307" t="s">
        <v>3906</v>
      </c>
      <c r="G792" s="307" t="s">
        <v>3907</v>
      </c>
    </row>
    <row r="793" spans="1:7" ht="13.5">
      <c r="A793" s="307" t="s">
        <v>6182</v>
      </c>
      <c r="B793" s="307" t="s">
        <v>6183</v>
      </c>
      <c r="C793" s="307" t="s">
        <v>5814</v>
      </c>
      <c r="D793" s="307" t="s">
        <v>6184</v>
      </c>
      <c r="E793" s="307" t="s">
        <v>3905</v>
      </c>
      <c r="F793" s="307" t="s">
        <v>3906</v>
      </c>
      <c r="G793" s="307" t="s">
        <v>3907</v>
      </c>
    </row>
    <row r="794" spans="1:7" ht="13.5">
      <c r="A794" s="307" t="s">
        <v>6185</v>
      </c>
      <c r="B794" s="307" t="s">
        <v>6186</v>
      </c>
      <c r="C794" s="307" t="s">
        <v>5814</v>
      </c>
      <c r="D794" s="307" t="s">
        <v>6184</v>
      </c>
      <c r="E794" s="307" t="s">
        <v>3905</v>
      </c>
      <c r="F794" s="307" t="s">
        <v>3906</v>
      </c>
      <c r="G794" s="307" t="s">
        <v>3907</v>
      </c>
    </row>
    <row r="795" spans="1:7" ht="13.5">
      <c r="A795" s="307" t="s">
        <v>6187</v>
      </c>
      <c r="B795" s="307" t="s">
        <v>6188</v>
      </c>
      <c r="C795" s="307" t="s">
        <v>5814</v>
      </c>
      <c r="D795" s="307" t="s">
        <v>6189</v>
      </c>
      <c r="E795" s="307" t="s">
        <v>3905</v>
      </c>
      <c r="F795" s="307" t="s">
        <v>3906</v>
      </c>
      <c r="G795" s="307" t="s">
        <v>3907</v>
      </c>
    </row>
    <row r="796" spans="1:7" ht="13.5">
      <c r="A796" s="307" t="s">
        <v>6190</v>
      </c>
      <c r="B796" s="307" t="s">
        <v>6191</v>
      </c>
      <c r="C796" s="307" t="s">
        <v>5814</v>
      </c>
      <c r="D796" s="307" t="s">
        <v>6192</v>
      </c>
      <c r="E796" s="307" t="s">
        <v>3905</v>
      </c>
      <c r="F796" s="307" t="s">
        <v>3906</v>
      </c>
      <c r="G796" s="307" t="s">
        <v>3907</v>
      </c>
    </row>
    <row r="797" spans="1:7" ht="13.5">
      <c r="A797" s="307" t="s">
        <v>6193</v>
      </c>
      <c r="B797" s="307" t="s">
        <v>6194</v>
      </c>
      <c r="C797" s="307" t="s">
        <v>5814</v>
      </c>
      <c r="D797" s="307" t="s">
        <v>6195</v>
      </c>
      <c r="E797" s="307" t="s">
        <v>3905</v>
      </c>
      <c r="F797" s="307" t="s">
        <v>3906</v>
      </c>
      <c r="G797" s="307" t="s">
        <v>3907</v>
      </c>
    </row>
    <row r="798" spans="1:7" ht="13.5">
      <c r="A798" s="307" t="s">
        <v>6196</v>
      </c>
      <c r="B798" s="307" t="s">
        <v>6197</v>
      </c>
      <c r="C798" s="307" t="s">
        <v>5814</v>
      </c>
      <c r="D798" s="307" t="s">
        <v>6198</v>
      </c>
      <c r="E798" s="307" t="s">
        <v>3905</v>
      </c>
      <c r="F798" s="307" t="s">
        <v>3906</v>
      </c>
      <c r="G798" s="307" t="s">
        <v>3907</v>
      </c>
    </row>
    <row r="799" spans="1:7" ht="13.5">
      <c r="A799" s="307" t="s">
        <v>6199</v>
      </c>
      <c r="B799" s="307" t="s">
        <v>6200</v>
      </c>
      <c r="C799" s="307" t="s">
        <v>5814</v>
      </c>
      <c r="D799" s="307" t="s">
        <v>6201</v>
      </c>
      <c r="E799" s="307" t="s">
        <v>3905</v>
      </c>
      <c r="F799" s="307" t="s">
        <v>3906</v>
      </c>
      <c r="G799" s="307" t="s">
        <v>3907</v>
      </c>
    </row>
    <row r="800" spans="1:7" ht="13.5">
      <c r="A800" s="307" t="s">
        <v>6202</v>
      </c>
      <c r="B800" s="307" t="s">
        <v>6203</v>
      </c>
      <c r="C800" s="307" t="s">
        <v>5814</v>
      </c>
      <c r="D800" s="307" t="s">
        <v>6204</v>
      </c>
      <c r="E800" s="307" t="s">
        <v>3905</v>
      </c>
      <c r="F800" s="307" t="s">
        <v>3906</v>
      </c>
      <c r="G800" s="307" t="s">
        <v>3907</v>
      </c>
    </row>
    <row r="801" spans="1:7" ht="13.5">
      <c r="A801" s="307" t="s">
        <v>6205</v>
      </c>
      <c r="B801" s="307" t="s">
        <v>6206</v>
      </c>
      <c r="C801" s="307" t="s">
        <v>5814</v>
      </c>
      <c r="D801" s="307" t="s">
        <v>6207</v>
      </c>
      <c r="E801" s="307" t="s">
        <v>3905</v>
      </c>
      <c r="F801" s="307" t="s">
        <v>3906</v>
      </c>
      <c r="G801" s="307" t="s">
        <v>3907</v>
      </c>
    </row>
    <row r="802" spans="1:7" ht="13.5">
      <c r="A802" s="307" t="s">
        <v>6208</v>
      </c>
      <c r="B802" s="307" t="s">
        <v>6209</v>
      </c>
      <c r="C802" s="307" t="s">
        <v>5814</v>
      </c>
      <c r="D802" s="307" t="s">
        <v>6210</v>
      </c>
      <c r="E802" s="307" t="s">
        <v>3905</v>
      </c>
      <c r="F802" s="307" t="s">
        <v>3906</v>
      </c>
      <c r="G802" s="307" t="s">
        <v>3907</v>
      </c>
    </row>
    <row r="803" spans="1:7" ht="13.5">
      <c r="A803" s="307" t="s">
        <v>6211</v>
      </c>
      <c r="B803" s="307" t="s">
        <v>6212</v>
      </c>
      <c r="C803" s="307" t="s">
        <v>5814</v>
      </c>
      <c r="D803" s="307" t="s">
        <v>6213</v>
      </c>
      <c r="E803" s="307" t="s">
        <v>3905</v>
      </c>
      <c r="F803" s="307" t="s">
        <v>3906</v>
      </c>
      <c r="G803" s="307" t="s">
        <v>3907</v>
      </c>
    </row>
    <row r="804" spans="1:7" ht="13.5">
      <c r="A804" s="307" t="s">
        <v>6214</v>
      </c>
      <c r="B804" s="307" t="s">
        <v>6215</v>
      </c>
      <c r="C804" s="307" t="s">
        <v>5814</v>
      </c>
      <c r="D804" s="307" t="s">
        <v>6216</v>
      </c>
      <c r="E804" s="307" t="s">
        <v>3905</v>
      </c>
      <c r="F804" s="307" t="s">
        <v>3906</v>
      </c>
      <c r="G804" s="307" t="s">
        <v>3907</v>
      </c>
    </row>
    <row r="805" spans="1:7" ht="13.5">
      <c r="A805" s="307" t="s">
        <v>6217</v>
      </c>
      <c r="B805" s="307" t="s">
        <v>6218</v>
      </c>
      <c r="C805" s="307" t="s">
        <v>5814</v>
      </c>
      <c r="D805" s="307" t="s">
        <v>6219</v>
      </c>
      <c r="E805" s="307" t="s">
        <v>3905</v>
      </c>
      <c r="F805" s="307" t="s">
        <v>3906</v>
      </c>
      <c r="G805" s="307" t="s">
        <v>3907</v>
      </c>
    </row>
    <row r="806" spans="1:7" ht="13.5">
      <c r="A806" s="307" t="s">
        <v>6220</v>
      </c>
      <c r="B806" s="307" t="s">
        <v>6221</v>
      </c>
      <c r="C806" s="307" t="s">
        <v>5814</v>
      </c>
      <c r="D806" s="307" t="s">
        <v>6222</v>
      </c>
      <c r="E806" s="307" t="s">
        <v>3905</v>
      </c>
      <c r="F806" s="307" t="s">
        <v>3906</v>
      </c>
      <c r="G806" s="307" t="s">
        <v>3907</v>
      </c>
    </row>
    <row r="807" spans="1:7" ht="13.5">
      <c r="A807" s="307" t="s">
        <v>6223</v>
      </c>
      <c r="B807" s="307" t="s">
        <v>6224</v>
      </c>
      <c r="C807" s="307" t="s">
        <v>5814</v>
      </c>
      <c r="D807" s="307" t="s">
        <v>6225</v>
      </c>
      <c r="E807" s="307" t="s">
        <v>3905</v>
      </c>
      <c r="F807" s="307" t="s">
        <v>3906</v>
      </c>
      <c r="G807" s="307" t="s">
        <v>3907</v>
      </c>
    </row>
    <row r="808" spans="1:7" ht="13.5">
      <c r="A808" s="307" t="s">
        <v>6226</v>
      </c>
      <c r="B808" s="307" t="s">
        <v>6227</v>
      </c>
      <c r="C808" s="307" t="s">
        <v>5814</v>
      </c>
      <c r="D808" s="307" t="s">
        <v>6228</v>
      </c>
      <c r="E808" s="307" t="s">
        <v>3905</v>
      </c>
      <c r="F808" s="307" t="s">
        <v>3906</v>
      </c>
      <c r="G808" s="307" t="s">
        <v>3907</v>
      </c>
    </row>
    <row r="809" spans="1:7" ht="13.5">
      <c r="A809" s="307" t="s">
        <v>6229</v>
      </c>
      <c r="B809" s="307" t="s">
        <v>6230</v>
      </c>
      <c r="C809" s="307" t="s">
        <v>5814</v>
      </c>
      <c r="D809" s="307" t="s">
        <v>6231</v>
      </c>
      <c r="E809" s="307" t="s">
        <v>3905</v>
      </c>
      <c r="F809" s="307" t="s">
        <v>3906</v>
      </c>
      <c r="G809" s="307" t="s">
        <v>3907</v>
      </c>
    </row>
    <row r="810" spans="1:7" ht="13.5">
      <c r="A810" s="307" t="s">
        <v>6232</v>
      </c>
      <c r="B810" s="307" t="s">
        <v>6233</v>
      </c>
      <c r="C810" s="307" t="s">
        <v>5814</v>
      </c>
      <c r="D810" s="307" t="s">
        <v>6234</v>
      </c>
      <c r="E810" s="307" t="s">
        <v>3905</v>
      </c>
      <c r="F810" s="307" t="s">
        <v>3906</v>
      </c>
      <c r="G810" s="307" t="s">
        <v>3907</v>
      </c>
    </row>
    <row r="811" spans="1:7" ht="13.5">
      <c r="A811" s="307" t="s">
        <v>6235</v>
      </c>
      <c r="B811" s="307" t="s">
        <v>6236</v>
      </c>
      <c r="C811" s="307" t="s">
        <v>5814</v>
      </c>
      <c r="D811" s="307" t="s">
        <v>6237</v>
      </c>
      <c r="E811" s="307" t="s">
        <v>3905</v>
      </c>
      <c r="F811" s="307" t="s">
        <v>3906</v>
      </c>
      <c r="G811" s="307" t="s">
        <v>3907</v>
      </c>
    </row>
    <row r="812" spans="1:7" ht="13.5">
      <c r="A812" s="307" t="s">
        <v>6238</v>
      </c>
      <c r="B812" s="307" t="s">
        <v>6239</v>
      </c>
      <c r="C812" s="307" t="s">
        <v>5814</v>
      </c>
      <c r="D812" s="307" t="s">
        <v>6240</v>
      </c>
      <c r="E812" s="307" t="s">
        <v>3905</v>
      </c>
      <c r="F812" s="307" t="s">
        <v>3906</v>
      </c>
      <c r="G812" s="307" t="s">
        <v>3907</v>
      </c>
    </row>
    <row r="813" spans="1:7" ht="13.5">
      <c r="A813" s="307" t="s">
        <v>6241</v>
      </c>
      <c r="B813" s="307" t="s">
        <v>6242</v>
      </c>
      <c r="C813" s="307" t="s">
        <v>5814</v>
      </c>
      <c r="D813" s="307" t="s">
        <v>6243</v>
      </c>
      <c r="E813" s="307" t="s">
        <v>3905</v>
      </c>
      <c r="F813" s="307" t="s">
        <v>3906</v>
      </c>
      <c r="G813" s="307" t="s">
        <v>3907</v>
      </c>
    </row>
    <row r="814" spans="1:7" ht="13.5">
      <c r="A814" s="307" t="s">
        <v>6244</v>
      </c>
      <c r="B814" s="307" t="s">
        <v>6245</v>
      </c>
      <c r="C814" s="307" t="s">
        <v>5814</v>
      </c>
      <c r="D814" s="307" t="s">
        <v>6246</v>
      </c>
      <c r="E814" s="307" t="s">
        <v>3905</v>
      </c>
      <c r="F814" s="307" t="s">
        <v>3906</v>
      </c>
      <c r="G814" s="307" t="s">
        <v>3907</v>
      </c>
    </row>
    <row r="815" spans="1:7" ht="13.5">
      <c r="A815" s="307" t="s">
        <v>6247</v>
      </c>
      <c r="B815" s="307" t="s">
        <v>6248</v>
      </c>
      <c r="C815" s="307" t="s">
        <v>5814</v>
      </c>
      <c r="D815" s="307" t="s">
        <v>6249</v>
      </c>
      <c r="E815" s="307" t="s">
        <v>3905</v>
      </c>
      <c r="F815" s="307" t="s">
        <v>3906</v>
      </c>
      <c r="G815" s="307" t="s">
        <v>3907</v>
      </c>
    </row>
    <row r="816" spans="1:7" ht="13.5">
      <c r="A816" s="307" t="s">
        <v>6250</v>
      </c>
      <c r="B816" s="307" t="s">
        <v>6251</v>
      </c>
      <c r="C816" s="307" t="s">
        <v>5814</v>
      </c>
      <c r="D816" s="307" t="s">
        <v>6252</v>
      </c>
      <c r="E816" s="307" t="s">
        <v>3905</v>
      </c>
      <c r="F816" s="307" t="s">
        <v>3906</v>
      </c>
      <c r="G816" s="307" t="s">
        <v>3907</v>
      </c>
    </row>
    <row r="817" spans="1:7" ht="13.5">
      <c r="A817" s="307" t="s">
        <v>6253</v>
      </c>
      <c r="B817" s="307" t="s">
        <v>6254</v>
      </c>
      <c r="C817" s="307" t="s">
        <v>5814</v>
      </c>
      <c r="D817" s="307" t="s">
        <v>6255</v>
      </c>
      <c r="E817" s="307" t="s">
        <v>3905</v>
      </c>
      <c r="F817" s="307" t="s">
        <v>3906</v>
      </c>
      <c r="G817" s="307" t="s">
        <v>3907</v>
      </c>
    </row>
    <row r="818" spans="1:7" ht="13.5">
      <c r="A818" s="307" t="s">
        <v>6256</v>
      </c>
      <c r="B818" s="307" t="s">
        <v>6257</v>
      </c>
      <c r="C818" s="307" t="s">
        <v>5814</v>
      </c>
      <c r="D818" s="307" t="s">
        <v>6258</v>
      </c>
      <c r="E818" s="307" t="s">
        <v>3905</v>
      </c>
      <c r="F818" s="307" t="s">
        <v>3906</v>
      </c>
      <c r="G818" s="307" t="s">
        <v>3907</v>
      </c>
    </row>
    <row r="819" spans="1:7" ht="13.5">
      <c r="A819" s="307" t="s">
        <v>6259</v>
      </c>
      <c r="B819" s="307" t="s">
        <v>6260</v>
      </c>
      <c r="C819" s="307" t="s">
        <v>5814</v>
      </c>
      <c r="D819" s="307" t="s">
        <v>6261</v>
      </c>
      <c r="E819" s="307" t="s">
        <v>3905</v>
      </c>
      <c r="F819" s="307" t="s">
        <v>3906</v>
      </c>
      <c r="G819" s="307" t="s">
        <v>3907</v>
      </c>
    </row>
    <row r="820" spans="1:7" ht="13.5">
      <c r="A820" s="307" t="s">
        <v>6262</v>
      </c>
      <c r="B820" s="307" t="s">
        <v>6263</v>
      </c>
      <c r="C820" s="307" t="s">
        <v>5814</v>
      </c>
      <c r="D820" s="307" t="s">
        <v>6264</v>
      </c>
      <c r="E820" s="307" t="s">
        <v>3905</v>
      </c>
      <c r="F820" s="307" t="s">
        <v>3906</v>
      </c>
      <c r="G820" s="307" t="s">
        <v>3907</v>
      </c>
    </row>
    <row r="821" spans="1:7" ht="13.5">
      <c r="A821" s="307" t="s">
        <v>6265</v>
      </c>
      <c r="B821" s="307" t="s">
        <v>6266</v>
      </c>
      <c r="C821" s="307" t="s">
        <v>5814</v>
      </c>
      <c r="D821" s="307" t="s">
        <v>6267</v>
      </c>
      <c r="E821" s="307" t="s">
        <v>3905</v>
      </c>
      <c r="F821" s="307" t="s">
        <v>3906</v>
      </c>
      <c r="G821" s="307" t="s">
        <v>3907</v>
      </c>
    </row>
    <row r="822" spans="1:7" ht="13.5">
      <c r="A822" s="307" t="s">
        <v>6268</v>
      </c>
      <c r="B822" s="307" t="s">
        <v>6269</v>
      </c>
      <c r="C822" s="307" t="s">
        <v>5814</v>
      </c>
      <c r="D822" s="307" t="s">
        <v>6270</v>
      </c>
      <c r="E822" s="307" t="s">
        <v>3905</v>
      </c>
      <c r="F822" s="307" t="s">
        <v>3906</v>
      </c>
      <c r="G822" s="307" t="s">
        <v>3907</v>
      </c>
    </row>
    <row r="823" spans="1:7" ht="13.5">
      <c r="A823" s="307" t="s">
        <v>6271</v>
      </c>
      <c r="B823" s="307" t="s">
        <v>6272</v>
      </c>
      <c r="C823" s="307" t="s">
        <v>5814</v>
      </c>
      <c r="D823" s="307" t="s">
        <v>6273</v>
      </c>
      <c r="E823" s="307" t="s">
        <v>4021</v>
      </c>
      <c r="F823" s="307" t="s">
        <v>3906</v>
      </c>
      <c r="G823" s="307" t="s">
        <v>3907</v>
      </c>
    </row>
    <row r="824" spans="1:7" ht="13.5">
      <c r="A824" s="307" t="s">
        <v>6274</v>
      </c>
      <c r="B824" s="307" t="s">
        <v>6275</v>
      </c>
      <c r="C824" s="307" t="s">
        <v>5814</v>
      </c>
      <c r="D824" s="307" t="s">
        <v>6276</v>
      </c>
      <c r="E824" s="307" t="s">
        <v>3905</v>
      </c>
      <c r="F824" s="307" t="s">
        <v>3906</v>
      </c>
      <c r="G824" s="307" t="s">
        <v>3907</v>
      </c>
    </row>
    <row r="825" spans="1:7" ht="13.5">
      <c r="A825" s="307" t="s">
        <v>6277</v>
      </c>
      <c r="B825" s="307" t="s">
        <v>6278</v>
      </c>
      <c r="C825" s="307" t="s">
        <v>5814</v>
      </c>
      <c r="D825" s="307" t="s">
        <v>6279</v>
      </c>
      <c r="E825" s="307" t="s">
        <v>3905</v>
      </c>
      <c r="F825" s="307" t="s">
        <v>3906</v>
      </c>
      <c r="G825" s="307" t="s">
        <v>3907</v>
      </c>
    </row>
    <row r="826" spans="1:7" ht="13.5">
      <c r="A826" s="307" t="s">
        <v>6280</v>
      </c>
      <c r="B826" s="307" t="s">
        <v>6281</v>
      </c>
      <c r="C826" s="307" t="s">
        <v>5814</v>
      </c>
      <c r="D826" s="307" t="s">
        <v>6282</v>
      </c>
      <c r="E826" s="307" t="s">
        <v>4021</v>
      </c>
      <c r="F826" s="307" t="s">
        <v>3906</v>
      </c>
      <c r="G826" s="307" t="s">
        <v>3907</v>
      </c>
    </row>
    <row r="827" spans="1:7" ht="13.5">
      <c r="A827" s="307" t="s">
        <v>6283</v>
      </c>
      <c r="B827" s="307" t="s">
        <v>6284</v>
      </c>
      <c r="C827" s="307" t="s">
        <v>5814</v>
      </c>
      <c r="D827" s="307" t="s">
        <v>6285</v>
      </c>
      <c r="E827" s="307" t="s">
        <v>3905</v>
      </c>
      <c r="F827" s="307" t="s">
        <v>3906</v>
      </c>
      <c r="G827" s="307" t="s">
        <v>3907</v>
      </c>
    </row>
    <row r="828" spans="1:7" ht="13.5">
      <c r="A828" s="307" t="s">
        <v>6286</v>
      </c>
      <c r="B828" s="307" t="s">
        <v>6287</v>
      </c>
      <c r="C828" s="307" t="s">
        <v>5814</v>
      </c>
      <c r="D828" s="307" t="s">
        <v>6288</v>
      </c>
      <c r="E828" s="307" t="s">
        <v>3905</v>
      </c>
      <c r="F828" s="307" t="s">
        <v>3906</v>
      </c>
      <c r="G828" s="307" t="s">
        <v>3907</v>
      </c>
    </row>
    <row r="829" spans="1:7" ht="13.5">
      <c r="A829" s="307" t="s">
        <v>6289</v>
      </c>
      <c r="B829" s="307" t="s">
        <v>6290</v>
      </c>
      <c r="C829" s="307" t="s">
        <v>5814</v>
      </c>
      <c r="D829" s="307" t="s">
        <v>6291</v>
      </c>
      <c r="E829" s="307" t="s">
        <v>3905</v>
      </c>
      <c r="F829" s="307" t="s">
        <v>3906</v>
      </c>
      <c r="G829" s="307" t="s">
        <v>3907</v>
      </c>
    </row>
    <row r="830" spans="1:7" ht="13.5">
      <c r="A830" s="307" t="s">
        <v>6292</v>
      </c>
      <c r="B830" s="307" t="s">
        <v>6293</v>
      </c>
      <c r="C830" s="307" t="s">
        <v>5814</v>
      </c>
      <c r="D830" s="307" t="s">
        <v>6294</v>
      </c>
      <c r="E830" s="307" t="s">
        <v>3905</v>
      </c>
      <c r="F830" s="307" t="s">
        <v>3906</v>
      </c>
      <c r="G830" s="307" t="s">
        <v>3907</v>
      </c>
    </row>
    <row r="831" spans="1:7" ht="13.5">
      <c r="A831" s="307" t="s">
        <v>6295</v>
      </c>
      <c r="B831" s="307" t="s">
        <v>6296</v>
      </c>
      <c r="C831" s="307" t="s">
        <v>5814</v>
      </c>
      <c r="D831" s="307" t="s">
        <v>6297</v>
      </c>
      <c r="E831" s="307" t="s">
        <v>3905</v>
      </c>
      <c r="F831" s="307" t="s">
        <v>3906</v>
      </c>
      <c r="G831" s="307" t="s">
        <v>3907</v>
      </c>
    </row>
    <row r="832" spans="1:7" ht="13.5">
      <c r="A832" s="307" t="s">
        <v>6298</v>
      </c>
      <c r="B832" s="307" t="s">
        <v>6299</v>
      </c>
      <c r="C832" s="307" t="s">
        <v>5814</v>
      </c>
      <c r="D832" s="307" t="s">
        <v>6300</v>
      </c>
      <c r="E832" s="307" t="s">
        <v>3905</v>
      </c>
      <c r="F832" s="307" t="s">
        <v>3906</v>
      </c>
      <c r="G832" s="307" t="s">
        <v>3907</v>
      </c>
    </row>
    <row r="833" spans="1:7" ht="13.5">
      <c r="A833" s="307" t="s">
        <v>6301</v>
      </c>
      <c r="B833" s="307" t="s">
        <v>6302</v>
      </c>
      <c r="C833" s="307" t="s">
        <v>5814</v>
      </c>
      <c r="D833" s="307" t="s">
        <v>6303</v>
      </c>
      <c r="E833" s="307" t="s">
        <v>3905</v>
      </c>
      <c r="F833" s="307" t="s">
        <v>3906</v>
      </c>
      <c r="G833" s="307" t="s">
        <v>3907</v>
      </c>
    </row>
    <row r="834" spans="1:7" ht="13.5">
      <c r="A834" s="307" t="s">
        <v>6304</v>
      </c>
      <c r="B834" s="307" t="s">
        <v>6305</v>
      </c>
      <c r="C834" s="307" t="s">
        <v>5814</v>
      </c>
      <c r="D834" s="307" t="s">
        <v>6306</v>
      </c>
      <c r="E834" s="307" t="s">
        <v>3905</v>
      </c>
      <c r="F834" s="307" t="s">
        <v>3906</v>
      </c>
      <c r="G834" s="307" t="s">
        <v>3907</v>
      </c>
    </row>
    <row r="835" spans="1:7" ht="13.5">
      <c r="A835" s="307" t="s">
        <v>6307</v>
      </c>
      <c r="B835" s="307" t="s">
        <v>6308</v>
      </c>
      <c r="C835" s="307" t="s">
        <v>5814</v>
      </c>
      <c r="D835" s="307" t="s">
        <v>6309</v>
      </c>
      <c r="E835" s="307" t="s">
        <v>3905</v>
      </c>
      <c r="F835" s="307" t="s">
        <v>3906</v>
      </c>
      <c r="G835" s="307" t="s">
        <v>3907</v>
      </c>
    </row>
    <row r="836" spans="1:7" ht="13.5">
      <c r="A836" s="307" t="s">
        <v>6310</v>
      </c>
      <c r="B836" s="307" t="s">
        <v>6311</v>
      </c>
      <c r="C836" s="307" t="s">
        <v>5814</v>
      </c>
      <c r="D836" s="307" t="s">
        <v>6312</v>
      </c>
      <c r="E836" s="307" t="s">
        <v>3905</v>
      </c>
      <c r="F836" s="307" t="s">
        <v>3906</v>
      </c>
      <c r="G836" s="307" t="s">
        <v>3907</v>
      </c>
    </row>
    <row r="837" spans="1:7" ht="13.5">
      <c r="A837" s="307" t="s">
        <v>6313</v>
      </c>
      <c r="B837" s="307" t="s">
        <v>6314</v>
      </c>
      <c r="C837" s="307" t="s">
        <v>5814</v>
      </c>
      <c r="D837" s="307" t="s">
        <v>6315</v>
      </c>
      <c r="E837" s="307" t="s">
        <v>3905</v>
      </c>
      <c r="F837" s="307" t="s">
        <v>3906</v>
      </c>
      <c r="G837" s="307" t="s">
        <v>3907</v>
      </c>
    </row>
    <row r="838" spans="1:7" ht="13.5">
      <c r="A838" s="307" t="s">
        <v>6316</v>
      </c>
      <c r="B838" s="307" t="s">
        <v>6317</v>
      </c>
      <c r="C838" s="307" t="s">
        <v>5814</v>
      </c>
      <c r="D838" s="307" t="s">
        <v>6318</v>
      </c>
      <c r="E838" s="307" t="s">
        <v>3905</v>
      </c>
      <c r="F838" s="307" t="s">
        <v>3906</v>
      </c>
      <c r="G838" s="307" t="s">
        <v>3907</v>
      </c>
    </row>
    <row r="839" spans="1:7" ht="13.5">
      <c r="A839" s="307" t="s">
        <v>6319</v>
      </c>
      <c r="B839" s="307" t="s">
        <v>6320</v>
      </c>
      <c r="C839" s="307" t="s">
        <v>5814</v>
      </c>
      <c r="D839" s="307" t="s">
        <v>6321</v>
      </c>
      <c r="E839" s="307" t="s">
        <v>3905</v>
      </c>
      <c r="F839" s="307" t="s">
        <v>3906</v>
      </c>
      <c r="G839" s="307" t="s">
        <v>3907</v>
      </c>
    </row>
    <row r="840" spans="1:7" ht="13.5">
      <c r="A840" s="307" t="s">
        <v>6322</v>
      </c>
      <c r="B840" s="307" t="s">
        <v>6323</v>
      </c>
      <c r="C840" s="307" t="s">
        <v>5814</v>
      </c>
      <c r="D840" s="307" t="s">
        <v>6324</v>
      </c>
      <c r="E840" s="307" t="s">
        <v>3905</v>
      </c>
      <c r="F840" s="307" t="s">
        <v>3906</v>
      </c>
      <c r="G840" s="307" t="s">
        <v>3907</v>
      </c>
    </row>
    <row r="841" spans="1:7" ht="13.5">
      <c r="A841" s="307" t="s">
        <v>6325</v>
      </c>
      <c r="B841" s="307" t="s">
        <v>6326</v>
      </c>
      <c r="C841" s="307" t="s">
        <v>5814</v>
      </c>
      <c r="D841" s="307" t="s">
        <v>6327</v>
      </c>
      <c r="E841" s="307" t="s">
        <v>3905</v>
      </c>
      <c r="F841" s="307" t="s">
        <v>3906</v>
      </c>
      <c r="G841" s="307" t="s">
        <v>3907</v>
      </c>
    </row>
    <row r="842" spans="1:7" ht="13.5">
      <c r="A842" s="307" t="s">
        <v>6328</v>
      </c>
      <c r="B842" s="307" t="s">
        <v>6329</v>
      </c>
      <c r="C842" s="307" t="s">
        <v>5814</v>
      </c>
      <c r="D842" s="307" t="s">
        <v>6330</v>
      </c>
      <c r="E842" s="307" t="s">
        <v>3905</v>
      </c>
      <c r="F842" s="307" t="s">
        <v>3906</v>
      </c>
      <c r="G842" s="307" t="s">
        <v>3907</v>
      </c>
    </row>
    <row r="843" spans="1:7" ht="13.5">
      <c r="A843" s="307" t="s">
        <v>6331</v>
      </c>
      <c r="B843" s="307" t="s">
        <v>6332</v>
      </c>
      <c r="C843" s="307" t="s">
        <v>5814</v>
      </c>
      <c r="D843" s="307" t="s">
        <v>6333</v>
      </c>
      <c r="E843" s="307" t="s">
        <v>3905</v>
      </c>
      <c r="F843" s="307" t="s">
        <v>3906</v>
      </c>
      <c r="G843" s="307" t="s">
        <v>3907</v>
      </c>
    </row>
    <row r="844" spans="1:7" ht="13.5">
      <c r="A844" s="307" t="s">
        <v>6334</v>
      </c>
      <c r="B844" s="307" t="s">
        <v>6335</v>
      </c>
      <c r="C844" s="307" t="s">
        <v>5814</v>
      </c>
      <c r="D844" s="307" t="s">
        <v>6336</v>
      </c>
      <c r="E844" s="307" t="s">
        <v>3905</v>
      </c>
      <c r="F844" s="307" t="s">
        <v>3906</v>
      </c>
      <c r="G844" s="307" t="s">
        <v>3907</v>
      </c>
    </row>
    <row r="845" spans="1:7" ht="13.5">
      <c r="A845" s="307" t="s">
        <v>6337</v>
      </c>
      <c r="B845" s="307" t="s">
        <v>6338</v>
      </c>
      <c r="C845" s="307" t="s">
        <v>5814</v>
      </c>
      <c r="D845" s="307" t="s">
        <v>6339</v>
      </c>
      <c r="E845" s="307" t="s">
        <v>3905</v>
      </c>
      <c r="F845" s="307" t="s">
        <v>3906</v>
      </c>
      <c r="G845" s="307" t="s">
        <v>3907</v>
      </c>
    </row>
    <row r="846" spans="1:7" ht="13.5">
      <c r="A846" s="307" t="s">
        <v>6340</v>
      </c>
      <c r="B846" s="307" t="s">
        <v>6341</v>
      </c>
      <c r="C846" s="307" t="s">
        <v>5814</v>
      </c>
      <c r="D846" s="307" t="s">
        <v>6342</v>
      </c>
      <c r="E846" s="307" t="s">
        <v>3905</v>
      </c>
      <c r="F846" s="307" t="s">
        <v>3906</v>
      </c>
      <c r="G846" s="307" t="s">
        <v>3907</v>
      </c>
    </row>
    <row r="847" spans="1:7" ht="13.5">
      <c r="A847" s="307" t="s">
        <v>6343</v>
      </c>
      <c r="B847" s="307" t="s">
        <v>6344</v>
      </c>
      <c r="C847" s="307" t="s">
        <v>5814</v>
      </c>
      <c r="D847" s="307" t="s">
        <v>6345</v>
      </c>
      <c r="E847" s="307" t="s">
        <v>3905</v>
      </c>
      <c r="F847" s="307" t="s">
        <v>3906</v>
      </c>
      <c r="G847" s="307" t="s">
        <v>3907</v>
      </c>
    </row>
    <row r="848" spans="1:7" ht="13.5">
      <c r="A848" s="307" t="s">
        <v>6346</v>
      </c>
      <c r="B848" s="307" t="s">
        <v>6347</v>
      </c>
      <c r="C848" s="307" t="s">
        <v>5814</v>
      </c>
      <c r="D848" s="307" t="s">
        <v>6348</v>
      </c>
      <c r="E848" s="307" t="s">
        <v>3905</v>
      </c>
      <c r="F848" s="307" t="s">
        <v>3906</v>
      </c>
      <c r="G848" s="307" t="s">
        <v>3907</v>
      </c>
    </row>
    <row r="849" spans="1:7" ht="13.5">
      <c r="A849" s="307" t="s">
        <v>6349</v>
      </c>
      <c r="B849" s="307" t="s">
        <v>6350</v>
      </c>
      <c r="C849" s="307" t="s">
        <v>5814</v>
      </c>
      <c r="D849" s="307" t="s">
        <v>6351</v>
      </c>
      <c r="E849" s="307" t="s">
        <v>3905</v>
      </c>
      <c r="F849" s="307" t="s">
        <v>3906</v>
      </c>
      <c r="G849" s="307" t="s">
        <v>3907</v>
      </c>
    </row>
    <row r="850" spans="1:7" ht="13.5">
      <c r="A850" s="307" t="s">
        <v>6352</v>
      </c>
      <c r="B850" s="307" t="s">
        <v>6353</v>
      </c>
      <c r="C850" s="307" t="s">
        <v>5814</v>
      </c>
      <c r="D850" s="307" t="s">
        <v>6354</v>
      </c>
      <c r="E850" s="307" t="s">
        <v>3905</v>
      </c>
      <c r="F850" s="307" t="s">
        <v>3906</v>
      </c>
      <c r="G850" s="307" t="s">
        <v>3907</v>
      </c>
    </row>
    <row r="851" spans="1:7" ht="13.5">
      <c r="A851" s="307" t="s">
        <v>6355</v>
      </c>
      <c r="B851" s="307" t="s">
        <v>6356</v>
      </c>
      <c r="C851" s="307" t="s">
        <v>5814</v>
      </c>
      <c r="D851" s="307" t="s">
        <v>6357</v>
      </c>
      <c r="E851" s="307" t="s">
        <v>3905</v>
      </c>
      <c r="F851" s="307" t="s">
        <v>3906</v>
      </c>
      <c r="G851" s="307" t="s">
        <v>3907</v>
      </c>
    </row>
    <row r="852" spans="1:7" ht="13.5">
      <c r="A852" s="307" t="s">
        <v>6358</v>
      </c>
      <c r="B852" s="307" t="s">
        <v>6359</v>
      </c>
      <c r="C852" s="307" t="s">
        <v>5814</v>
      </c>
      <c r="D852" s="307" t="s">
        <v>6360</v>
      </c>
      <c r="E852" s="307" t="s">
        <v>3905</v>
      </c>
      <c r="F852" s="307" t="s">
        <v>3906</v>
      </c>
      <c r="G852" s="307" t="s">
        <v>3907</v>
      </c>
    </row>
    <row r="853" spans="1:7" ht="13.5">
      <c r="A853" s="307" t="s">
        <v>6361</v>
      </c>
      <c r="B853" s="307" t="s">
        <v>6362</v>
      </c>
      <c r="C853" s="307" t="s">
        <v>5814</v>
      </c>
      <c r="D853" s="307" t="s">
        <v>6363</v>
      </c>
      <c r="E853" s="307" t="s">
        <v>3905</v>
      </c>
      <c r="F853" s="307" t="s">
        <v>3906</v>
      </c>
      <c r="G853" s="307" t="s">
        <v>3907</v>
      </c>
    </row>
    <row r="854" spans="1:7" ht="13.5">
      <c r="A854" s="307" t="s">
        <v>6364</v>
      </c>
      <c r="B854" s="307" t="s">
        <v>6365</v>
      </c>
      <c r="C854" s="307" t="s">
        <v>5814</v>
      </c>
      <c r="D854" s="307" t="s">
        <v>6366</v>
      </c>
      <c r="E854" s="307" t="s">
        <v>3905</v>
      </c>
      <c r="F854" s="307" t="s">
        <v>3906</v>
      </c>
      <c r="G854" s="307" t="s">
        <v>3907</v>
      </c>
    </row>
    <row r="855" spans="1:7" ht="13.5">
      <c r="A855" s="307" t="s">
        <v>6367</v>
      </c>
      <c r="B855" s="307" t="s">
        <v>6368</v>
      </c>
      <c r="C855" s="307" t="s">
        <v>5814</v>
      </c>
      <c r="D855" s="307" t="s">
        <v>6369</v>
      </c>
      <c r="E855" s="307" t="s">
        <v>3905</v>
      </c>
      <c r="F855" s="307" t="s">
        <v>3906</v>
      </c>
      <c r="G855" s="307" t="s">
        <v>3907</v>
      </c>
    </row>
    <row r="856" spans="1:7" ht="13.5">
      <c r="A856" s="307" t="s">
        <v>6370</v>
      </c>
      <c r="B856" s="307" t="s">
        <v>6371</v>
      </c>
      <c r="C856" s="307" t="s">
        <v>5814</v>
      </c>
      <c r="D856" s="307" t="s">
        <v>6372</v>
      </c>
      <c r="E856" s="307" t="s">
        <v>3905</v>
      </c>
      <c r="F856" s="307" t="s">
        <v>3906</v>
      </c>
      <c r="G856" s="307" t="s">
        <v>3907</v>
      </c>
    </row>
    <row r="857" spans="1:7" ht="13.5">
      <c r="A857" s="307" t="s">
        <v>6373</v>
      </c>
      <c r="B857" s="307" t="s">
        <v>6374</v>
      </c>
      <c r="C857" s="307" t="s">
        <v>5814</v>
      </c>
      <c r="D857" s="307" t="s">
        <v>6375</v>
      </c>
      <c r="E857" s="307" t="s">
        <v>3905</v>
      </c>
      <c r="F857" s="307" t="s">
        <v>3906</v>
      </c>
      <c r="G857" s="307" t="s">
        <v>3907</v>
      </c>
    </row>
    <row r="858" spans="1:7" ht="13.5">
      <c r="A858" s="307" t="s">
        <v>6376</v>
      </c>
      <c r="B858" s="307" t="s">
        <v>6377</v>
      </c>
      <c r="C858" s="307" t="s">
        <v>5814</v>
      </c>
      <c r="D858" s="307" t="s">
        <v>6378</v>
      </c>
      <c r="E858" s="307" t="s">
        <v>3905</v>
      </c>
      <c r="F858" s="307" t="s">
        <v>3906</v>
      </c>
      <c r="G858" s="307" t="s">
        <v>3907</v>
      </c>
    </row>
    <row r="859" spans="1:7" ht="13.5">
      <c r="A859" s="307" t="s">
        <v>6379</v>
      </c>
      <c r="B859" s="307" t="s">
        <v>6380</v>
      </c>
      <c r="C859" s="307" t="s">
        <v>5814</v>
      </c>
      <c r="D859" s="307" t="s">
        <v>6381</v>
      </c>
      <c r="E859" s="307" t="s">
        <v>3905</v>
      </c>
      <c r="F859" s="307" t="s">
        <v>3906</v>
      </c>
      <c r="G859" s="307" t="s">
        <v>3907</v>
      </c>
    </row>
    <row r="860" spans="1:7" ht="13.5">
      <c r="A860" s="307" t="s">
        <v>6382</v>
      </c>
      <c r="B860" s="307" t="s">
        <v>6383</v>
      </c>
      <c r="C860" s="307" t="s">
        <v>5814</v>
      </c>
      <c r="D860" s="307" t="s">
        <v>6384</v>
      </c>
      <c r="E860" s="307" t="s">
        <v>3905</v>
      </c>
      <c r="F860" s="307" t="s">
        <v>3906</v>
      </c>
      <c r="G860" s="307" t="s">
        <v>3907</v>
      </c>
    </row>
    <row r="861" spans="1:7" ht="13.5">
      <c r="A861" s="307" t="s">
        <v>6385</v>
      </c>
      <c r="B861" s="307" t="s">
        <v>6386</v>
      </c>
      <c r="C861" s="307" t="s">
        <v>5814</v>
      </c>
      <c r="D861" s="307" t="s">
        <v>6387</v>
      </c>
      <c r="E861" s="307" t="s">
        <v>3905</v>
      </c>
      <c r="F861" s="307" t="s">
        <v>3906</v>
      </c>
      <c r="G861" s="307" t="s">
        <v>3907</v>
      </c>
    </row>
    <row r="862" spans="1:7" ht="13.5">
      <c r="A862" s="307" t="s">
        <v>6388</v>
      </c>
      <c r="B862" s="307" t="s">
        <v>6389</v>
      </c>
      <c r="C862" s="307" t="s">
        <v>5814</v>
      </c>
      <c r="D862" s="307" t="s">
        <v>6390</v>
      </c>
      <c r="E862" s="307" t="s">
        <v>3905</v>
      </c>
      <c r="F862" s="307" t="s">
        <v>3906</v>
      </c>
      <c r="G862" s="307" t="s">
        <v>3907</v>
      </c>
    </row>
    <row r="863" spans="1:7" ht="13.5">
      <c r="A863" s="307" t="s">
        <v>6391</v>
      </c>
      <c r="B863" s="307" t="s">
        <v>6392</v>
      </c>
      <c r="C863" s="307" t="s">
        <v>5814</v>
      </c>
      <c r="D863" s="307" t="s">
        <v>6393</v>
      </c>
      <c r="E863" s="307" t="s">
        <v>3905</v>
      </c>
      <c r="F863" s="307" t="s">
        <v>3906</v>
      </c>
      <c r="G863" s="307" t="s">
        <v>3907</v>
      </c>
    </row>
    <row r="864" spans="1:7" ht="13.5">
      <c r="A864" s="307" t="s">
        <v>6394</v>
      </c>
      <c r="B864" s="307" t="s">
        <v>6395</v>
      </c>
      <c r="C864" s="307" t="s">
        <v>5814</v>
      </c>
      <c r="D864" s="307" t="s">
        <v>6396</v>
      </c>
      <c r="E864" s="307" t="s">
        <v>3905</v>
      </c>
      <c r="F864" s="307" t="s">
        <v>3906</v>
      </c>
      <c r="G864" s="307" t="s">
        <v>3907</v>
      </c>
    </row>
    <row r="865" spans="1:7" ht="13.5">
      <c r="A865" s="307" t="s">
        <v>6397</v>
      </c>
      <c r="B865" s="307" t="s">
        <v>6398</v>
      </c>
      <c r="C865" s="307" t="s">
        <v>5814</v>
      </c>
      <c r="D865" s="307" t="s">
        <v>6399</v>
      </c>
      <c r="E865" s="307" t="s">
        <v>3905</v>
      </c>
      <c r="F865" s="307" t="s">
        <v>3906</v>
      </c>
      <c r="G865" s="307" t="s">
        <v>3907</v>
      </c>
    </row>
    <row r="866" spans="1:7" ht="13.5">
      <c r="A866" s="307" t="s">
        <v>6400</v>
      </c>
      <c r="B866" s="307" t="s">
        <v>6401</v>
      </c>
      <c r="C866" s="307" t="s">
        <v>5814</v>
      </c>
      <c r="D866" s="307" t="s">
        <v>6402</v>
      </c>
      <c r="E866" s="307" t="s">
        <v>3905</v>
      </c>
      <c r="F866" s="307" t="s">
        <v>3906</v>
      </c>
      <c r="G866" s="307" t="s">
        <v>3907</v>
      </c>
    </row>
    <row r="867" spans="1:7" ht="13.5">
      <c r="A867" s="307" t="s">
        <v>6403</v>
      </c>
      <c r="B867" s="307" t="s">
        <v>6404</v>
      </c>
      <c r="C867" s="307" t="s">
        <v>5814</v>
      </c>
      <c r="D867" s="307" t="s">
        <v>6405</v>
      </c>
      <c r="E867" s="307" t="s">
        <v>3905</v>
      </c>
      <c r="F867" s="307" t="s">
        <v>3906</v>
      </c>
      <c r="G867" s="307" t="s">
        <v>3907</v>
      </c>
    </row>
    <row r="868" spans="1:7" ht="13.5">
      <c r="A868" s="307" t="s">
        <v>6406</v>
      </c>
      <c r="B868" s="307" t="s">
        <v>6407</v>
      </c>
      <c r="C868" s="307" t="s">
        <v>5814</v>
      </c>
      <c r="D868" s="307" t="s">
        <v>6408</v>
      </c>
      <c r="E868" s="307" t="s">
        <v>3905</v>
      </c>
      <c r="F868" s="307" t="s">
        <v>3906</v>
      </c>
      <c r="G868" s="307" t="s">
        <v>3907</v>
      </c>
    </row>
    <row r="869" spans="1:7" ht="13.5">
      <c r="A869" s="307" t="s">
        <v>6409</v>
      </c>
      <c r="B869" s="307" t="s">
        <v>6410</v>
      </c>
      <c r="C869" s="307" t="s">
        <v>5814</v>
      </c>
      <c r="D869" s="307" t="s">
        <v>6411</v>
      </c>
      <c r="E869" s="307" t="s">
        <v>3905</v>
      </c>
      <c r="F869" s="307" t="s">
        <v>3906</v>
      </c>
      <c r="G869" s="307" t="s">
        <v>3907</v>
      </c>
    </row>
    <row r="870" spans="1:7" ht="13.5">
      <c r="A870" s="307" t="s">
        <v>6412</v>
      </c>
      <c r="B870" s="307" t="s">
        <v>6413</v>
      </c>
      <c r="C870" s="307" t="s">
        <v>5814</v>
      </c>
      <c r="D870" s="307" t="s">
        <v>6414</v>
      </c>
      <c r="E870" s="307" t="s">
        <v>3905</v>
      </c>
      <c r="F870" s="307" t="s">
        <v>3906</v>
      </c>
      <c r="G870" s="307" t="s">
        <v>3907</v>
      </c>
    </row>
    <row r="871" spans="1:7" ht="13.5">
      <c r="A871" s="307" t="s">
        <v>6415</v>
      </c>
      <c r="B871" s="307" t="s">
        <v>6416</v>
      </c>
      <c r="C871" s="307" t="s">
        <v>5814</v>
      </c>
      <c r="D871" s="307" t="s">
        <v>6417</v>
      </c>
      <c r="E871" s="307" t="s">
        <v>4021</v>
      </c>
      <c r="F871" s="307" t="s">
        <v>3906</v>
      </c>
      <c r="G871" s="307" t="s">
        <v>3907</v>
      </c>
    </row>
    <row r="872" spans="1:7" ht="13.5">
      <c r="A872" s="307" t="s">
        <v>6418</v>
      </c>
      <c r="B872" s="307" t="s">
        <v>6419</v>
      </c>
      <c r="C872" s="307" t="s">
        <v>5814</v>
      </c>
      <c r="D872" s="307" t="s">
        <v>6420</v>
      </c>
      <c r="E872" s="307" t="s">
        <v>3905</v>
      </c>
      <c r="F872" s="307" t="s">
        <v>3906</v>
      </c>
      <c r="G872" s="307" t="s">
        <v>3907</v>
      </c>
    </row>
    <row r="873" spans="1:7" ht="13.5">
      <c r="A873" s="307" t="s">
        <v>6421</v>
      </c>
      <c r="B873" s="307" t="s">
        <v>6422</v>
      </c>
      <c r="C873" s="307" t="s">
        <v>5814</v>
      </c>
      <c r="D873" s="307" t="s">
        <v>6423</v>
      </c>
      <c r="E873" s="307" t="s">
        <v>3905</v>
      </c>
      <c r="F873" s="307" t="s">
        <v>3906</v>
      </c>
      <c r="G873" s="307" t="s">
        <v>3907</v>
      </c>
    </row>
    <row r="874" spans="1:7" ht="13.5">
      <c r="A874" s="307" t="s">
        <v>6424</v>
      </c>
      <c r="B874" s="307" t="s">
        <v>6425</v>
      </c>
      <c r="C874" s="307" t="s">
        <v>5814</v>
      </c>
      <c r="D874" s="307" t="s">
        <v>6426</v>
      </c>
      <c r="E874" s="307" t="s">
        <v>3905</v>
      </c>
      <c r="F874" s="307" t="s">
        <v>3906</v>
      </c>
      <c r="G874" s="307" t="s">
        <v>3907</v>
      </c>
    </row>
    <row r="875" spans="1:7" ht="13.5">
      <c r="A875" s="307" t="s">
        <v>6427</v>
      </c>
      <c r="B875" s="307" t="s">
        <v>6428</v>
      </c>
      <c r="C875" s="307" t="s">
        <v>5814</v>
      </c>
      <c r="D875" s="307" t="s">
        <v>6429</v>
      </c>
      <c r="E875" s="307" t="s">
        <v>3905</v>
      </c>
      <c r="F875" s="307" t="s">
        <v>3906</v>
      </c>
      <c r="G875" s="307" t="s">
        <v>3907</v>
      </c>
    </row>
    <row r="876" spans="1:7" ht="13.5">
      <c r="A876" s="307" t="s">
        <v>6430</v>
      </c>
      <c r="B876" s="307" t="s">
        <v>6431</v>
      </c>
      <c r="C876" s="307" t="s">
        <v>5814</v>
      </c>
      <c r="D876" s="307" t="s">
        <v>6432</v>
      </c>
      <c r="E876" s="307" t="s">
        <v>3905</v>
      </c>
      <c r="F876" s="307" t="s">
        <v>3906</v>
      </c>
      <c r="G876" s="307" t="s">
        <v>3907</v>
      </c>
    </row>
    <row r="877" spans="1:7" ht="13.5">
      <c r="A877" s="307" t="s">
        <v>6433</v>
      </c>
      <c r="B877" s="307" t="s">
        <v>6434</v>
      </c>
      <c r="C877" s="307" t="s">
        <v>5814</v>
      </c>
      <c r="D877" s="307" t="s">
        <v>6435</v>
      </c>
      <c r="E877" s="307" t="s">
        <v>3905</v>
      </c>
      <c r="F877" s="307" t="s">
        <v>3906</v>
      </c>
      <c r="G877" s="307" t="s">
        <v>3907</v>
      </c>
    </row>
    <row r="878" spans="1:7" ht="13.5">
      <c r="A878" s="307" t="s">
        <v>6436</v>
      </c>
      <c r="B878" s="307" t="s">
        <v>6437</v>
      </c>
      <c r="C878" s="307" t="s">
        <v>5814</v>
      </c>
      <c r="D878" s="307" t="s">
        <v>6438</v>
      </c>
      <c r="E878" s="307" t="s">
        <v>3905</v>
      </c>
      <c r="F878" s="307" t="s">
        <v>3906</v>
      </c>
      <c r="G878" s="307" t="s">
        <v>3907</v>
      </c>
    </row>
    <row r="879" spans="1:7" ht="13.5">
      <c r="A879" s="307" t="s">
        <v>6439</v>
      </c>
      <c r="B879" s="307" t="s">
        <v>6440</v>
      </c>
      <c r="C879" s="307" t="s">
        <v>5814</v>
      </c>
      <c r="D879" s="307" t="s">
        <v>6441</v>
      </c>
      <c r="E879" s="307" t="s">
        <v>3905</v>
      </c>
      <c r="F879" s="307" t="s">
        <v>3906</v>
      </c>
      <c r="G879" s="307" t="s">
        <v>3907</v>
      </c>
    </row>
    <row r="880" spans="1:7" ht="13.5">
      <c r="A880" s="307" t="s">
        <v>6442</v>
      </c>
      <c r="B880" s="307" t="s">
        <v>6443</v>
      </c>
      <c r="C880" s="307" t="s">
        <v>5814</v>
      </c>
      <c r="D880" s="307" t="s">
        <v>6444</v>
      </c>
      <c r="E880" s="307" t="s">
        <v>3905</v>
      </c>
      <c r="F880" s="307" t="s">
        <v>3906</v>
      </c>
      <c r="G880" s="307" t="s">
        <v>3907</v>
      </c>
    </row>
    <row r="881" spans="1:7" ht="13.5">
      <c r="A881" s="307" t="s">
        <v>6445</v>
      </c>
      <c r="B881" s="307" t="s">
        <v>6446</v>
      </c>
      <c r="C881" s="307" t="s">
        <v>5814</v>
      </c>
      <c r="D881" s="307" t="s">
        <v>6447</v>
      </c>
      <c r="E881" s="307" t="s">
        <v>3905</v>
      </c>
      <c r="F881" s="307" t="s">
        <v>3906</v>
      </c>
      <c r="G881" s="307" t="s">
        <v>3907</v>
      </c>
    </row>
    <row r="882" spans="1:7" ht="13.5">
      <c r="A882" s="307" t="s">
        <v>6448</v>
      </c>
      <c r="B882" s="307" t="s">
        <v>6449</v>
      </c>
      <c r="C882" s="307" t="s">
        <v>5814</v>
      </c>
      <c r="D882" s="307" t="s">
        <v>6450</v>
      </c>
      <c r="E882" s="307" t="s">
        <v>3905</v>
      </c>
      <c r="F882" s="307" t="s">
        <v>3906</v>
      </c>
      <c r="G882" s="307" t="s">
        <v>3907</v>
      </c>
    </row>
    <row r="883" spans="1:7" ht="13.5">
      <c r="A883" s="307" t="s">
        <v>6451</v>
      </c>
      <c r="B883" s="307" t="s">
        <v>6452</v>
      </c>
      <c r="C883" s="307" t="s">
        <v>5814</v>
      </c>
      <c r="D883" s="307" t="s">
        <v>6453</v>
      </c>
      <c r="E883" s="307" t="s">
        <v>3905</v>
      </c>
      <c r="F883" s="307" t="s">
        <v>3906</v>
      </c>
      <c r="G883" s="307" t="s">
        <v>3907</v>
      </c>
    </row>
    <row r="884" spans="1:7" ht="13.5">
      <c r="A884" s="307" t="s">
        <v>6454</v>
      </c>
      <c r="B884" s="307" t="s">
        <v>6455</v>
      </c>
      <c r="C884" s="307" t="s">
        <v>5814</v>
      </c>
      <c r="D884" s="307" t="s">
        <v>6456</v>
      </c>
      <c r="E884" s="307" t="s">
        <v>3905</v>
      </c>
      <c r="F884" s="307" t="s">
        <v>3906</v>
      </c>
      <c r="G884" s="307" t="s">
        <v>3907</v>
      </c>
    </row>
    <row r="885" spans="1:7" ht="13.5">
      <c r="A885" s="307" t="s">
        <v>6457</v>
      </c>
      <c r="B885" s="307" t="s">
        <v>6458</v>
      </c>
      <c r="C885" s="307" t="s">
        <v>5814</v>
      </c>
      <c r="D885" s="307" t="s">
        <v>6459</v>
      </c>
      <c r="E885" s="307" t="s">
        <v>4021</v>
      </c>
      <c r="F885" s="307" t="s">
        <v>3906</v>
      </c>
      <c r="G885" s="307" t="s">
        <v>3907</v>
      </c>
    </row>
    <row r="886" spans="1:7" ht="13.5">
      <c r="A886" s="307" t="s">
        <v>6460</v>
      </c>
      <c r="B886" s="307" t="s">
        <v>6461</v>
      </c>
      <c r="C886" s="307" t="s">
        <v>5814</v>
      </c>
      <c r="D886" s="307" t="s">
        <v>6462</v>
      </c>
      <c r="E886" s="307" t="s">
        <v>3905</v>
      </c>
      <c r="F886" s="307" t="s">
        <v>3906</v>
      </c>
      <c r="G886" s="307" t="s">
        <v>3907</v>
      </c>
    </row>
    <row r="887" spans="1:7" ht="13.5">
      <c r="A887" s="307" t="s">
        <v>6463</v>
      </c>
      <c r="B887" s="307" t="s">
        <v>6464</v>
      </c>
      <c r="C887" s="307" t="s">
        <v>5814</v>
      </c>
      <c r="D887" s="307" t="s">
        <v>6465</v>
      </c>
      <c r="E887" s="307" t="s">
        <v>3905</v>
      </c>
      <c r="F887" s="307" t="s">
        <v>3906</v>
      </c>
      <c r="G887" s="307" t="s">
        <v>3907</v>
      </c>
    </row>
    <row r="888" spans="1:7" ht="13.5">
      <c r="A888" s="307" t="s">
        <v>6466</v>
      </c>
      <c r="B888" s="307" t="s">
        <v>6467</v>
      </c>
      <c r="C888" s="307" t="s">
        <v>5814</v>
      </c>
      <c r="D888" s="307" t="s">
        <v>6468</v>
      </c>
      <c r="E888" s="307" t="s">
        <v>3905</v>
      </c>
      <c r="F888" s="307" t="s">
        <v>3906</v>
      </c>
      <c r="G888" s="307" t="s">
        <v>3907</v>
      </c>
    </row>
    <row r="889" spans="1:7" ht="13.5">
      <c r="A889" s="307" t="s">
        <v>6469</v>
      </c>
      <c r="B889" s="307" t="s">
        <v>6470</v>
      </c>
      <c r="C889" s="307" t="s">
        <v>5814</v>
      </c>
      <c r="D889" s="307" t="s">
        <v>6471</v>
      </c>
      <c r="E889" s="307" t="s">
        <v>3905</v>
      </c>
      <c r="F889" s="307" t="s">
        <v>3906</v>
      </c>
      <c r="G889" s="307" t="s">
        <v>3907</v>
      </c>
    </row>
    <row r="890" spans="1:7" ht="13.5">
      <c r="A890" s="307" t="s">
        <v>6472</v>
      </c>
      <c r="B890" s="307" t="s">
        <v>6473</v>
      </c>
      <c r="C890" s="307" t="s">
        <v>5814</v>
      </c>
      <c r="D890" s="307" t="s">
        <v>6474</v>
      </c>
      <c r="E890" s="307" t="s">
        <v>3905</v>
      </c>
      <c r="F890" s="307" t="s">
        <v>3906</v>
      </c>
      <c r="G890" s="307" t="s">
        <v>3907</v>
      </c>
    </row>
    <row r="891" spans="1:7" ht="13.5">
      <c r="A891" s="307" t="s">
        <v>6475</v>
      </c>
      <c r="B891" s="307" t="s">
        <v>6476</v>
      </c>
      <c r="C891" s="307" t="s">
        <v>5814</v>
      </c>
      <c r="D891" s="307" t="s">
        <v>6477</v>
      </c>
      <c r="E891" s="307" t="s">
        <v>3905</v>
      </c>
      <c r="F891" s="307" t="s">
        <v>3906</v>
      </c>
      <c r="G891" s="307" t="s">
        <v>3907</v>
      </c>
    </row>
    <row r="892" spans="1:7" ht="13.5">
      <c r="A892" s="307" t="s">
        <v>6478</v>
      </c>
      <c r="B892" s="307" t="s">
        <v>6479</v>
      </c>
      <c r="C892" s="307" t="s">
        <v>5814</v>
      </c>
      <c r="D892" s="307" t="s">
        <v>6480</v>
      </c>
      <c r="E892" s="307" t="s">
        <v>3905</v>
      </c>
      <c r="F892" s="307" t="s">
        <v>3906</v>
      </c>
      <c r="G892" s="307" t="s">
        <v>3907</v>
      </c>
    </row>
    <row r="893" spans="1:7" ht="13.5">
      <c r="A893" s="307" t="s">
        <v>6481</v>
      </c>
      <c r="B893" s="307" t="s">
        <v>6482</v>
      </c>
      <c r="C893" s="307" t="s">
        <v>5814</v>
      </c>
      <c r="D893" s="307" t="s">
        <v>6483</v>
      </c>
      <c r="E893" s="307" t="s">
        <v>3905</v>
      </c>
      <c r="F893" s="307" t="s">
        <v>3906</v>
      </c>
      <c r="G893" s="307" t="s">
        <v>3907</v>
      </c>
    </row>
    <row r="894" spans="1:7" ht="13.5">
      <c r="A894" s="307" t="s">
        <v>6484</v>
      </c>
      <c r="B894" s="307" t="s">
        <v>6485</v>
      </c>
      <c r="C894" s="307" t="s">
        <v>5814</v>
      </c>
      <c r="D894" s="307" t="s">
        <v>6486</v>
      </c>
      <c r="E894" s="307" t="s">
        <v>3905</v>
      </c>
      <c r="F894" s="307" t="s">
        <v>3906</v>
      </c>
      <c r="G894" s="307" t="s">
        <v>3907</v>
      </c>
    </row>
    <row r="895" spans="1:7" ht="13.5">
      <c r="A895" s="307" t="s">
        <v>6487</v>
      </c>
      <c r="B895" s="307" t="s">
        <v>6488</v>
      </c>
      <c r="C895" s="307" t="s">
        <v>5814</v>
      </c>
      <c r="D895" s="307" t="s">
        <v>6489</v>
      </c>
      <c r="E895" s="307" t="s">
        <v>3905</v>
      </c>
      <c r="F895" s="307" t="s">
        <v>3906</v>
      </c>
      <c r="G895" s="307" t="s">
        <v>3907</v>
      </c>
    </row>
    <row r="896" spans="1:7" ht="13.5">
      <c r="A896" s="307" t="s">
        <v>6490</v>
      </c>
      <c r="B896" s="307" t="s">
        <v>6491</v>
      </c>
      <c r="C896" s="307" t="s">
        <v>5814</v>
      </c>
      <c r="D896" s="307" t="s">
        <v>6492</v>
      </c>
      <c r="E896" s="307" t="s">
        <v>3905</v>
      </c>
      <c r="F896" s="307" t="s">
        <v>3906</v>
      </c>
      <c r="G896" s="307" t="s">
        <v>3907</v>
      </c>
    </row>
    <row r="897" spans="1:7" ht="13.5">
      <c r="A897" s="307" t="s">
        <v>6493</v>
      </c>
      <c r="B897" s="307" t="s">
        <v>6494</v>
      </c>
      <c r="C897" s="307" t="s">
        <v>5814</v>
      </c>
      <c r="D897" s="307" t="s">
        <v>6495</v>
      </c>
      <c r="E897" s="307" t="s">
        <v>3905</v>
      </c>
      <c r="F897" s="307" t="s">
        <v>3906</v>
      </c>
      <c r="G897" s="307" t="s">
        <v>3907</v>
      </c>
    </row>
    <row r="898" spans="1:7" ht="13.5">
      <c r="A898" s="307" t="s">
        <v>6496</v>
      </c>
      <c r="B898" s="307" t="s">
        <v>6497</v>
      </c>
      <c r="C898" s="307" t="s">
        <v>5814</v>
      </c>
      <c r="D898" s="307" t="s">
        <v>6498</v>
      </c>
      <c r="E898" s="307" t="s">
        <v>3905</v>
      </c>
      <c r="F898" s="307" t="s">
        <v>3906</v>
      </c>
      <c r="G898" s="307" t="s">
        <v>3907</v>
      </c>
    </row>
    <row r="899" spans="1:7" ht="13.5">
      <c r="A899" s="307" t="s">
        <v>6499</v>
      </c>
      <c r="B899" s="307" t="s">
        <v>6500</v>
      </c>
      <c r="C899" s="307" t="s">
        <v>5814</v>
      </c>
      <c r="D899" s="307" t="s">
        <v>6501</v>
      </c>
      <c r="E899" s="307" t="s">
        <v>3905</v>
      </c>
      <c r="F899" s="307" t="s">
        <v>3906</v>
      </c>
      <c r="G899" s="307" t="s">
        <v>3907</v>
      </c>
    </row>
    <row r="900" spans="1:7" ht="13.5">
      <c r="A900" s="307" t="s">
        <v>6502</v>
      </c>
      <c r="B900" s="307" t="s">
        <v>6503</v>
      </c>
      <c r="C900" s="307" t="s">
        <v>5814</v>
      </c>
      <c r="D900" s="307" t="s">
        <v>6504</v>
      </c>
      <c r="E900" s="307" t="s">
        <v>3905</v>
      </c>
      <c r="F900" s="307" t="s">
        <v>3906</v>
      </c>
      <c r="G900" s="307" t="s">
        <v>3907</v>
      </c>
    </row>
    <row r="901" spans="1:7" ht="13.5">
      <c r="A901" s="307" t="s">
        <v>6505</v>
      </c>
      <c r="B901" s="307" t="s">
        <v>6506</v>
      </c>
      <c r="C901" s="307" t="s">
        <v>5814</v>
      </c>
      <c r="D901" s="307" t="s">
        <v>6507</v>
      </c>
      <c r="E901" s="307" t="s">
        <v>3905</v>
      </c>
      <c r="F901" s="307" t="s">
        <v>3906</v>
      </c>
      <c r="G901" s="307" t="s">
        <v>3907</v>
      </c>
    </row>
    <row r="902" spans="1:7" ht="13.5">
      <c r="A902" s="307" t="s">
        <v>6508</v>
      </c>
      <c r="B902" s="307" t="s">
        <v>6509</v>
      </c>
      <c r="C902" s="307" t="s">
        <v>5814</v>
      </c>
      <c r="D902" s="307" t="s">
        <v>6510</v>
      </c>
      <c r="E902" s="307" t="s">
        <v>3905</v>
      </c>
      <c r="F902" s="307" t="s">
        <v>3906</v>
      </c>
      <c r="G902" s="307" t="s">
        <v>3907</v>
      </c>
    </row>
    <row r="903" spans="1:7" ht="13.5">
      <c r="A903" s="307" t="s">
        <v>6511</v>
      </c>
      <c r="B903" s="307" t="s">
        <v>6512</v>
      </c>
      <c r="C903" s="307" t="s">
        <v>5814</v>
      </c>
      <c r="D903" s="307" t="s">
        <v>6513</v>
      </c>
      <c r="E903" s="307" t="s">
        <v>3905</v>
      </c>
      <c r="F903" s="307" t="s">
        <v>3906</v>
      </c>
      <c r="G903" s="307" t="s">
        <v>3907</v>
      </c>
    </row>
    <row r="904" spans="1:7" ht="13.5">
      <c r="A904" s="307" t="s">
        <v>6514</v>
      </c>
      <c r="B904" s="307" t="s">
        <v>6515</v>
      </c>
      <c r="C904" s="307" t="s">
        <v>5814</v>
      </c>
      <c r="D904" s="307" t="s">
        <v>6516</v>
      </c>
      <c r="E904" s="307" t="s">
        <v>3905</v>
      </c>
      <c r="F904" s="307" t="s">
        <v>3906</v>
      </c>
      <c r="G904" s="307" t="s">
        <v>3907</v>
      </c>
    </row>
    <row r="905" spans="1:7" ht="13.5">
      <c r="A905" s="307" t="s">
        <v>6517</v>
      </c>
      <c r="B905" s="307" t="s">
        <v>6518</v>
      </c>
      <c r="C905" s="307" t="s">
        <v>5814</v>
      </c>
      <c r="D905" s="307" t="s">
        <v>6519</v>
      </c>
      <c r="E905" s="307" t="s">
        <v>3905</v>
      </c>
      <c r="F905" s="307" t="s">
        <v>3906</v>
      </c>
      <c r="G905" s="307" t="s">
        <v>3907</v>
      </c>
    </row>
    <row r="906" spans="1:7" ht="13.5">
      <c r="A906" s="307" t="s">
        <v>6520</v>
      </c>
      <c r="B906" s="307" t="s">
        <v>6521</v>
      </c>
      <c r="C906" s="307" t="s">
        <v>5814</v>
      </c>
      <c r="D906" s="307" t="s">
        <v>6522</v>
      </c>
      <c r="E906" s="307" t="s">
        <v>3905</v>
      </c>
      <c r="F906" s="307" t="s">
        <v>3906</v>
      </c>
      <c r="G906" s="307" t="s">
        <v>3907</v>
      </c>
    </row>
    <row r="907" spans="1:7" ht="13.5">
      <c r="A907" s="307" t="s">
        <v>6523</v>
      </c>
      <c r="B907" s="307" t="s">
        <v>6524</v>
      </c>
      <c r="C907" s="307" t="s">
        <v>5814</v>
      </c>
      <c r="D907" s="307" t="s">
        <v>6525</v>
      </c>
      <c r="E907" s="307" t="s">
        <v>3905</v>
      </c>
      <c r="F907" s="307" t="s">
        <v>3906</v>
      </c>
      <c r="G907" s="307" t="s">
        <v>3907</v>
      </c>
    </row>
    <row r="908" spans="1:7" ht="13.5">
      <c r="A908" s="307" t="s">
        <v>6526</v>
      </c>
      <c r="B908" s="307" t="s">
        <v>6527</v>
      </c>
      <c r="C908" s="307" t="s">
        <v>5814</v>
      </c>
      <c r="D908" s="307" t="s">
        <v>6528</v>
      </c>
      <c r="E908" s="307" t="s">
        <v>3905</v>
      </c>
      <c r="F908" s="307" t="s">
        <v>3906</v>
      </c>
      <c r="G908" s="307" t="s">
        <v>3907</v>
      </c>
    </row>
    <row r="909" spans="1:7" ht="13.5">
      <c r="A909" s="307" t="s">
        <v>6529</v>
      </c>
      <c r="B909" s="307" t="s">
        <v>6530</v>
      </c>
      <c r="C909" s="307" t="s">
        <v>5814</v>
      </c>
      <c r="D909" s="307" t="s">
        <v>6531</v>
      </c>
      <c r="E909" s="307" t="s">
        <v>3905</v>
      </c>
      <c r="F909" s="307" t="s">
        <v>3906</v>
      </c>
      <c r="G909" s="307" t="s">
        <v>3907</v>
      </c>
    </row>
    <row r="910" spans="1:7" ht="13.5">
      <c r="A910" s="307" t="s">
        <v>6532</v>
      </c>
      <c r="B910" s="307" t="s">
        <v>6533</v>
      </c>
      <c r="C910" s="307" t="s">
        <v>5814</v>
      </c>
      <c r="D910" s="307" t="s">
        <v>6534</v>
      </c>
      <c r="E910" s="307" t="s">
        <v>3905</v>
      </c>
      <c r="F910" s="307" t="s">
        <v>3906</v>
      </c>
      <c r="G910" s="307" t="s">
        <v>3907</v>
      </c>
    </row>
    <row r="911" spans="1:7" ht="13.5">
      <c r="A911" s="307" t="s">
        <v>6535</v>
      </c>
      <c r="B911" s="307" t="s">
        <v>6536</v>
      </c>
      <c r="C911" s="307" t="s">
        <v>5814</v>
      </c>
      <c r="D911" s="307" t="s">
        <v>6537</v>
      </c>
      <c r="E911" s="307" t="s">
        <v>3905</v>
      </c>
      <c r="F911" s="307" t="s">
        <v>3906</v>
      </c>
      <c r="G911" s="307" t="s">
        <v>3907</v>
      </c>
    </row>
    <row r="912" spans="1:7" ht="13.5">
      <c r="A912" s="307" t="s">
        <v>6538</v>
      </c>
      <c r="B912" s="307" t="s">
        <v>6539</v>
      </c>
      <c r="C912" s="307" t="s">
        <v>5814</v>
      </c>
      <c r="D912" s="307" t="s">
        <v>6540</v>
      </c>
      <c r="E912" s="307" t="s">
        <v>3905</v>
      </c>
      <c r="F912" s="307" t="s">
        <v>3906</v>
      </c>
      <c r="G912" s="307" t="s">
        <v>3907</v>
      </c>
    </row>
    <row r="913" spans="1:7" ht="13.5">
      <c r="A913" s="307" t="s">
        <v>6541</v>
      </c>
      <c r="B913" s="307" t="s">
        <v>6542</v>
      </c>
      <c r="C913" s="307" t="s">
        <v>5814</v>
      </c>
      <c r="D913" s="307" t="s">
        <v>6543</v>
      </c>
      <c r="E913" s="307" t="s">
        <v>3905</v>
      </c>
      <c r="F913" s="307" t="s">
        <v>3906</v>
      </c>
      <c r="G913" s="307" t="s">
        <v>3907</v>
      </c>
    </row>
    <row r="914" spans="1:7" ht="13.5">
      <c r="A914" s="307" t="s">
        <v>6544</v>
      </c>
      <c r="B914" s="307" t="s">
        <v>6545</v>
      </c>
      <c r="C914" s="307" t="s">
        <v>5814</v>
      </c>
      <c r="D914" s="307" t="s">
        <v>6546</v>
      </c>
      <c r="E914" s="307" t="s">
        <v>4021</v>
      </c>
      <c r="F914" s="307" t="s">
        <v>3906</v>
      </c>
      <c r="G914" s="307" t="s">
        <v>3907</v>
      </c>
    </row>
    <row r="915" spans="1:7" ht="13.5">
      <c r="A915" s="307" t="s">
        <v>6547</v>
      </c>
      <c r="B915" s="307" t="s">
        <v>6548</v>
      </c>
      <c r="C915" s="307" t="s">
        <v>5814</v>
      </c>
      <c r="D915" s="307" t="s">
        <v>6549</v>
      </c>
      <c r="E915" s="307" t="s">
        <v>3905</v>
      </c>
      <c r="F915" s="307" t="s">
        <v>3906</v>
      </c>
      <c r="G915" s="307" t="s">
        <v>3907</v>
      </c>
    </row>
    <row r="916" spans="1:7" ht="13.5">
      <c r="A916" s="307" t="s">
        <v>6550</v>
      </c>
      <c r="B916" s="307" t="s">
        <v>6551</v>
      </c>
      <c r="C916" s="307" t="s">
        <v>5814</v>
      </c>
      <c r="D916" s="307" t="s">
        <v>6552</v>
      </c>
      <c r="E916" s="307" t="s">
        <v>3905</v>
      </c>
      <c r="F916" s="307" t="s">
        <v>3906</v>
      </c>
      <c r="G916" s="307" t="s">
        <v>3907</v>
      </c>
    </row>
    <row r="917" spans="1:7" ht="13.5">
      <c r="A917" s="307" t="s">
        <v>6553</v>
      </c>
      <c r="B917" s="307" t="s">
        <v>6554</v>
      </c>
      <c r="C917" s="307" t="s">
        <v>5814</v>
      </c>
      <c r="D917" s="307" t="s">
        <v>6555</v>
      </c>
      <c r="E917" s="307" t="s">
        <v>3905</v>
      </c>
      <c r="F917" s="307" t="s">
        <v>3906</v>
      </c>
      <c r="G917" s="307" t="s">
        <v>3907</v>
      </c>
    </row>
    <row r="918" spans="1:7" ht="13.5">
      <c r="A918" s="307" t="s">
        <v>6556</v>
      </c>
      <c r="B918" s="307" t="s">
        <v>6557</v>
      </c>
      <c r="C918" s="307" t="s">
        <v>5814</v>
      </c>
      <c r="D918" s="307" t="s">
        <v>6558</v>
      </c>
      <c r="E918" s="307" t="s">
        <v>3905</v>
      </c>
      <c r="F918" s="307" t="s">
        <v>3906</v>
      </c>
      <c r="G918" s="307" t="s">
        <v>3907</v>
      </c>
    </row>
    <row r="919" spans="1:7" ht="13.5">
      <c r="A919" s="307" t="s">
        <v>6559</v>
      </c>
      <c r="B919" s="307" t="s">
        <v>6560</v>
      </c>
      <c r="C919" s="307" t="s">
        <v>5814</v>
      </c>
      <c r="D919" s="307" t="s">
        <v>6561</v>
      </c>
      <c r="E919" s="307" t="s">
        <v>3905</v>
      </c>
      <c r="F919" s="307" t="s">
        <v>3906</v>
      </c>
      <c r="G919" s="307" t="s">
        <v>3907</v>
      </c>
    </row>
    <row r="920" spans="1:7" ht="13.5">
      <c r="A920" s="307" t="s">
        <v>6562</v>
      </c>
      <c r="B920" s="307" t="s">
        <v>6563</v>
      </c>
      <c r="C920" s="307" t="s">
        <v>5814</v>
      </c>
      <c r="D920" s="307" t="s">
        <v>6564</v>
      </c>
      <c r="E920" s="307" t="s">
        <v>3905</v>
      </c>
      <c r="F920" s="307" t="s">
        <v>3906</v>
      </c>
      <c r="G920" s="307" t="s">
        <v>3907</v>
      </c>
    </row>
    <row r="921" spans="1:7" ht="13.5">
      <c r="A921" s="307" t="s">
        <v>6565</v>
      </c>
      <c r="B921" s="307" t="s">
        <v>6566</v>
      </c>
      <c r="C921" s="307" t="s">
        <v>5814</v>
      </c>
      <c r="D921" s="307" t="s">
        <v>6567</v>
      </c>
      <c r="E921" s="307" t="s">
        <v>3905</v>
      </c>
      <c r="F921" s="307" t="s">
        <v>3906</v>
      </c>
      <c r="G921" s="307" t="s">
        <v>3907</v>
      </c>
    </row>
    <row r="922" spans="1:7" ht="13.5">
      <c r="A922" s="307" t="s">
        <v>6568</v>
      </c>
      <c r="B922" s="307" t="s">
        <v>6569</v>
      </c>
      <c r="C922" s="307" t="s">
        <v>5814</v>
      </c>
      <c r="D922" s="307" t="s">
        <v>6570</v>
      </c>
      <c r="E922" s="307" t="s">
        <v>3905</v>
      </c>
      <c r="F922" s="307" t="s">
        <v>3906</v>
      </c>
      <c r="G922" s="307" t="s">
        <v>3907</v>
      </c>
    </row>
    <row r="923" spans="1:7" ht="13.5">
      <c r="A923" s="307" t="s">
        <v>6571</v>
      </c>
      <c r="B923" s="307" t="s">
        <v>6572</v>
      </c>
      <c r="C923" s="307" t="s">
        <v>5814</v>
      </c>
      <c r="D923" s="307" t="s">
        <v>6573</v>
      </c>
      <c r="E923" s="307" t="s">
        <v>3905</v>
      </c>
      <c r="F923" s="307" t="s">
        <v>3906</v>
      </c>
      <c r="G923" s="307" t="s">
        <v>3907</v>
      </c>
    </row>
    <row r="924" spans="1:7" ht="13.5">
      <c r="A924" s="307" t="s">
        <v>6574</v>
      </c>
      <c r="B924" s="307" t="s">
        <v>6575</v>
      </c>
      <c r="C924" s="307" t="s">
        <v>5814</v>
      </c>
      <c r="D924" s="307" t="s">
        <v>6576</v>
      </c>
      <c r="E924" s="307" t="s">
        <v>3905</v>
      </c>
      <c r="F924" s="307" t="s">
        <v>3906</v>
      </c>
      <c r="G924" s="307" t="s">
        <v>3907</v>
      </c>
    </row>
    <row r="925" spans="1:7" ht="13.5">
      <c r="A925" s="307" t="s">
        <v>6577</v>
      </c>
      <c r="B925" s="307" t="s">
        <v>6578</v>
      </c>
      <c r="C925" s="307" t="s">
        <v>5814</v>
      </c>
      <c r="D925" s="307" t="s">
        <v>6579</v>
      </c>
      <c r="E925" s="307" t="s">
        <v>3905</v>
      </c>
      <c r="F925" s="307" t="s">
        <v>3906</v>
      </c>
      <c r="G925" s="307" t="s">
        <v>3907</v>
      </c>
    </row>
    <row r="926" spans="1:7" ht="13.5">
      <c r="A926" s="307" t="s">
        <v>6580</v>
      </c>
      <c r="B926" s="307" t="s">
        <v>6581</v>
      </c>
      <c r="C926" s="307" t="s">
        <v>5814</v>
      </c>
      <c r="D926" s="307" t="s">
        <v>6582</v>
      </c>
      <c r="E926" s="307" t="s">
        <v>3905</v>
      </c>
      <c r="F926" s="307" t="s">
        <v>3906</v>
      </c>
      <c r="G926" s="307" t="s">
        <v>3907</v>
      </c>
    </row>
    <row r="927" spans="1:7" ht="13.5">
      <c r="A927" s="307" t="s">
        <v>6583</v>
      </c>
      <c r="B927" s="307" t="s">
        <v>6584</v>
      </c>
      <c r="C927" s="307" t="s">
        <v>5814</v>
      </c>
      <c r="D927" s="307" t="s">
        <v>6585</v>
      </c>
      <c r="E927" s="307" t="s">
        <v>3905</v>
      </c>
      <c r="F927" s="307" t="s">
        <v>3906</v>
      </c>
      <c r="G927" s="307" t="s">
        <v>3907</v>
      </c>
    </row>
    <row r="928" spans="1:7" ht="13.5">
      <c r="A928" s="307" t="s">
        <v>6586</v>
      </c>
      <c r="B928" s="307" t="s">
        <v>6587</v>
      </c>
      <c r="C928" s="307" t="s">
        <v>5814</v>
      </c>
      <c r="D928" s="307" t="s">
        <v>6588</v>
      </c>
      <c r="E928" s="307" t="s">
        <v>4021</v>
      </c>
      <c r="F928" s="307" t="s">
        <v>3906</v>
      </c>
      <c r="G928" s="307" t="s">
        <v>3907</v>
      </c>
    </row>
    <row r="929" spans="1:7" ht="13.5">
      <c r="A929" s="307" t="s">
        <v>6589</v>
      </c>
      <c r="B929" s="307" t="s">
        <v>6590</v>
      </c>
      <c r="C929" s="307" t="s">
        <v>5814</v>
      </c>
      <c r="D929" s="307" t="s">
        <v>6591</v>
      </c>
      <c r="E929" s="307" t="s">
        <v>3905</v>
      </c>
      <c r="F929" s="307" t="s">
        <v>3906</v>
      </c>
      <c r="G929" s="307" t="s">
        <v>3907</v>
      </c>
    </row>
    <row r="930" spans="1:7" ht="13.5">
      <c r="A930" s="307" t="s">
        <v>6592</v>
      </c>
      <c r="B930" s="307" t="s">
        <v>6593</v>
      </c>
      <c r="C930" s="307" t="s">
        <v>5814</v>
      </c>
      <c r="D930" s="307" t="s">
        <v>6594</v>
      </c>
      <c r="E930" s="307" t="s">
        <v>3905</v>
      </c>
      <c r="F930" s="307" t="s">
        <v>3906</v>
      </c>
      <c r="G930" s="307" t="s">
        <v>3907</v>
      </c>
    </row>
    <row r="931" spans="1:7" ht="13.5">
      <c r="A931" s="307" t="s">
        <v>6595</v>
      </c>
      <c r="B931" s="307" t="s">
        <v>6596</v>
      </c>
      <c r="C931" s="307" t="s">
        <v>5814</v>
      </c>
      <c r="D931" s="307" t="s">
        <v>6597</v>
      </c>
      <c r="E931" s="307" t="s">
        <v>3905</v>
      </c>
      <c r="F931" s="307" t="s">
        <v>3906</v>
      </c>
      <c r="G931" s="307" t="s">
        <v>3907</v>
      </c>
    </row>
    <row r="932" spans="1:7" ht="13.5">
      <c r="A932" s="307" t="s">
        <v>6598</v>
      </c>
      <c r="B932" s="307" t="s">
        <v>6599</v>
      </c>
      <c r="C932" s="307" t="s">
        <v>5814</v>
      </c>
      <c r="D932" s="307" t="s">
        <v>6600</v>
      </c>
      <c r="E932" s="307" t="s">
        <v>3905</v>
      </c>
      <c r="F932" s="307" t="s">
        <v>3906</v>
      </c>
      <c r="G932" s="307" t="s">
        <v>3907</v>
      </c>
    </row>
    <row r="933" spans="1:7" ht="13.5">
      <c r="A933" s="307" t="s">
        <v>6601</v>
      </c>
      <c r="B933" s="307" t="s">
        <v>6602</v>
      </c>
      <c r="C933" s="307" t="s">
        <v>5814</v>
      </c>
      <c r="D933" s="307" t="s">
        <v>6603</v>
      </c>
      <c r="E933" s="307" t="s">
        <v>3905</v>
      </c>
      <c r="F933" s="307" t="s">
        <v>3906</v>
      </c>
      <c r="G933" s="307" t="s">
        <v>3907</v>
      </c>
    </row>
    <row r="934" spans="1:7" ht="13.5">
      <c r="A934" s="307" t="s">
        <v>6604</v>
      </c>
      <c r="B934" s="307" t="s">
        <v>6605</v>
      </c>
      <c r="C934" s="307" t="s">
        <v>5814</v>
      </c>
      <c r="D934" s="307" t="s">
        <v>6606</v>
      </c>
      <c r="E934" s="307" t="s">
        <v>3905</v>
      </c>
      <c r="F934" s="307" t="s">
        <v>3906</v>
      </c>
      <c r="G934" s="307" t="s">
        <v>3907</v>
      </c>
    </row>
    <row r="935" spans="1:7" ht="13.5">
      <c r="A935" s="307" t="s">
        <v>6607</v>
      </c>
      <c r="B935" s="307" t="s">
        <v>6608</v>
      </c>
      <c r="C935" s="307" t="s">
        <v>5814</v>
      </c>
      <c r="D935" s="307" t="s">
        <v>6609</v>
      </c>
      <c r="E935" s="307" t="s">
        <v>4021</v>
      </c>
      <c r="F935" s="307" t="s">
        <v>3906</v>
      </c>
      <c r="G935" s="307" t="s">
        <v>3907</v>
      </c>
    </row>
    <row r="936" spans="1:7" ht="13.5">
      <c r="A936" s="307" t="s">
        <v>6610</v>
      </c>
      <c r="B936" s="307" t="s">
        <v>6611</v>
      </c>
      <c r="C936" s="307" t="s">
        <v>5814</v>
      </c>
      <c r="D936" s="307" t="s">
        <v>6612</v>
      </c>
      <c r="E936" s="307" t="s">
        <v>3905</v>
      </c>
      <c r="F936" s="307" t="s">
        <v>3906</v>
      </c>
      <c r="G936" s="307" t="s">
        <v>3907</v>
      </c>
    </row>
    <row r="937" spans="1:7" ht="13.5">
      <c r="A937" s="307" t="s">
        <v>6613</v>
      </c>
      <c r="B937" s="307" t="s">
        <v>6614</v>
      </c>
      <c r="C937" s="307" t="s">
        <v>5814</v>
      </c>
      <c r="D937" s="307" t="s">
        <v>6615</v>
      </c>
      <c r="E937" s="307" t="s">
        <v>3905</v>
      </c>
      <c r="F937" s="307" t="s">
        <v>3906</v>
      </c>
      <c r="G937" s="307" t="s">
        <v>3907</v>
      </c>
    </row>
    <row r="938" spans="1:7" ht="13.5">
      <c r="A938" s="307" t="s">
        <v>6616</v>
      </c>
      <c r="B938" s="307" t="s">
        <v>6617</v>
      </c>
      <c r="C938" s="307" t="s">
        <v>5814</v>
      </c>
      <c r="D938" s="307" t="s">
        <v>6618</v>
      </c>
      <c r="E938" s="307" t="s">
        <v>3905</v>
      </c>
      <c r="F938" s="307" t="s">
        <v>3906</v>
      </c>
      <c r="G938" s="307" t="s">
        <v>3907</v>
      </c>
    </row>
    <row r="939" spans="1:7" ht="13.5">
      <c r="A939" s="307" t="s">
        <v>6619</v>
      </c>
      <c r="B939" s="307" t="s">
        <v>819</v>
      </c>
      <c r="C939" s="307" t="s">
        <v>5814</v>
      </c>
      <c r="D939" s="307" t="s">
        <v>6620</v>
      </c>
      <c r="E939" s="307" t="s">
        <v>3905</v>
      </c>
      <c r="F939" s="307" t="s">
        <v>3906</v>
      </c>
      <c r="G939" s="307" t="s">
        <v>3907</v>
      </c>
    </row>
    <row r="940" spans="1:7" ht="13.5">
      <c r="A940" s="307" t="s">
        <v>6621</v>
      </c>
      <c r="B940" s="307" t="s">
        <v>6622</v>
      </c>
      <c r="C940" s="307" t="s">
        <v>5814</v>
      </c>
      <c r="D940" s="307" t="s">
        <v>6623</v>
      </c>
      <c r="E940" s="307" t="s">
        <v>4021</v>
      </c>
      <c r="F940" s="307" t="s">
        <v>3906</v>
      </c>
      <c r="G940" s="307" t="s">
        <v>3907</v>
      </c>
    </row>
    <row r="941" spans="1:7" ht="13.5">
      <c r="A941" s="307" t="s">
        <v>6624</v>
      </c>
      <c r="B941" s="307" t="s">
        <v>6625</v>
      </c>
      <c r="C941" s="307" t="s">
        <v>5814</v>
      </c>
      <c r="D941" s="307" t="s">
        <v>6626</v>
      </c>
      <c r="E941" s="307" t="s">
        <v>3905</v>
      </c>
      <c r="F941" s="307" t="s">
        <v>3906</v>
      </c>
      <c r="G941" s="307" t="s">
        <v>3907</v>
      </c>
    </row>
    <row r="942" spans="1:7" ht="13.5">
      <c r="A942" s="307" t="s">
        <v>6627</v>
      </c>
      <c r="B942" s="307" t="s">
        <v>6628</v>
      </c>
      <c r="C942" s="307" t="s">
        <v>5814</v>
      </c>
      <c r="D942" s="307" t="s">
        <v>6629</v>
      </c>
      <c r="E942" s="307" t="s">
        <v>3905</v>
      </c>
      <c r="F942" s="307" t="s">
        <v>3906</v>
      </c>
      <c r="G942" s="307" t="s">
        <v>3907</v>
      </c>
    </row>
    <row r="943" spans="1:7" ht="13.5">
      <c r="A943" s="307" t="s">
        <v>6630</v>
      </c>
      <c r="B943" s="307" t="s">
        <v>6631</v>
      </c>
      <c r="C943" s="307" t="s">
        <v>5814</v>
      </c>
      <c r="D943" s="307" t="s">
        <v>6632</v>
      </c>
      <c r="E943" s="307" t="s">
        <v>3905</v>
      </c>
      <c r="F943" s="307" t="s">
        <v>3906</v>
      </c>
      <c r="G943" s="307" t="s">
        <v>3907</v>
      </c>
    </row>
    <row r="944" spans="1:7" ht="13.5">
      <c r="A944" s="307" t="s">
        <v>6633</v>
      </c>
      <c r="B944" s="307" t="s">
        <v>6634</v>
      </c>
      <c r="C944" s="307" t="s">
        <v>5814</v>
      </c>
      <c r="D944" s="307" t="s">
        <v>6635</v>
      </c>
      <c r="E944" s="307" t="s">
        <v>3905</v>
      </c>
      <c r="F944" s="307" t="s">
        <v>3906</v>
      </c>
      <c r="G944" s="307" t="s">
        <v>3907</v>
      </c>
    </row>
    <row r="945" spans="1:7" ht="13.5">
      <c r="A945" s="307" t="s">
        <v>6636</v>
      </c>
      <c r="B945" s="307" t="s">
        <v>6637</v>
      </c>
      <c r="C945" s="307" t="s">
        <v>5814</v>
      </c>
      <c r="D945" s="307" t="s">
        <v>6638</v>
      </c>
      <c r="E945" s="307" t="s">
        <v>3905</v>
      </c>
      <c r="F945" s="307" t="s">
        <v>3906</v>
      </c>
      <c r="G945" s="307" t="s">
        <v>3907</v>
      </c>
    </row>
    <row r="946" spans="1:7" ht="13.5">
      <c r="A946" s="307" t="s">
        <v>6639</v>
      </c>
      <c r="B946" s="307" t="s">
        <v>6640</v>
      </c>
      <c r="C946" s="307" t="s">
        <v>5814</v>
      </c>
      <c r="D946" s="307" t="s">
        <v>6641</v>
      </c>
      <c r="E946" s="307" t="s">
        <v>3905</v>
      </c>
      <c r="F946" s="307" t="s">
        <v>3906</v>
      </c>
      <c r="G946" s="307" t="s">
        <v>3907</v>
      </c>
    </row>
    <row r="947" spans="1:7" ht="13.5">
      <c r="A947" s="307" t="s">
        <v>6642</v>
      </c>
      <c r="B947" s="307" t="s">
        <v>6643</v>
      </c>
      <c r="C947" s="307" t="s">
        <v>5814</v>
      </c>
      <c r="D947" s="307" t="s">
        <v>6644</v>
      </c>
      <c r="E947" s="307" t="s">
        <v>3905</v>
      </c>
      <c r="F947" s="307" t="s">
        <v>3906</v>
      </c>
      <c r="G947" s="307" t="s">
        <v>3907</v>
      </c>
    </row>
    <row r="948" spans="1:7" ht="13.5">
      <c r="A948" s="307" t="s">
        <v>6645</v>
      </c>
      <c r="B948" s="307" t="s">
        <v>6646</v>
      </c>
      <c r="C948" s="307" t="s">
        <v>5814</v>
      </c>
      <c r="D948" s="307" t="s">
        <v>6647</v>
      </c>
      <c r="E948" s="307" t="s">
        <v>3905</v>
      </c>
      <c r="F948" s="307" t="s">
        <v>3906</v>
      </c>
      <c r="G948" s="307" t="s">
        <v>3907</v>
      </c>
    </row>
    <row r="949" spans="1:7" ht="13.5">
      <c r="A949" s="307" t="s">
        <v>6648</v>
      </c>
      <c r="B949" s="307" t="s">
        <v>6649</v>
      </c>
      <c r="C949" s="307" t="s">
        <v>5814</v>
      </c>
      <c r="D949" s="307" t="s">
        <v>6650</v>
      </c>
      <c r="E949" s="307" t="s">
        <v>3905</v>
      </c>
      <c r="F949" s="307" t="s">
        <v>3906</v>
      </c>
      <c r="G949" s="307" t="s">
        <v>3907</v>
      </c>
    </row>
    <row r="950" spans="1:7" ht="13.5">
      <c r="A950" s="307" t="s">
        <v>6651</v>
      </c>
      <c r="B950" s="307" t="s">
        <v>6652</v>
      </c>
      <c r="C950" s="307" t="s">
        <v>5814</v>
      </c>
      <c r="D950" s="307" t="s">
        <v>6653</v>
      </c>
      <c r="E950" s="307" t="s">
        <v>3905</v>
      </c>
      <c r="F950" s="307" t="s">
        <v>3906</v>
      </c>
      <c r="G950" s="307" t="s">
        <v>3907</v>
      </c>
    </row>
    <row r="951" spans="1:7" ht="13.5">
      <c r="A951" s="307" t="s">
        <v>6654</v>
      </c>
      <c r="B951" s="307" t="s">
        <v>6655</v>
      </c>
      <c r="C951" s="307" t="s">
        <v>5814</v>
      </c>
      <c r="D951" s="307" t="s">
        <v>6656</v>
      </c>
      <c r="E951" s="307" t="s">
        <v>3905</v>
      </c>
      <c r="F951" s="307" t="s">
        <v>3906</v>
      </c>
      <c r="G951" s="307" t="s">
        <v>3907</v>
      </c>
    </row>
    <row r="952" spans="1:7" ht="13.5">
      <c r="A952" s="307" t="s">
        <v>6657</v>
      </c>
      <c r="B952" s="307" t="s">
        <v>6658</v>
      </c>
      <c r="C952" s="307" t="s">
        <v>5814</v>
      </c>
      <c r="D952" s="307" t="s">
        <v>6659</v>
      </c>
      <c r="E952" s="307" t="s">
        <v>3905</v>
      </c>
      <c r="F952" s="307" t="s">
        <v>3906</v>
      </c>
      <c r="G952" s="307" t="s">
        <v>3907</v>
      </c>
    </row>
    <row r="953" spans="1:7" ht="13.5">
      <c r="A953" s="307" t="s">
        <v>6660</v>
      </c>
      <c r="B953" s="307" t="s">
        <v>6661</v>
      </c>
      <c r="C953" s="307" t="s">
        <v>5814</v>
      </c>
      <c r="D953" s="307" t="s">
        <v>6662</v>
      </c>
      <c r="E953" s="307" t="s">
        <v>3905</v>
      </c>
      <c r="F953" s="307" t="s">
        <v>3906</v>
      </c>
      <c r="G953" s="307" t="s">
        <v>3907</v>
      </c>
    </row>
    <row r="954" spans="1:7" ht="13.5">
      <c r="A954" s="307" t="s">
        <v>6663</v>
      </c>
      <c r="B954" s="307" t="s">
        <v>6664</v>
      </c>
      <c r="C954" s="307" t="s">
        <v>5814</v>
      </c>
      <c r="D954" s="307" t="s">
        <v>6665</v>
      </c>
      <c r="E954" s="307" t="s">
        <v>3905</v>
      </c>
      <c r="F954" s="307" t="s">
        <v>3906</v>
      </c>
      <c r="G954" s="307" t="s">
        <v>3907</v>
      </c>
    </row>
    <row r="955" spans="1:7" ht="13.5">
      <c r="A955" s="307" t="s">
        <v>6666</v>
      </c>
      <c r="B955" s="307" t="s">
        <v>6667</v>
      </c>
      <c r="C955" s="307" t="s">
        <v>5814</v>
      </c>
      <c r="D955" s="307" t="s">
        <v>6668</v>
      </c>
      <c r="E955" s="307" t="s">
        <v>4021</v>
      </c>
      <c r="F955" s="307" t="s">
        <v>3906</v>
      </c>
      <c r="G955" s="307" t="s">
        <v>3907</v>
      </c>
    </row>
    <row r="956" spans="1:7" ht="13.5">
      <c r="A956" s="307" t="s">
        <v>6669</v>
      </c>
      <c r="B956" s="307" t="s">
        <v>6670</v>
      </c>
      <c r="C956" s="307" t="s">
        <v>5814</v>
      </c>
      <c r="D956" s="307" t="s">
        <v>6671</v>
      </c>
      <c r="E956" s="307" t="s">
        <v>3905</v>
      </c>
      <c r="F956" s="307" t="s">
        <v>3906</v>
      </c>
      <c r="G956" s="307" t="s">
        <v>3907</v>
      </c>
    </row>
    <row r="957" spans="1:7" ht="13.5">
      <c r="A957" s="307" t="s">
        <v>6672</v>
      </c>
      <c r="B957" s="307" t="s">
        <v>6673</v>
      </c>
      <c r="C957" s="307" t="s">
        <v>5814</v>
      </c>
      <c r="D957" s="307" t="s">
        <v>6674</v>
      </c>
      <c r="E957" s="307" t="s">
        <v>3905</v>
      </c>
      <c r="F957" s="307" t="s">
        <v>3906</v>
      </c>
      <c r="G957" s="307" t="s">
        <v>3907</v>
      </c>
    </row>
    <row r="958" spans="1:7" ht="13.5">
      <c r="A958" s="307" t="s">
        <v>6675</v>
      </c>
      <c r="B958" s="307" t="s">
        <v>6676</v>
      </c>
      <c r="C958" s="307" t="s">
        <v>5814</v>
      </c>
      <c r="D958" s="307" t="s">
        <v>6677</v>
      </c>
      <c r="E958" s="307" t="s">
        <v>3905</v>
      </c>
      <c r="F958" s="307" t="s">
        <v>3906</v>
      </c>
      <c r="G958" s="307" t="s">
        <v>3907</v>
      </c>
    </row>
    <row r="959" spans="1:7" ht="13.5">
      <c r="A959" s="307" t="s">
        <v>6678</v>
      </c>
      <c r="B959" s="307" t="s">
        <v>6679</v>
      </c>
      <c r="C959" s="307" t="s">
        <v>5814</v>
      </c>
      <c r="D959" s="307" t="s">
        <v>6680</v>
      </c>
      <c r="E959" s="307" t="s">
        <v>3905</v>
      </c>
      <c r="F959" s="307" t="s">
        <v>3906</v>
      </c>
      <c r="G959" s="307" t="s">
        <v>3907</v>
      </c>
    </row>
    <row r="960" spans="1:7" ht="13.5">
      <c r="A960" s="307" t="s">
        <v>6681</v>
      </c>
      <c r="B960" s="307" t="s">
        <v>6682</v>
      </c>
      <c r="C960" s="307" t="s">
        <v>5814</v>
      </c>
      <c r="D960" s="307" t="s">
        <v>6683</v>
      </c>
      <c r="E960" s="307" t="s">
        <v>3905</v>
      </c>
      <c r="F960" s="307" t="s">
        <v>3906</v>
      </c>
      <c r="G960" s="307" t="s">
        <v>3907</v>
      </c>
    </row>
    <row r="961" spans="1:7" ht="13.5">
      <c r="A961" s="307" t="s">
        <v>6684</v>
      </c>
      <c r="B961" s="307" t="s">
        <v>6685</v>
      </c>
      <c r="C961" s="307" t="s">
        <v>5814</v>
      </c>
      <c r="D961" s="307" t="s">
        <v>6686</v>
      </c>
      <c r="E961" s="307" t="s">
        <v>3905</v>
      </c>
      <c r="F961" s="307" t="s">
        <v>3906</v>
      </c>
      <c r="G961" s="307" t="s">
        <v>3907</v>
      </c>
    </row>
    <row r="962" spans="1:7" ht="13.5">
      <c r="A962" s="307" t="s">
        <v>6687</v>
      </c>
      <c r="B962" s="307" t="s">
        <v>6688</v>
      </c>
      <c r="C962" s="307" t="s">
        <v>5814</v>
      </c>
      <c r="D962" s="307" t="s">
        <v>6689</v>
      </c>
      <c r="E962" s="307" t="s">
        <v>3905</v>
      </c>
      <c r="F962" s="307" t="s">
        <v>3906</v>
      </c>
      <c r="G962" s="307" t="s">
        <v>3907</v>
      </c>
    </row>
    <row r="963" spans="1:7" ht="13.5">
      <c r="A963" s="307" t="s">
        <v>6690</v>
      </c>
      <c r="B963" s="307" t="s">
        <v>6691</v>
      </c>
      <c r="C963" s="307" t="s">
        <v>5814</v>
      </c>
      <c r="D963" s="307" t="s">
        <v>6692</v>
      </c>
      <c r="E963" s="307" t="s">
        <v>3905</v>
      </c>
      <c r="F963" s="307" t="s">
        <v>3906</v>
      </c>
      <c r="G963" s="307" t="s">
        <v>3907</v>
      </c>
    </row>
    <row r="964" spans="1:7" ht="13.5">
      <c r="A964" s="307" t="s">
        <v>6693</v>
      </c>
      <c r="B964" s="307" t="s">
        <v>6694</v>
      </c>
      <c r="C964" s="307" t="s">
        <v>5814</v>
      </c>
      <c r="D964" s="307" t="s">
        <v>6695</v>
      </c>
      <c r="E964" s="307" t="s">
        <v>3905</v>
      </c>
      <c r="F964" s="307" t="s">
        <v>3906</v>
      </c>
      <c r="G964" s="307" t="s">
        <v>3907</v>
      </c>
    </row>
    <row r="965" spans="1:7" ht="13.5">
      <c r="A965" s="307" t="s">
        <v>6696</v>
      </c>
      <c r="B965" s="307" t="s">
        <v>6697</v>
      </c>
      <c r="C965" s="307" t="s">
        <v>5814</v>
      </c>
      <c r="D965" s="307" t="s">
        <v>6698</v>
      </c>
      <c r="E965" s="307" t="s">
        <v>3905</v>
      </c>
      <c r="F965" s="307" t="s">
        <v>3906</v>
      </c>
      <c r="G965" s="307" t="s">
        <v>3907</v>
      </c>
    </row>
    <row r="966" spans="1:7" ht="13.5">
      <c r="A966" s="307" t="s">
        <v>6699</v>
      </c>
      <c r="B966" s="307" t="s">
        <v>6700</v>
      </c>
      <c r="C966" s="307" t="s">
        <v>5814</v>
      </c>
      <c r="D966" s="307" t="s">
        <v>6701</v>
      </c>
      <c r="E966" s="307" t="s">
        <v>3905</v>
      </c>
      <c r="F966" s="307" t="s">
        <v>3906</v>
      </c>
      <c r="G966" s="307" t="s">
        <v>3907</v>
      </c>
    </row>
    <row r="967" spans="1:7" ht="13.5">
      <c r="A967" s="307" t="s">
        <v>6702</v>
      </c>
      <c r="B967" s="307" t="s">
        <v>6703</v>
      </c>
      <c r="C967" s="307" t="s">
        <v>5814</v>
      </c>
      <c r="D967" s="307" t="s">
        <v>6704</v>
      </c>
      <c r="E967" s="307" t="s">
        <v>3905</v>
      </c>
      <c r="F967" s="307" t="s">
        <v>3906</v>
      </c>
      <c r="G967" s="307" t="s">
        <v>3907</v>
      </c>
    </row>
    <row r="968" spans="1:7" ht="13.5">
      <c r="A968" s="307" t="s">
        <v>6705</v>
      </c>
      <c r="B968" s="307" t="s">
        <v>6706</v>
      </c>
      <c r="C968" s="307" t="s">
        <v>5814</v>
      </c>
      <c r="D968" s="307" t="s">
        <v>6707</v>
      </c>
      <c r="E968" s="307" t="s">
        <v>3905</v>
      </c>
      <c r="F968" s="307" t="s">
        <v>3906</v>
      </c>
      <c r="G968" s="307" t="s">
        <v>3907</v>
      </c>
    </row>
    <row r="969" spans="1:7" ht="13.5">
      <c r="A969" s="307" t="s">
        <v>6708</v>
      </c>
      <c r="B969" s="307" t="s">
        <v>6709</v>
      </c>
      <c r="C969" s="307" t="s">
        <v>5814</v>
      </c>
      <c r="D969" s="307" t="s">
        <v>6710</v>
      </c>
      <c r="E969" s="307" t="s">
        <v>3905</v>
      </c>
      <c r="F969" s="307" t="s">
        <v>3906</v>
      </c>
      <c r="G969" s="307" t="s">
        <v>3907</v>
      </c>
    </row>
    <row r="970" spans="1:7" ht="13.5">
      <c r="A970" s="307" t="s">
        <v>6711</v>
      </c>
      <c r="B970" s="307" t="s">
        <v>6712</v>
      </c>
      <c r="C970" s="307" t="s">
        <v>5814</v>
      </c>
      <c r="D970" s="307" t="s">
        <v>6713</v>
      </c>
      <c r="E970" s="307" t="s">
        <v>3905</v>
      </c>
      <c r="F970" s="307" t="s">
        <v>3906</v>
      </c>
      <c r="G970" s="307" t="s">
        <v>3907</v>
      </c>
    </row>
    <row r="971" spans="1:7" ht="13.5">
      <c r="A971" s="307" t="s">
        <v>6714</v>
      </c>
      <c r="B971" s="307" t="s">
        <v>6715</v>
      </c>
      <c r="C971" s="307" t="s">
        <v>5814</v>
      </c>
      <c r="D971" s="307" t="s">
        <v>6716</v>
      </c>
      <c r="E971" s="307" t="s">
        <v>3905</v>
      </c>
      <c r="F971" s="307" t="s">
        <v>3906</v>
      </c>
      <c r="G971" s="307" t="s">
        <v>3907</v>
      </c>
    </row>
    <row r="972" spans="1:7" ht="13.5">
      <c r="A972" s="307" t="s">
        <v>6717</v>
      </c>
      <c r="B972" s="307" t="s">
        <v>6718</v>
      </c>
      <c r="C972" s="307" t="s">
        <v>5814</v>
      </c>
      <c r="D972" s="307" t="s">
        <v>6719</v>
      </c>
      <c r="E972" s="307" t="s">
        <v>3905</v>
      </c>
      <c r="F972" s="307" t="s">
        <v>3906</v>
      </c>
      <c r="G972" s="307" t="s">
        <v>3907</v>
      </c>
    </row>
    <row r="973" spans="1:7" ht="13.5">
      <c r="A973" s="307" t="s">
        <v>6720</v>
      </c>
      <c r="B973" s="307" t="s">
        <v>6721</v>
      </c>
      <c r="C973" s="307" t="s">
        <v>5814</v>
      </c>
      <c r="D973" s="307" t="s">
        <v>6722</v>
      </c>
      <c r="E973" s="307" t="s">
        <v>3905</v>
      </c>
      <c r="F973" s="307" t="s">
        <v>3906</v>
      </c>
      <c r="G973" s="307" t="s">
        <v>3907</v>
      </c>
    </row>
    <row r="974" spans="1:7" ht="13.5">
      <c r="A974" s="307" t="s">
        <v>6723</v>
      </c>
      <c r="B974" s="307" t="s">
        <v>6724</v>
      </c>
      <c r="C974" s="307" t="s">
        <v>5814</v>
      </c>
      <c r="D974" s="307" t="s">
        <v>6725</v>
      </c>
      <c r="E974" s="307" t="s">
        <v>3905</v>
      </c>
      <c r="F974" s="307" t="s">
        <v>3906</v>
      </c>
      <c r="G974" s="307" t="s">
        <v>3907</v>
      </c>
    </row>
    <row r="975" spans="1:7" ht="13.5">
      <c r="A975" s="307" t="s">
        <v>6726</v>
      </c>
      <c r="B975" s="307" t="s">
        <v>6727</v>
      </c>
      <c r="C975" s="307" t="s">
        <v>5814</v>
      </c>
      <c r="D975" s="307" t="s">
        <v>6728</v>
      </c>
      <c r="E975" s="307" t="s">
        <v>3905</v>
      </c>
      <c r="F975" s="307" t="s">
        <v>3906</v>
      </c>
      <c r="G975" s="307" t="s">
        <v>3907</v>
      </c>
    </row>
    <row r="976" spans="1:7" ht="13.5">
      <c r="A976" s="307" t="s">
        <v>6729</v>
      </c>
      <c r="B976" s="307" t="s">
        <v>6730</v>
      </c>
      <c r="C976" s="307" t="s">
        <v>5814</v>
      </c>
      <c r="D976" s="307" t="s">
        <v>6731</v>
      </c>
      <c r="E976" s="307" t="s">
        <v>3905</v>
      </c>
      <c r="F976" s="307" t="s">
        <v>3906</v>
      </c>
      <c r="G976" s="307" t="s">
        <v>3907</v>
      </c>
    </row>
    <row r="977" spans="1:7" ht="13.5">
      <c r="A977" s="307" t="s">
        <v>6732</v>
      </c>
      <c r="B977" s="307" t="s">
        <v>6733</v>
      </c>
      <c r="C977" s="307" t="s">
        <v>5814</v>
      </c>
      <c r="D977" s="307" t="s">
        <v>6734</v>
      </c>
      <c r="E977" s="307" t="s">
        <v>3905</v>
      </c>
      <c r="F977" s="307" t="s">
        <v>3906</v>
      </c>
      <c r="G977" s="307" t="s">
        <v>3907</v>
      </c>
    </row>
    <row r="978" spans="1:7" ht="13.5">
      <c r="A978" s="307" t="s">
        <v>6735</v>
      </c>
      <c r="B978" s="307" t="s">
        <v>6736</v>
      </c>
      <c r="C978" s="307" t="s">
        <v>5814</v>
      </c>
      <c r="D978" s="307" t="s">
        <v>6737</v>
      </c>
      <c r="E978" s="307" t="s">
        <v>3905</v>
      </c>
      <c r="F978" s="307" t="s">
        <v>3906</v>
      </c>
      <c r="G978" s="307" t="s">
        <v>3907</v>
      </c>
    </row>
    <row r="979" spans="1:7" ht="13.5">
      <c r="A979" s="307" t="s">
        <v>6738</v>
      </c>
      <c r="B979" s="307" t="s">
        <v>6739</v>
      </c>
      <c r="C979" s="307" t="s">
        <v>5814</v>
      </c>
      <c r="D979" s="307" t="s">
        <v>6740</v>
      </c>
      <c r="E979" s="307" t="s">
        <v>3905</v>
      </c>
      <c r="F979" s="307" t="s">
        <v>3906</v>
      </c>
      <c r="G979" s="307" t="s">
        <v>3907</v>
      </c>
    </row>
    <row r="980" spans="1:7" ht="13.5">
      <c r="A980" s="307" t="s">
        <v>6741</v>
      </c>
      <c r="B980" s="307" t="s">
        <v>6742</v>
      </c>
      <c r="C980" s="307" t="s">
        <v>5814</v>
      </c>
      <c r="D980" s="307" t="s">
        <v>6743</v>
      </c>
      <c r="E980" s="307" t="s">
        <v>3905</v>
      </c>
      <c r="F980" s="307" t="s">
        <v>3906</v>
      </c>
      <c r="G980" s="307" t="s">
        <v>3907</v>
      </c>
    </row>
    <row r="981" spans="1:7" ht="13.5">
      <c r="A981" s="307" t="s">
        <v>6744</v>
      </c>
      <c r="B981" s="307" t="s">
        <v>6745</v>
      </c>
      <c r="C981" s="307" t="s">
        <v>5814</v>
      </c>
      <c r="D981" s="307" t="s">
        <v>6746</v>
      </c>
      <c r="E981" s="307" t="s">
        <v>3905</v>
      </c>
      <c r="F981" s="307" t="s">
        <v>3906</v>
      </c>
      <c r="G981" s="307" t="s">
        <v>3907</v>
      </c>
    </row>
    <row r="982" spans="1:7" ht="13.5">
      <c r="A982" s="307" t="s">
        <v>6747</v>
      </c>
      <c r="B982" s="307" t="s">
        <v>6748</v>
      </c>
      <c r="C982" s="307" t="s">
        <v>5814</v>
      </c>
      <c r="D982" s="307" t="s">
        <v>6749</v>
      </c>
      <c r="E982" s="307" t="s">
        <v>3905</v>
      </c>
      <c r="F982" s="307" t="s">
        <v>3906</v>
      </c>
      <c r="G982" s="307" t="s">
        <v>3907</v>
      </c>
    </row>
    <row r="983" spans="1:7" ht="13.5">
      <c r="A983" s="307" t="s">
        <v>6750</v>
      </c>
      <c r="B983" s="307" t="s">
        <v>6751</v>
      </c>
      <c r="C983" s="307" t="s">
        <v>5814</v>
      </c>
      <c r="D983" s="307" t="s">
        <v>6752</v>
      </c>
      <c r="E983" s="307" t="s">
        <v>3905</v>
      </c>
      <c r="F983" s="307" t="s">
        <v>3906</v>
      </c>
      <c r="G983" s="307" t="s">
        <v>3907</v>
      </c>
    </row>
    <row r="984" spans="1:7" ht="13.5">
      <c r="A984" s="307" t="s">
        <v>6753</v>
      </c>
      <c r="B984" s="307" t="s">
        <v>6754</v>
      </c>
      <c r="C984" s="307" t="s">
        <v>5814</v>
      </c>
      <c r="D984" s="307" t="s">
        <v>6755</v>
      </c>
      <c r="E984" s="307" t="s">
        <v>3905</v>
      </c>
      <c r="F984" s="307" t="s">
        <v>3906</v>
      </c>
      <c r="G984" s="307" t="s">
        <v>3907</v>
      </c>
    </row>
    <row r="985" spans="1:7" ht="13.5">
      <c r="A985" s="307" t="s">
        <v>6756</v>
      </c>
      <c r="B985" s="307" t="s">
        <v>6757</v>
      </c>
      <c r="C985" s="307" t="s">
        <v>5814</v>
      </c>
      <c r="D985" s="307" t="s">
        <v>2396</v>
      </c>
      <c r="E985" s="307" t="s">
        <v>3905</v>
      </c>
      <c r="F985" s="307" t="s">
        <v>3906</v>
      </c>
      <c r="G985" s="307" t="s">
        <v>3907</v>
      </c>
    </row>
    <row r="986" spans="1:7" ht="13.5">
      <c r="A986" s="307" t="s">
        <v>6758</v>
      </c>
      <c r="B986" s="307" t="s">
        <v>6759</v>
      </c>
      <c r="C986" s="307" t="s">
        <v>5814</v>
      </c>
      <c r="D986" s="307" t="s">
        <v>6760</v>
      </c>
      <c r="E986" s="307" t="s">
        <v>3905</v>
      </c>
      <c r="F986" s="307" t="s">
        <v>3906</v>
      </c>
      <c r="G986" s="307" t="s">
        <v>3907</v>
      </c>
    </row>
    <row r="987" spans="1:7" ht="13.5">
      <c r="A987" s="307" t="s">
        <v>6761</v>
      </c>
      <c r="B987" s="307" t="s">
        <v>6762</v>
      </c>
      <c r="C987" s="307" t="s">
        <v>5814</v>
      </c>
      <c r="D987" s="307" t="s">
        <v>6763</v>
      </c>
      <c r="E987" s="307" t="s">
        <v>3905</v>
      </c>
      <c r="F987" s="307" t="s">
        <v>3906</v>
      </c>
      <c r="G987" s="307" t="s">
        <v>3907</v>
      </c>
    </row>
    <row r="988" spans="1:7" ht="13.5">
      <c r="A988" s="307" t="s">
        <v>6764</v>
      </c>
      <c r="B988" s="307" t="s">
        <v>6765</v>
      </c>
      <c r="C988" s="307" t="s">
        <v>5814</v>
      </c>
      <c r="D988" s="307" t="s">
        <v>6766</v>
      </c>
      <c r="E988" s="307" t="s">
        <v>3905</v>
      </c>
      <c r="F988" s="307" t="s">
        <v>3906</v>
      </c>
      <c r="G988" s="307" t="s">
        <v>3907</v>
      </c>
    </row>
    <row r="989" spans="1:7" ht="13.5">
      <c r="A989" s="307" t="s">
        <v>6767</v>
      </c>
      <c r="B989" s="307" t="s">
        <v>6768</v>
      </c>
      <c r="C989" s="307" t="s">
        <v>5814</v>
      </c>
      <c r="D989" s="307" t="s">
        <v>6769</v>
      </c>
      <c r="E989" s="307" t="s">
        <v>3905</v>
      </c>
      <c r="F989" s="307" t="s">
        <v>3906</v>
      </c>
      <c r="G989" s="307" t="s">
        <v>3907</v>
      </c>
    </row>
    <row r="990" spans="1:7" ht="13.5">
      <c r="A990" s="307" t="s">
        <v>6770</v>
      </c>
      <c r="B990" s="307" t="s">
        <v>6771</v>
      </c>
      <c r="C990" s="307" t="s">
        <v>5814</v>
      </c>
      <c r="D990" s="307" t="s">
        <v>6772</v>
      </c>
      <c r="E990" s="307" t="s">
        <v>4021</v>
      </c>
      <c r="F990" s="307" t="s">
        <v>3906</v>
      </c>
      <c r="G990" s="307" t="s">
        <v>3907</v>
      </c>
    </row>
    <row r="991" spans="1:7" ht="13.5">
      <c r="A991" s="307" t="s">
        <v>6773</v>
      </c>
      <c r="B991" s="307" t="s">
        <v>6774</v>
      </c>
      <c r="C991" s="307" t="s">
        <v>5814</v>
      </c>
      <c r="D991" s="307" t="s">
        <v>6775</v>
      </c>
      <c r="E991" s="307" t="s">
        <v>3905</v>
      </c>
      <c r="F991" s="307" t="s">
        <v>3906</v>
      </c>
      <c r="G991" s="307" t="s">
        <v>3907</v>
      </c>
    </row>
    <row r="992" spans="1:7" ht="13.5">
      <c r="A992" s="307" t="s">
        <v>6776</v>
      </c>
      <c r="B992" s="307" t="s">
        <v>6777</v>
      </c>
      <c r="C992" s="307" t="s">
        <v>5814</v>
      </c>
      <c r="D992" s="307" t="s">
        <v>6778</v>
      </c>
      <c r="E992" s="307" t="s">
        <v>3905</v>
      </c>
      <c r="F992" s="307" t="s">
        <v>3906</v>
      </c>
      <c r="G992" s="307" t="s">
        <v>3907</v>
      </c>
    </row>
    <row r="993" spans="1:7" ht="13.5">
      <c r="A993" s="307" t="s">
        <v>6779</v>
      </c>
      <c r="B993" s="307" t="s">
        <v>6780</v>
      </c>
      <c r="C993" s="307" t="s">
        <v>5814</v>
      </c>
      <c r="D993" s="307" t="s">
        <v>6781</v>
      </c>
      <c r="E993" s="307" t="s">
        <v>3905</v>
      </c>
      <c r="F993" s="307" t="s">
        <v>3906</v>
      </c>
      <c r="G993" s="307" t="s">
        <v>3907</v>
      </c>
    </row>
    <row r="994" spans="1:7" ht="13.5">
      <c r="A994" s="307" t="s">
        <v>6782</v>
      </c>
      <c r="B994" s="307" t="s">
        <v>6783</v>
      </c>
      <c r="C994" s="307" t="s">
        <v>5814</v>
      </c>
      <c r="D994" s="307" t="s">
        <v>6784</v>
      </c>
      <c r="E994" s="307" t="s">
        <v>3905</v>
      </c>
      <c r="F994" s="307" t="s">
        <v>3906</v>
      </c>
      <c r="G994" s="307" t="s">
        <v>3907</v>
      </c>
    </row>
    <row r="995" spans="1:7" ht="13.5">
      <c r="A995" s="307" t="s">
        <v>6785</v>
      </c>
      <c r="B995" s="307" t="s">
        <v>6786</v>
      </c>
      <c r="C995" s="307" t="s">
        <v>5814</v>
      </c>
      <c r="D995" s="307" t="s">
        <v>6787</v>
      </c>
      <c r="E995" s="307" t="s">
        <v>3905</v>
      </c>
      <c r="F995" s="307" t="s">
        <v>3906</v>
      </c>
      <c r="G995" s="307" t="s">
        <v>3907</v>
      </c>
    </row>
    <row r="996" spans="1:7" ht="13.5">
      <c r="A996" s="307" t="s">
        <v>6788</v>
      </c>
      <c r="B996" s="307" t="s">
        <v>6789</v>
      </c>
      <c r="C996" s="307" t="s">
        <v>5814</v>
      </c>
      <c r="D996" s="307" t="s">
        <v>6790</v>
      </c>
      <c r="E996" s="307" t="s">
        <v>3905</v>
      </c>
      <c r="F996" s="307" t="s">
        <v>3906</v>
      </c>
      <c r="G996" s="307" t="s">
        <v>3907</v>
      </c>
    </row>
    <row r="997" spans="1:7" ht="13.5">
      <c r="A997" s="307" t="s">
        <v>6791</v>
      </c>
      <c r="B997" s="307" t="s">
        <v>6792</v>
      </c>
      <c r="C997" s="307" t="s">
        <v>5814</v>
      </c>
      <c r="D997" s="307" t="s">
        <v>6793</v>
      </c>
      <c r="E997" s="307" t="s">
        <v>4021</v>
      </c>
      <c r="F997" s="307" t="s">
        <v>3906</v>
      </c>
      <c r="G997" s="307" t="s">
        <v>3907</v>
      </c>
    </row>
    <row r="998" spans="1:7" ht="13.5">
      <c r="A998" s="307" t="s">
        <v>6794</v>
      </c>
      <c r="B998" s="307" t="s">
        <v>6795</v>
      </c>
      <c r="C998" s="307" t="s">
        <v>5814</v>
      </c>
      <c r="D998" s="307" t="s">
        <v>6796</v>
      </c>
      <c r="E998" s="307" t="s">
        <v>3905</v>
      </c>
      <c r="F998" s="307" t="s">
        <v>3906</v>
      </c>
      <c r="G998" s="307" t="s">
        <v>3907</v>
      </c>
    </row>
    <row r="999" spans="1:7" ht="13.5">
      <c r="A999" s="307" t="s">
        <v>6797</v>
      </c>
      <c r="B999" s="307" t="s">
        <v>6798</v>
      </c>
      <c r="C999" s="307" t="s">
        <v>5814</v>
      </c>
      <c r="D999" s="307" t="s">
        <v>6799</v>
      </c>
      <c r="E999" s="307" t="s">
        <v>3905</v>
      </c>
      <c r="F999" s="307" t="s">
        <v>3906</v>
      </c>
      <c r="G999" s="307" t="s">
        <v>3907</v>
      </c>
    </row>
    <row r="1000" spans="1:7" ht="13.5">
      <c r="A1000" s="307" t="s">
        <v>6800</v>
      </c>
      <c r="B1000" s="307" t="s">
        <v>6801</v>
      </c>
      <c r="C1000" s="307" t="s">
        <v>5814</v>
      </c>
      <c r="D1000" s="307" t="s">
        <v>6802</v>
      </c>
      <c r="E1000" s="307" t="s">
        <v>3905</v>
      </c>
      <c r="F1000" s="307" t="s">
        <v>3906</v>
      </c>
      <c r="G1000" s="307" t="s">
        <v>3907</v>
      </c>
    </row>
    <row r="1001" spans="1:7" ht="13.5">
      <c r="A1001" s="307" t="s">
        <v>6803</v>
      </c>
      <c r="B1001" s="307" t="s">
        <v>6804</v>
      </c>
      <c r="C1001" s="307" t="s">
        <v>5814</v>
      </c>
      <c r="D1001" s="307" t="s">
        <v>6805</v>
      </c>
      <c r="E1001" s="307" t="s">
        <v>3905</v>
      </c>
      <c r="F1001" s="307" t="s">
        <v>3906</v>
      </c>
      <c r="G1001" s="307" t="s">
        <v>3907</v>
      </c>
    </row>
    <row r="1002" spans="1:7" ht="13.5">
      <c r="A1002" s="307" t="s">
        <v>6806</v>
      </c>
      <c r="B1002" s="307" t="s">
        <v>6807</v>
      </c>
      <c r="C1002" s="307" t="s">
        <v>5814</v>
      </c>
      <c r="D1002" s="307" t="s">
        <v>6808</v>
      </c>
      <c r="E1002" s="307" t="s">
        <v>3905</v>
      </c>
      <c r="F1002" s="307" t="s">
        <v>3906</v>
      </c>
      <c r="G1002" s="307" t="s">
        <v>3907</v>
      </c>
    </row>
    <row r="1003" spans="1:7" ht="13.5">
      <c r="A1003" s="307" t="s">
        <v>6809</v>
      </c>
      <c r="B1003" s="307" t="s">
        <v>6810</v>
      </c>
      <c r="C1003" s="307" t="s">
        <v>5814</v>
      </c>
      <c r="D1003" s="307" t="s">
        <v>6811</v>
      </c>
      <c r="E1003" s="307" t="s">
        <v>3905</v>
      </c>
      <c r="F1003" s="307" t="s">
        <v>3906</v>
      </c>
      <c r="G1003" s="307" t="s">
        <v>3907</v>
      </c>
    </row>
    <row r="1004" spans="1:7" ht="13.5">
      <c r="A1004" s="307" t="s">
        <v>6812</v>
      </c>
      <c r="B1004" s="307" t="s">
        <v>6813</v>
      </c>
      <c r="C1004" s="307" t="s">
        <v>5814</v>
      </c>
      <c r="D1004" s="307" t="s">
        <v>6814</v>
      </c>
      <c r="E1004" s="307" t="s">
        <v>3905</v>
      </c>
      <c r="F1004" s="307" t="s">
        <v>3906</v>
      </c>
      <c r="G1004" s="307" t="s">
        <v>3907</v>
      </c>
    </row>
    <row r="1005" spans="1:7" ht="13.5">
      <c r="A1005" s="307" t="s">
        <v>6815</v>
      </c>
      <c r="B1005" s="307" t="s">
        <v>6816</v>
      </c>
      <c r="C1005" s="307" t="s">
        <v>5814</v>
      </c>
      <c r="D1005" s="307" t="s">
        <v>6817</v>
      </c>
      <c r="E1005" s="307" t="s">
        <v>3905</v>
      </c>
      <c r="F1005" s="307" t="s">
        <v>3906</v>
      </c>
      <c r="G1005" s="307" t="s">
        <v>3907</v>
      </c>
    </row>
    <row r="1006" spans="1:7" ht="13.5">
      <c r="A1006" s="307" t="s">
        <v>6818</v>
      </c>
      <c r="B1006" s="307" t="s">
        <v>6819</v>
      </c>
      <c r="C1006" s="307" t="s">
        <v>5814</v>
      </c>
      <c r="D1006" s="307" t="s">
        <v>6820</v>
      </c>
      <c r="E1006" s="307" t="s">
        <v>3905</v>
      </c>
      <c r="F1006" s="307" t="s">
        <v>3906</v>
      </c>
      <c r="G1006" s="307" t="s">
        <v>3907</v>
      </c>
    </row>
    <row r="1007" spans="1:7" ht="13.5">
      <c r="A1007" s="307" t="s">
        <v>6821</v>
      </c>
      <c r="B1007" s="307" t="s">
        <v>6822</v>
      </c>
      <c r="C1007" s="307" t="s">
        <v>5814</v>
      </c>
      <c r="D1007" s="307" t="s">
        <v>6823</v>
      </c>
      <c r="E1007" s="307" t="s">
        <v>3905</v>
      </c>
      <c r="F1007" s="307" t="s">
        <v>3906</v>
      </c>
      <c r="G1007" s="307" t="s">
        <v>3907</v>
      </c>
    </row>
    <row r="1008" spans="1:7" ht="13.5">
      <c r="A1008" s="307" t="s">
        <v>6824</v>
      </c>
      <c r="B1008" s="307" t="s">
        <v>6825</v>
      </c>
      <c r="C1008" s="307" t="s">
        <v>5814</v>
      </c>
      <c r="D1008" s="307" t="s">
        <v>6826</v>
      </c>
      <c r="E1008" s="307" t="s">
        <v>3905</v>
      </c>
      <c r="F1008" s="307" t="s">
        <v>3906</v>
      </c>
      <c r="G1008" s="307" t="s">
        <v>3907</v>
      </c>
    </row>
    <row r="1009" spans="1:7" ht="13.5">
      <c r="A1009" s="307" t="s">
        <v>6827</v>
      </c>
      <c r="B1009" s="307" t="s">
        <v>6828</v>
      </c>
      <c r="C1009" s="307" t="s">
        <v>5814</v>
      </c>
      <c r="D1009" s="307" t="s">
        <v>6829</v>
      </c>
      <c r="E1009" s="307" t="s">
        <v>3905</v>
      </c>
      <c r="F1009" s="307" t="s">
        <v>3906</v>
      </c>
      <c r="G1009" s="307" t="s">
        <v>3907</v>
      </c>
    </row>
    <row r="1010" spans="1:7" ht="13.5">
      <c r="A1010" s="307" t="s">
        <v>6830</v>
      </c>
      <c r="B1010" s="307" t="s">
        <v>6831</v>
      </c>
      <c r="C1010" s="307" t="s">
        <v>5814</v>
      </c>
      <c r="D1010" s="307" t="s">
        <v>6832</v>
      </c>
      <c r="E1010" s="307" t="s">
        <v>3905</v>
      </c>
      <c r="F1010" s="307" t="s">
        <v>3906</v>
      </c>
      <c r="G1010" s="307" t="s">
        <v>3907</v>
      </c>
    </row>
    <row r="1011" spans="1:7" ht="13.5">
      <c r="A1011" s="307" t="s">
        <v>6833</v>
      </c>
      <c r="B1011" s="307" t="s">
        <v>6834</v>
      </c>
      <c r="C1011" s="307" t="s">
        <v>5814</v>
      </c>
      <c r="D1011" s="307" t="s">
        <v>6835</v>
      </c>
      <c r="E1011" s="307" t="s">
        <v>3905</v>
      </c>
      <c r="F1011" s="307" t="s">
        <v>3906</v>
      </c>
      <c r="G1011" s="307" t="s">
        <v>3907</v>
      </c>
    </row>
    <row r="1012" spans="1:7" ht="13.5">
      <c r="A1012" s="307" t="s">
        <v>6836</v>
      </c>
      <c r="B1012" s="307" t="s">
        <v>6837</v>
      </c>
      <c r="C1012" s="307" t="s">
        <v>5814</v>
      </c>
      <c r="D1012" s="307" t="s">
        <v>6838</v>
      </c>
      <c r="E1012" s="307" t="s">
        <v>3905</v>
      </c>
      <c r="F1012" s="307" t="s">
        <v>3906</v>
      </c>
      <c r="G1012" s="307" t="s">
        <v>3907</v>
      </c>
    </row>
    <row r="1013" spans="1:7" ht="13.5">
      <c r="A1013" s="307" t="s">
        <v>6839</v>
      </c>
      <c r="B1013" s="307" t="s">
        <v>6840</v>
      </c>
      <c r="C1013" s="307" t="s">
        <v>5814</v>
      </c>
      <c r="D1013" s="307" t="s">
        <v>6841</v>
      </c>
      <c r="E1013" s="307" t="s">
        <v>3905</v>
      </c>
      <c r="F1013" s="307" t="s">
        <v>3906</v>
      </c>
      <c r="G1013" s="307" t="s">
        <v>3907</v>
      </c>
    </row>
    <row r="1014" spans="1:7" ht="13.5">
      <c r="A1014" s="307" t="s">
        <v>6842</v>
      </c>
      <c r="B1014" s="307" t="s">
        <v>6843</v>
      </c>
      <c r="C1014" s="307" t="s">
        <v>5814</v>
      </c>
      <c r="D1014" s="307" t="s">
        <v>6844</v>
      </c>
      <c r="E1014" s="307" t="s">
        <v>3905</v>
      </c>
      <c r="F1014" s="307" t="s">
        <v>3906</v>
      </c>
      <c r="G1014" s="307" t="s">
        <v>3907</v>
      </c>
    </row>
    <row r="1015" spans="1:7" ht="13.5">
      <c r="A1015" s="307" t="s">
        <v>6845</v>
      </c>
      <c r="B1015" s="307" t="s">
        <v>6846</v>
      </c>
      <c r="C1015" s="307" t="s">
        <v>5814</v>
      </c>
      <c r="D1015" s="307" t="s">
        <v>6847</v>
      </c>
      <c r="E1015" s="307" t="s">
        <v>3905</v>
      </c>
      <c r="F1015" s="307" t="s">
        <v>3906</v>
      </c>
      <c r="G1015" s="307" t="s">
        <v>3907</v>
      </c>
    </row>
    <row r="1016" spans="1:7" ht="13.5">
      <c r="A1016" s="307" t="s">
        <v>6848</v>
      </c>
      <c r="B1016" s="307" t="s">
        <v>6849</v>
      </c>
      <c r="C1016" s="307" t="s">
        <v>5814</v>
      </c>
      <c r="D1016" s="307" t="s">
        <v>6850</v>
      </c>
      <c r="E1016" s="307" t="s">
        <v>3905</v>
      </c>
      <c r="F1016" s="307" t="s">
        <v>3906</v>
      </c>
      <c r="G1016" s="307" t="s">
        <v>3907</v>
      </c>
    </row>
    <row r="1017" spans="1:7" ht="13.5">
      <c r="A1017" s="307" t="s">
        <v>6851</v>
      </c>
      <c r="B1017" s="307" t="s">
        <v>6852</v>
      </c>
      <c r="C1017" s="307" t="s">
        <v>5814</v>
      </c>
      <c r="D1017" s="307" t="s">
        <v>6853</v>
      </c>
      <c r="E1017" s="307" t="s">
        <v>3905</v>
      </c>
      <c r="F1017" s="307" t="s">
        <v>3906</v>
      </c>
      <c r="G1017" s="307" t="s">
        <v>3907</v>
      </c>
    </row>
    <row r="1018" spans="1:7" ht="13.5">
      <c r="A1018" s="307" t="s">
        <v>6854</v>
      </c>
      <c r="B1018" s="307" t="s">
        <v>6855</v>
      </c>
      <c r="C1018" s="307" t="s">
        <v>5814</v>
      </c>
      <c r="D1018" s="307" t="s">
        <v>6856</v>
      </c>
      <c r="E1018" s="307" t="s">
        <v>3905</v>
      </c>
      <c r="F1018" s="307" t="s">
        <v>3906</v>
      </c>
      <c r="G1018" s="307" t="s">
        <v>3907</v>
      </c>
    </row>
    <row r="1019" spans="1:7" ht="13.5">
      <c r="A1019" s="307" t="s">
        <v>6857</v>
      </c>
      <c r="B1019" s="307" t="s">
        <v>6858</v>
      </c>
      <c r="C1019" s="307" t="s">
        <v>5814</v>
      </c>
      <c r="D1019" s="307" t="s">
        <v>6859</v>
      </c>
      <c r="E1019" s="307" t="s">
        <v>3905</v>
      </c>
      <c r="F1019" s="307" t="s">
        <v>3906</v>
      </c>
      <c r="G1019" s="307" t="s">
        <v>3907</v>
      </c>
    </row>
    <row r="1020" spans="1:7" ht="13.5">
      <c r="A1020" s="307" t="s">
        <v>6860</v>
      </c>
      <c r="B1020" s="307" t="s">
        <v>6861</v>
      </c>
      <c r="C1020" s="307" t="s">
        <v>5814</v>
      </c>
      <c r="D1020" s="307" t="s">
        <v>6862</v>
      </c>
      <c r="E1020" s="307" t="s">
        <v>3905</v>
      </c>
      <c r="F1020" s="307" t="s">
        <v>3906</v>
      </c>
      <c r="G1020" s="307" t="s">
        <v>3907</v>
      </c>
    </row>
    <row r="1021" spans="1:7" ht="13.5">
      <c r="A1021" s="307" t="s">
        <v>6863</v>
      </c>
      <c r="B1021" s="307" t="s">
        <v>6861</v>
      </c>
      <c r="C1021" s="307" t="s">
        <v>5814</v>
      </c>
      <c r="D1021" s="307" t="s">
        <v>6862</v>
      </c>
      <c r="E1021" s="307" t="s">
        <v>3905</v>
      </c>
      <c r="F1021" s="307" t="s">
        <v>3906</v>
      </c>
      <c r="G1021" s="307" t="s">
        <v>3907</v>
      </c>
    </row>
    <row r="1022" spans="1:7" ht="13.5">
      <c r="A1022" s="307" t="s">
        <v>6864</v>
      </c>
      <c r="B1022" s="307" t="s">
        <v>6865</v>
      </c>
      <c r="C1022" s="307" t="s">
        <v>5814</v>
      </c>
      <c r="D1022" s="307" t="s">
        <v>6866</v>
      </c>
      <c r="E1022" s="307" t="s">
        <v>3905</v>
      </c>
      <c r="F1022" s="307" t="s">
        <v>3906</v>
      </c>
      <c r="G1022" s="307" t="s">
        <v>3907</v>
      </c>
    </row>
    <row r="1023" spans="1:7" ht="13.5">
      <c r="A1023" s="307" t="s">
        <v>6867</v>
      </c>
      <c r="B1023" s="307" t="s">
        <v>6868</v>
      </c>
      <c r="C1023" s="307" t="s">
        <v>5814</v>
      </c>
      <c r="D1023" s="307" t="s">
        <v>6869</v>
      </c>
      <c r="E1023" s="307" t="s">
        <v>3905</v>
      </c>
      <c r="F1023" s="307" t="s">
        <v>3906</v>
      </c>
      <c r="G1023" s="307" t="s">
        <v>3907</v>
      </c>
    </row>
    <row r="1024" spans="1:7" ht="13.5">
      <c r="A1024" s="307" t="s">
        <v>6870</v>
      </c>
      <c r="B1024" s="307" t="s">
        <v>6871</v>
      </c>
      <c r="C1024" s="307" t="s">
        <v>5814</v>
      </c>
      <c r="D1024" s="307" t="s">
        <v>6872</v>
      </c>
      <c r="E1024" s="307" t="s">
        <v>3905</v>
      </c>
      <c r="F1024" s="307" t="s">
        <v>3906</v>
      </c>
      <c r="G1024" s="307" t="s">
        <v>3907</v>
      </c>
    </row>
    <row r="1025" spans="1:7" ht="13.5">
      <c r="A1025" s="307" t="s">
        <v>6873</v>
      </c>
      <c r="B1025" s="307" t="s">
        <v>6874</v>
      </c>
      <c r="C1025" s="307" t="s">
        <v>5814</v>
      </c>
      <c r="D1025" s="307" t="s">
        <v>6875</v>
      </c>
      <c r="E1025" s="307" t="s">
        <v>3905</v>
      </c>
      <c r="F1025" s="307" t="s">
        <v>3906</v>
      </c>
      <c r="G1025" s="307" t="s">
        <v>3907</v>
      </c>
    </row>
    <row r="1026" spans="1:7" ht="13.5">
      <c r="A1026" s="307" t="s">
        <v>6876</v>
      </c>
      <c r="B1026" s="307" t="s">
        <v>6877</v>
      </c>
      <c r="C1026" s="307" t="s">
        <v>5814</v>
      </c>
      <c r="D1026" s="307" t="s">
        <v>6878</v>
      </c>
      <c r="E1026" s="307" t="s">
        <v>3905</v>
      </c>
      <c r="F1026" s="307" t="s">
        <v>3906</v>
      </c>
      <c r="G1026" s="307" t="s">
        <v>3907</v>
      </c>
    </row>
    <row r="1027" spans="1:7" ht="13.5">
      <c r="A1027" s="307" t="s">
        <v>6879</v>
      </c>
      <c r="B1027" s="307" t="s">
        <v>6880</v>
      </c>
      <c r="C1027" s="307" t="s">
        <v>5814</v>
      </c>
      <c r="D1027" s="307" t="s">
        <v>6881</v>
      </c>
      <c r="E1027" s="307" t="s">
        <v>3905</v>
      </c>
      <c r="F1027" s="307" t="s">
        <v>3906</v>
      </c>
      <c r="G1027" s="307" t="s">
        <v>3907</v>
      </c>
    </row>
    <row r="1028" spans="1:7" ht="13.5">
      <c r="A1028" s="307" t="s">
        <v>6882</v>
      </c>
      <c r="B1028" s="307" t="s">
        <v>6883</v>
      </c>
      <c r="C1028" s="307" t="s">
        <v>5814</v>
      </c>
      <c r="D1028" s="307" t="s">
        <v>6884</v>
      </c>
      <c r="E1028" s="307" t="s">
        <v>3905</v>
      </c>
      <c r="F1028" s="307" t="s">
        <v>3906</v>
      </c>
      <c r="G1028" s="307" t="s">
        <v>3907</v>
      </c>
    </row>
    <row r="1029" spans="1:7" ht="13.5">
      <c r="A1029" s="307" t="s">
        <v>6885</v>
      </c>
      <c r="B1029" s="307" t="s">
        <v>6886</v>
      </c>
      <c r="C1029" s="307" t="s">
        <v>5814</v>
      </c>
      <c r="D1029" s="307" t="s">
        <v>6887</v>
      </c>
      <c r="E1029" s="307" t="s">
        <v>3905</v>
      </c>
      <c r="F1029" s="307" t="s">
        <v>3906</v>
      </c>
      <c r="G1029" s="307" t="s">
        <v>3907</v>
      </c>
    </row>
    <row r="1030" spans="1:7" ht="13.5">
      <c r="A1030" s="307" t="s">
        <v>6888</v>
      </c>
      <c r="B1030" s="307" t="s">
        <v>6889</v>
      </c>
      <c r="C1030" s="307" t="s">
        <v>5814</v>
      </c>
      <c r="D1030" s="307" t="s">
        <v>6890</v>
      </c>
      <c r="E1030" s="307" t="s">
        <v>3905</v>
      </c>
      <c r="F1030" s="307" t="s">
        <v>3906</v>
      </c>
      <c r="G1030" s="307" t="s">
        <v>3907</v>
      </c>
    </row>
    <row r="1031" spans="1:7" ht="13.5">
      <c r="A1031" s="307" t="s">
        <v>6891</v>
      </c>
      <c r="B1031" s="307" t="s">
        <v>6892</v>
      </c>
      <c r="C1031" s="307" t="s">
        <v>5814</v>
      </c>
      <c r="D1031" s="307" t="s">
        <v>6893</v>
      </c>
      <c r="E1031" s="307" t="s">
        <v>3905</v>
      </c>
      <c r="F1031" s="307" t="s">
        <v>3906</v>
      </c>
      <c r="G1031" s="307" t="s">
        <v>3907</v>
      </c>
    </row>
    <row r="1032" spans="1:7" ht="13.5">
      <c r="A1032" s="307" t="s">
        <v>6894</v>
      </c>
      <c r="B1032" s="307" t="s">
        <v>6895</v>
      </c>
      <c r="C1032" s="307" t="s">
        <v>5814</v>
      </c>
      <c r="D1032" s="307" t="s">
        <v>6896</v>
      </c>
      <c r="E1032" s="307" t="s">
        <v>3905</v>
      </c>
      <c r="F1032" s="307" t="s">
        <v>3906</v>
      </c>
      <c r="G1032" s="307" t="s">
        <v>3907</v>
      </c>
    </row>
    <row r="1033" spans="1:7" ht="13.5">
      <c r="A1033" s="307" t="s">
        <v>6897</v>
      </c>
      <c r="B1033" s="307" t="s">
        <v>6898</v>
      </c>
      <c r="C1033" s="307" t="s">
        <v>5814</v>
      </c>
      <c r="D1033" s="307" t="s">
        <v>6899</v>
      </c>
      <c r="E1033" s="307" t="s">
        <v>3905</v>
      </c>
      <c r="F1033" s="307" t="s">
        <v>3906</v>
      </c>
      <c r="G1033" s="307" t="s">
        <v>3907</v>
      </c>
    </row>
    <row r="1034" spans="1:7" ht="13.5">
      <c r="A1034" s="307" t="s">
        <v>6900</v>
      </c>
      <c r="B1034" s="307" t="s">
        <v>6901</v>
      </c>
      <c r="C1034" s="307" t="s">
        <v>5814</v>
      </c>
      <c r="D1034" s="307" t="s">
        <v>6902</v>
      </c>
      <c r="E1034" s="307" t="s">
        <v>3905</v>
      </c>
      <c r="F1034" s="307" t="s">
        <v>3906</v>
      </c>
      <c r="G1034" s="307" t="s">
        <v>3907</v>
      </c>
    </row>
    <row r="1035" spans="1:7" ht="13.5">
      <c r="A1035" s="307" t="s">
        <v>6903</v>
      </c>
      <c r="B1035" s="307" t="s">
        <v>6904</v>
      </c>
      <c r="C1035" s="307" t="s">
        <v>5814</v>
      </c>
      <c r="D1035" s="307" t="s">
        <v>6905</v>
      </c>
      <c r="E1035" s="307" t="s">
        <v>3905</v>
      </c>
      <c r="F1035" s="307" t="s">
        <v>3906</v>
      </c>
      <c r="G1035" s="307" t="s">
        <v>3907</v>
      </c>
    </row>
    <row r="1036" spans="1:7" ht="13.5">
      <c r="A1036" s="307" t="s">
        <v>6906</v>
      </c>
      <c r="B1036" s="307" t="s">
        <v>6907</v>
      </c>
      <c r="C1036" s="307" t="s">
        <v>5814</v>
      </c>
      <c r="D1036" s="307" t="s">
        <v>6908</v>
      </c>
      <c r="E1036" s="307" t="s">
        <v>3905</v>
      </c>
      <c r="F1036" s="307" t="s">
        <v>3906</v>
      </c>
      <c r="G1036" s="307" t="s">
        <v>3907</v>
      </c>
    </row>
    <row r="1037" spans="1:7" ht="13.5">
      <c r="A1037" s="307" t="s">
        <v>6909</v>
      </c>
      <c r="B1037" s="307" t="s">
        <v>6910</v>
      </c>
      <c r="C1037" s="307" t="s">
        <v>5814</v>
      </c>
      <c r="D1037" s="307" t="s">
        <v>6911</v>
      </c>
      <c r="E1037" s="307" t="s">
        <v>3905</v>
      </c>
      <c r="F1037" s="307" t="s">
        <v>3906</v>
      </c>
      <c r="G1037" s="307" t="s">
        <v>3907</v>
      </c>
    </row>
    <row r="1038" spans="1:7" ht="13.5">
      <c r="A1038" s="307" t="s">
        <v>6912</v>
      </c>
      <c r="B1038" s="307" t="s">
        <v>6913</v>
      </c>
      <c r="C1038" s="307" t="s">
        <v>5814</v>
      </c>
      <c r="D1038" s="307" t="s">
        <v>6914</v>
      </c>
      <c r="E1038" s="307" t="s">
        <v>3905</v>
      </c>
      <c r="F1038" s="307" t="s">
        <v>3906</v>
      </c>
      <c r="G1038" s="307" t="s">
        <v>3907</v>
      </c>
    </row>
    <row r="1039" spans="1:7" ht="13.5">
      <c r="A1039" s="307" t="s">
        <v>6915</v>
      </c>
      <c r="B1039" s="307" t="s">
        <v>6916</v>
      </c>
      <c r="C1039" s="307" t="s">
        <v>5814</v>
      </c>
      <c r="D1039" s="307" t="s">
        <v>6917</v>
      </c>
      <c r="E1039" s="307" t="s">
        <v>4021</v>
      </c>
      <c r="F1039" s="307" t="s">
        <v>3906</v>
      </c>
      <c r="G1039" s="307" t="s">
        <v>3907</v>
      </c>
    </row>
    <row r="1040" spans="1:7" ht="13.5">
      <c r="A1040" s="307" t="s">
        <v>6918</v>
      </c>
      <c r="B1040" s="307" t="s">
        <v>6919</v>
      </c>
      <c r="C1040" s="307" t="s">
        <v>5814</v>
      </c>
      <c r="D1040" s="307" t="s">
        <v>6920</v>
      </c>
      <c r="E1040" s="307" t="s">
        <v>3905</v>
      </c>
      <c r="F1040" s="307" t="s">
        <v>3906</v>
      </c>
      <c r="G1040" s="307" t="s">
        <v>3907</v>
      </c>
    </row>
    <row r="1041" spans="1:7" ht="13.5">
      <c r="A1041" s="307" t="s">
        <v>6921</v>
      </c>
      <c r="B1041" s="307" t="s">
        <v>6922</v>
      </c>
      <c r="C1041" s="307" t="s">
        <v>5814</v>
      </c>
      <c r="D1041" s="307" t="s">
        <v>6923</v>
      </c>
      <c r="E1041" s="307" t="s">
        <v>3905</v>
      </c>
      <c r="F1041" s="307" t="s">
        <v>3906</v>
      </c>
      <c r="G1041" s="307" t="s">
        <v>3907</v>
      </c>
    </row>
    <row r="1042" spans="1:7" ht="13.5">
      <c r="A1042" s="307" t="s">
        <v>6924</v>
      </c>
      <c r="B1042" s="307" t="s">
        <v>6925</v>
      </c>
      <c r="C1042" s="307" t="s">
        <v>5814</v>
      </c>
      <c r="D1042" s="307" t="s">
        <v>6926</v>
      </c>
      <c r="E1042" s="307" t="s">
        <v>3905</v>
      </c>
      <c r="F1042" s="307" t="s">
        <v>3906</v>
      </c>
      <c r="G1042" s="307" t="s">
        <v>3907</v>
      </c>
    </row>
    <row r="1043" spans="1:7" ht="13.5">
      <c r="A1043" s="307" t="s">
        <v>6927</v>
      </c>
      <c r="B1043" s="307" t="s">
        <v>6928</v>
      </c>
      <c r="C1043" s="307" t="s">
        <v>5814</v>
      </c>
      <c r="D1043" s="307" t="s">
        <v>6929</v>
      </c>
      <c r="E1043" s="307" t="s">
        <v>3905</v>
      </c>
      <c r="F1043" s="307" t="s">
        <v>3906</v>
      </c>
      <c r="G1043" s="307" t="s">
        <v>3907</v>
      </c>
    </row>
    <row r="1044" spans="1:7" ht="13.5">
      <c r="A1044" s="307" t="s">
        <v>6930</v>
      </c>
      <c r="B1044" s="307" t="s">
        <v>6931</v>
      </c>
      <c r="C1044" s="307" t="s">
        <v>5814</v>
      </c>
      <c r="D1044" s="307" t="s">
        <v>6932</v>
      </c>
      <c r="E1044" s="307" t="s">
        <v>3905</v>
      </c>
      <c r="F1044" s="307" t="s">
        <v>3906</v>
      </c>
      <c r="G1044" s="307" t="s">
        <v>3907</v>
      </c>
    </row>
    <row r="1045" spans="1:7" ht="13.5">
      <c r="A1045" s="307" t="s">
        <v>6933</v>
      </c>
      <c r="B1045" s="307" t="s">
        <v>6934</v>
      </c>
      <c r="C1045" s="307" t="s">
        <v>5814</v>
      </c>
      <c r="D1045" s="307" t="s">
        <v>6935</v>
      </c>
      <c r="E1045" s="307" t="s">
        <v>3905</v>
      </c>
      <c r="F1045" s="307" t="s">
        <v>3906</v>
      </c>
      <c r="G1045" s="307" t="s">
        <v>3907</v>
      </c>
    </row>
    <row r="1046" spans="1:7" ht="13.5">
      <c r="A1046" s="307" t="s">
        <v>6936</v>
      </c>
      <c r="B1046" s="307" t="s">
        <v>6937</v>
      </c>
      <c r="C1046" s="307" t="s">
        <v>5814</v>
      </c>
      <c r="D1046" s="307" t="s">
        <v>6938</v>
      </c>
      <c r="E1046" s="307" t="s">
        <v>3905</v>
      </c>
      <c r="F1046" s="307" t="s">
        <v>3906</v>
      </c>
      <c r="G1046" s="307" t="s">
        <v>3907</v>
      </c>
    </row>
    <row r="1047" spans="1:7" ht="13.5">
      <c r="A1047" s="307" t="s">
        <v>6939</v>
      </c>
      <c r="B1047" s="307" t="s">
        <v>6940</v>
      </c>
      <c r="C1047" s="307" t="s">
        <v>5814</v>
      </c>
      <c r="D1047" s="307" t="s">
        <v>6941</v>
      </c>
      <c r="E1047" s="307" t="s">
        <v>3905</v>
      </c>
      <c r="F1047" s="307" t="s">
        <v>3906</v>
      </c>
      <c r="G1047" s="307" t="s">
        <v>3907</v>
      </c>
    </row>
    <row r="1048" spans="1:7" ht="13.5">
      <c r="A1048" s="307" t="s">
        <v>6942</v>
      </c>
      <c r="B1048" s="307" t="s">
        <v>6943</v>
      </c>
      <c r="C1048" s="307" t="s">
        <v>5814</v>
      </c>
      <c r="D1048" s="307" t="s">
        <v>6944</v>
      </c>
      <c r="E1048" s="307" t="s">
        <v>3905</v>
      </c>
      <c r="F1048" s="307" t="s">
        <v>3906</v>
      </c>
      <c r="G1048" s="307" t="s">
        <v>3907</v>
      </c>
    </row>
    <row r="1049" spans="1:7" ht="13.5">
      <c r="A1049" s="307" t="s">
        <v>6945</v>
      </c>
      <c r="B1049" s="307" t="s">
        <v>6946</v>
      </c>
      <c r="C1049" s="307" t="s">
        <v>5814</v>
      </c>
      <c r="D1049" s="307" t="s">
        <v>6947</v>
      </c>
      <c r="E1049" s="307" t="s">
        <v>3905</v>
      </c>
      <c r="F1049" s="307" t="s">
        <v>3906</v>
      </c>
      <c r="G1049" s="307" t="s">
        <v>3907</v>
      </c>
    </row>
    <row r="1050" spans="1:7" ht="13.5">
      <c r="A1050" s="307" t="s">
        <v>6948</v>
      </c>
      <c r="B1050" s="307" t="s">
        <v>6949</v>
      </c>
      <c r="C1050" s="307" t="s">
        <v>5814</v>
      </c>
      <c r="D1050" s="307" t="s">
        <v>6950</v>
      </c>
      <c r="E1050" s="307" t="s">
        <v>3905</v>
      </c>
      <c r="F1050" s="307" t="s">
        <v>3906</v>
      </c>
      <c r="G1050" s="307" t="s">
        <v>3907</v>
      </c>
    </row>
    <row r="1051" spans="1:7" ht="13.5">
      <c r="A1051" s="307" t="s">
        <v>6951</v>
      </c>
      <c r="B1051" s="307" t="s">
        <v>6952</v>
      </c>
      <c r="C1051" s="307" t="s">
        <v>5814</v>
      </c>
      <c r="D1051" s="307" t="s">
        <v>6953</v>
      </c>
      <c r="E1051" s="307" t="s">
        <v>3905</v>
      </c>
      <c r="F1051" s="307" t="s">
        <v>3906</v>
      </c>
      <c r="G1051" s="307" t="s">
        <v>3907</v>
      </c>
    </row>
    <row r="1052" spans="1:7" ht="13.5">
      <c r="A1052" s="307" t="s">
        <v>6954</v>
      </c>
      <c r="B1052" s="307" t="s">
        <v>6955</v>
      </c>
      <c r="C1052" s="307" t="s">
        <v>5814</v>
      </c>
      <c r="D1052" s="307" t="s">
        <v>6956</v>
      </c>
      <c r="E1052" s="307" t="s">
        <v>3905</v>
      </c>
      <c r="F1052" s="307" t="s">
        <v>3906</v>
      </c>
      <c r="G1052" s="307" t="s">
        <v>3907</v>
      </c>
    </row>
    <row r="1053" spans="1:7" ht="13.5">
      <c r="A1053" s="307" t="s">
        <v>6957</v>
      </c>
      <c r="B1053" s="307" t="s">
        <v>6958</v>
      </c>
      <c r="C1053" s="307" t="s">
        <v>5814</v>
      </c>
      <c r="D1053" s="307" t="s">
        <v>6959</v>
      </c>
      <c r="E1053" s="307" t="s">
        <v>3905</v>
      </c>
      <c r="F1053" s="307" t="s">
        <v>3906</v>
      </c>
      <c r="G1053" s="307" t="s">
        <v>3907</v>
      </c>
    </row>
    <row r="1054" spans="1:7" ht="13.5">
      <c r="A1054" s="307" t="s">
        <v>6960</v>
      </c>
      <c r="B1054" s="307" t="s">
        <v>6961</v>
      </c>
      <c r="C1054" s="307" t="s">
        <v>5814</v>
      </c>
      <c r="D1054" s="307" t="s">
        <v>6962</v>
      </c>
      <c r="E1054" s="307" t="s">
        <v>4021</v>
      </c>
      <c r="F1054" s="307" t="s">
        <v>3906</v>
      </c>
      <c r="G1054" s="307" t="s">
        <v>3907</v>
      </c>
    </row>
    <row r="1055" spans="1:7" ht="13.5">
      <c r="A1055" s="307" t="s">
        <v>6963</v>
      </c>
      <c r="B1055" s="307" t="s">
        <v>6964</v>
      </c>
      <c r="C1055" s="307" t="s">
        <v>5814</v>
      </c>
      <c r="D1055" s="307" t="s">
        <v>6965</v>
      </c>
      <c r="E1055" s="307" t="s">
        <v>3905</v>
      </c>
      <c r="F1055" s="307" t="s">
        <v>3906</v>
      </c>
      <c r="G1055" s="307" t="s">
        <v>3907</v>
      </c>
    </row>
    <row r="1056" spans="1:7" ht="13.5">
      <c r="A1056" s="307" t="s">
        <v>6966</v>
      </c>
      <c r="B1056" s="307" t="s">
        <v>6967</v>
      </c>
      <c r="C1056" s="307" t="s">
        <v>5814</v>
      </c>
      <c r="D1056" s="307" t="s">
        <v>6968</v>
      </c>
      <c r="E1056" s="307" t="s">
        <v>3905</v>
      </c>
      <c r="F1056" s="307" t="s">
        <v>3906</v>
      </c>
      <c r="G1056" s="307" t="s">
        <v>3907</v>
      </c>
    </row>
    <row r="1057" spans="1:7" ht="13.5">
      <c r="A1057" s="307" t="s">
        <v>6969</v>
      </c>
      <c r="B1057" s="307" t="s">
        <v>6970</v>
      </c>
      <c r="C1057" s="307" t="s">
        <v>5814</v>
      </c>
      <c r="D1057" s="307" t="s">
        <v>6971</v>
      </c>
      <c r="E1057" s="307" t="s">
        <v>3905</v>
      </c>
      <c r="F1057" s="307" t="s">
        <v>3906</v>
      </c>
      <c r="G1057" s="307" t="s">
        <v>3907</v>
      </c>
    </row>
    <row r="1058" spans="1:7" ht="13.5">
      <c r="A1058" s="307" t="s">
        <v>6972</v>
      </c>
      <c r="B1058" s="307" t="s">
        <v>6973</v>
      </c>
      <c r="C1058" s="307" t="s">
        <v>5814</v>
      </c>
      <c r="D1058" s="307" t="s">
        <v>6974</v>
      </c>
      <c r="E1058" s="307" t="s">
        <v>3905</v>
      </c>
      <c r="F1058" s="307" t="s">
        <v>3906</v>
      </c>
      <c r="G1058" s="307" t="s">
        <v>3907</v>
      </c>
    </row>
    <row r="1059" spans="1:7" ht="13.5">
      <c r="A1059" s="307" t="s">
        <v>6975</v>
      </c>
      <c r="B1059" s="307" t="s">
        <v>6976</v>
      </c>
      <c r="C1059" s="307" t="s">
        <v>5814</v>
      </c>
      <c r="D1059" s="307" t="s">
        <v>6977</v>
      </c>
      <c r="E1059" s="307" t="s">
        <v>3905</v>
      </c>
      <c r="F1059" s="307" t="s">
        <v>3906</v>
      </c>
      <c r="G1059" s="307" t="s">
        <v>3907</v>
      </c>
    </row>
    <row r="1060" spans="1:7" ht="13.5">
      <c r="A1060" s="307" t="s">
        <v>6978</v>
      </c>
      <c r="B1060" s="307" t="s">
        <v>6979</v>
      </c>
      <c r="C1060" s="307" t="s">
        <v>5814</v>
      </c>
      <c r="D1060" s="307" t="s">
        <v>6980</v>
      </c>
      <c r="E1060" s="307" t="s">
        <v>3905</v>
      </c>
      <c r="F1060" s="307" t="s">
        <v>3906</v>
      </c>
      <c r="G1060" s="307" t="s">
        <v>3907</v>
      </c>
    </row>
    <row r="1061" spans="1:7" ht="13.5">
      <c r="A1061" s="307" t="s">
        <v>6981</v>
      </c>
      <c r="B1061" s="307" t="s">
        <v>6982</v>
      </c>
      <c r="C1061" s="307" t="s">
        <v>5814</v>
      </c>
      <c r="D1061" s="307" t="s">
        <v>6983</v>
      </c>
      <c r="E1061" s="307" t="s">
        <v>3905</v>
      </c>
      <c r="F1061" s="307" t="s">
        <v>3906</v>
      </c>
      <c r="G1061" s="307" t="s">
        <v>3907</v>
      </c>
    </row>
    <row r="1062" spans="1:7" ht="13.5">
      <c r="A1062" s="307" t="s">
        <v>6984</v>
      </c>
      <c r="B1062" s="307" t="s">
        <v>6985</v>
      </c>
      <c r="C1062" s="307" t="s">
        <v>5814</v>
      </c>
      <c r="D1062" s="307" t="s">
        <v>6986</v>
      </c>
      <c r="E1062" s="307" t="s">
        <v>3905</v>
      </c>
      <c r="F1062" s="307" t="s">
        <v>3906</v>
      </c>
      <c r="G1062" s="307" t="s">
        <v>3907</v>
      </c>
    </row>
    <row r="1063" spans="1:7" ht="13.5">
      <c r="A1063" s="307" t="s">
        <v>6987</v>
      </c>
      <c r="B1063" s="307" t="s">
        <v>6988</v>
      </c>
      <c r="C1063" s="307" t="s">
        <v>5814</v>
      </c>
      <c r="D1063" s="307" t="s">
        <v>6989</v>
      </c>
      <c r="E1063" s="307" t="s">
        <v>3905</v>
      </c>
      <c r="F1063" s="307" t="s">
        <v>3906</v>
      </c>
      <c r="G1063" s="307" t="s">
        <v>3907</v>
      </c>
    </row>
    <row r="1064" spans="1:7" ht="13.5">
      <c r="A1064" s="307" t="s">
        <v>6990</v>
      </c>
      <c r="B1064" s="307" t="s">
        <v>6991</v>
      </c>
      <c r="C1064" s="307" t="s">
        <v>5814</v>
      </c>
      <c r="D1064" s="307" t="s">
        <v>6992</v>
      </c>
      <c r="E1064" s="307" t="s">
        <v>3905</v>
      </c>
      <c r="F1064" s="307" t="s">
        <v>3906</v>
      </c>
      <c r="G1064" s="307" t="s">
        <v>3907</v>
      </c>
    </row>
    <row r="1065" spans="1:7" ht="13.5">
      <c r="A1065" s="307" t="s">
        <v>6993</v>
      </c>
      <c r="B1065" s="307" t="s">
        <v>6994</v>
      </c>
      <c r="C1065" s="307" t="s">
        <v>5814</v>
      </c>
      <c r="D1065" s="307" t="s">
        <v>6995</v>
      </c>
      <c r="E1065" s="307" t="s">
        <v>3905</v>
      </c>
      <c r="F1065" s="307" t="s">
        <v>3906</v>
      </c>
      <c r="G1065" s="307" t="s">
        <v>3907</v>
      </c>
    </row>
    <row r="1066" spans="1:7" ht="13.5">
      <c r="A1066" s="307" t="s">
        <v>6996</v>
      </c>
      <c r="B1066" s="307" t="s">
        <v>6997</v>
      </c>
      <c r="C1066" s="307" t="s">
        <v>5814</v>
      </c>
      <c r="D1066" s="307" t="s">
        <v>6998</v>
      </c>
      <c r="E1066" s="307" t="s">
        <v>3905</v>
      </c>
      <c r="F1066" s="307" t="s">
        <v>3906</v>
      </c>
      <c r="G1066" s="307" t="s">
        <v>3907</v>
      </c>
    </row>
    <row r="1067" spans="1:7" ht="13.5">
      <c r="A1067" s="307" t="s">
        <v>6999</v>
      </c>
      <c r="B1067" s="307" t="s">
        <v>7000</v>
      </c>
      <c r="C1067" s="307" t="s">
        <v>5814</v>
      </c>
      <c r="D1067" s="307" t="s">
        <v>7001</v>
      </c>
      <c r="E1067" s="307" t="s">
        <v>3905</v>
      </c>
      <c r="F1067" s="307" t="s">
        <v>3906</v>
      </c>
      <c r="G1067" s="307" t="s">
        <v>3907</v>
      </c>
    </row>
    <row r="1068" spans="1:7" ht="13.5">
      <c r="A1068" s="307" t="s">
        <v>7002</v>
      </c>
      <c r="B1068" s="307" t="s">
        <v>7003</v>
      </c>
      <c r="C1068" s="307" t="s">
        <v>5814</v>
      </c>
      <c r="D1068" s="307" t="s">
        <v>7004</v>
      </c>
      <c r="E1068" s="307" t="s">
        <v>3905</v>
      </c>
      <c r="F1068" s="307" t="s">
        <v>3906</v>
      </c>
      <c r="G1068" s="307" t="s">
        <v>3907</v>
      </c>
    </row>
    <row r="1069" spans="1:7" ht="13.5">
      <c r="A1069" s="307" t="s">
        <v>7005</v>
      </c>
      <c r="B1069" s="307" t="s">
        <v>7006</v>
      </c>
      <c r="C1069" s="307" t="s">
        <v>5814</v>
      </c>
      <c r="D1069" s="307" t="s">
        <v>7007</v>
      </c>
      <c r="E1069" s="307" t="s">
        <v>3905</v>
      </c>
      <c r="F1069" s="307" t="s">
        <v>3906</v>
      </c>
      <c r="G1069" s="307" t="s">
        <v>3907</v>
      </c>
    </row>
    <row r="1070" spans="1:7" ht="13.5">
      <c r="A1070" s="307" t="s">
        <v>7008</v>
      </c>
      <c r="B1070" s="307" t="s">
        <v>7009</v>
      </c>
      <c r="C1070" s="307" t="s">
        <v>5814</v>
      </c>
      <c r="D1070" s="307" t="s">
        <v>7010</v>
      </c>
      <c r="E1070" s="307" t="s">
        <v>3905</v>
      </c>
      <c r="F1070" s="307" t="s">
        <v>3906</v>
      </c>
      <c r="G1070" s="307" t="s">
        <v>3907</v>
      </c>
    </row>
    <row r="1071" spans="1:7" ht="13.5">
      <c r="A1071" s="307" t="s">
        <v>7011</v>
      </c>
      <c r="B1071" s="307" t="s">
        <v>7012</v>
      </c>
      <c r="C1071" s="307" t="s">
        <v>5814</v>
      </c>
      <c r="D1071" s="307" t="s">
        <v>7013</v>
      </c>
      <c r="E1071" s="307" t="s">
        <v>3905</v>
      </c>
      <c r="F1071" s="307" t="s">
        <v>3906</v>
      </c>
      <c r="G1071" s="307" t="s">
        <v>3907</v>
      </c>
    </row>
    <row r="1072" spans="1:7" ht="13.5">
      <c r="A1072" s="307" t="s">
        <v>7014</v>
      </c>
      <c r="B1072" s="307" t="s">
        <v>7015</v>
      </c>
      <c r="C1072" s="307" t="s">
        <v>5814</v>
      </c>
      <c r="D1072" s="307" t="s">
        <v>7016</v>
      </c>
      <c r="E1072" s="307" t="s">
        <v>3905</v>
      </c>
      <c r="F1072" s="307" t="s">
        <v>3906</v>
      </c>
      <c r="G1072" s="307" t="s">
        <v>3907</v>
      </c>
    </row>
    <row r="1073" spans="1:7" ht="13.5">
      <c r="A1073" s="307" t="s">
        <v>7017</v>
      </c>
      <c r="B1073" s="307" t="s">
        <v>7018</v>
      </c>
      <c r="C1073" s="307" t="s">
        <v>5814</v>
      </c>
      <c r="D1073" s="307" t="s">
        <v>7019</v>
      </c>
      <c r="E1073" s="307" t="s">
        <v>3905</v>
      </c>
      <c r="F1073" s="307" t="s">
        <v>3906</v>
      </c>
      <c r="G1073" s="307" t="s">
        <v>3907</v>
      </c>
    </row>
    <row r="1074" spans="1:7" ht="13.5">
      <c r="A1074" s="307" t="s">
        <v>7020</v>
      </c>
      <c r="B1074" s="307" t="s">
        <v>7021</v>
      </c>
      <c r="C1074" s="307" t="s">
        <v>5814</v>
      </c>
      <c r="D1074" s="307" t="s">
        <v>7022</v>
      </c>
      <c r="E1074" s="307" t="s">
        <v>3905</v>
      </c>
      <c r="F1074" s="307" t="s">
        <v>3906</v>
      </c>
      <c r="G1074" s="307" t="s">
        <v>3907</v>
      </c>
    </row>
    <row r="1075" spans="1:7" ht="13.5">
      <c r="A1075" s="307" t="s">
        <v>7023</v>
      </c>
      <c r="B1075" s="307" t="s">
        <v>7024</v>
      </c>
      <c r="C1075" s="307" t="s">
        <v>5814</v>
      </c>
      <c r="D1075" s="307" t="s">
        <v>7025</v>
      </c>
      <c r="E1075" s="307" t="s">
        <v>3905</v>
      </c>
      <c r="F1075" s="307" t="s">
        <v>3906</v>
      </c>
      <c r="G1075" s="307" t="s">
        <v>3907</v>
      </c>
    </row>
    <row r="1076" spans="1:7" ht="13.5">
      <c r="A1076" s="307" t="s">
        <v>7026</v>
      </c>
      <c r="B1076" s="307" t="s">
        <v>7027</v>
      </c>
      <c r="C1076" s="307" t="s">
        <v>5814</v>
      </c>
      <c r="D1076" s="307" t="s">
        <v>7028</v>
      </c>
      <c r="E1076" s="307" t="s">
        <v>3905</v>
      </c>
      <c r="F1076" s="307" t="s">
        <v>3906</v>
      </c>
      <c r="G1076" s="307" t="s">
        <v>3907</v>
      </c>
    </row>
    <row r="1077" spans="1:7" ht="13.5">
      <c r="A1077" s="307" t="s">
        <v>7029</v>
      </c>
      <c r="B1077" s="307" t="s">
        <v>7030</v>
      </c>
      <c r="C1077" s="307" t="s">
        <v>5814</v>
      </c>
      <c r="D1077" s="307" t="s">
        <v>7031</v>
      </c>
      <c r="E1077" s="307" t="s">
        <v>3905</v>
      </c>
      <c r="F1077" s="307" t="s">
        <v>3906</v>
      </c>
      <c r="G1077" s="307" t="s">
        <v>3907</v>
      </c>
    </row>
    <row r="1078" spans="1:7" ht="13.5">
      <c r="A1078" s="307" t="s">
        <v>7032</v>
      </c>
      <c r="B1078" s="307" t="s">
        <v>7033</v>
      </c>
      <c r="C1078" s="307" t="s">
        <v>5814</v>
      </c>
      <c r="D1078" s="307" t="s">
        <v>7034</v>
      </c>
      <c r="E1078" s="307" t="s">
        <v>3905</v>
      </c>
      <c r="F1078" s="307" t="s">
        <v>3906</v>
      </c>
      <c r="G1078" s="307" t="s">
        <v>3907</v>
      </c>
    </row>
    <row r="1079" spans="1:7" ht="13.5">
      <c r="A1079" s="307" t="s">
        <v>7035</v>
      </c>
      <c r="B1079" s="307" t="s">
        <v>7036</v>
      </c>
      <c r="C1079" s="307" t="s">
        <v>5814</v>
      </c>
      <c r="D1079" s="307" t="s">
        <v>7037</v>
      </c>
      <c r="E1079" s="307" t="s">
        <v>3905</v>
      </c>
      <c r="F1079" s="307" t="s">
        <v>3906</v>
      </c>
      <c r="G1079" s="307" t="s">
        <v>3907</v>
      </c>
    </row>
    <row r="1080" spans="1:7" ht="13.5">
      <c r="A1080" s="307" t="s">
        <v>7038</v>
      </c>
      <c r="B1080" s="307" t="s">
        <v>7039</v>
      </c>
      <c r="C1080" s="307" t="s">
        <v>5814</v>
      </c>
      <c r="D1080" s="307" t="s">
        <v>7040</v>
      </c>
      <c r="E1080" s="307" t="s">
        <v>3905</v>
      </c>
      <c r="F1080" s="307" t="s">
        <v>3906</v>
      </c>
      <c r="G1080" s="307" t="s">
        <v>3907</v>
      </c>
    </row>
    <row r="1081" spans="1:7" ht="13.5">
      <c r="A1081" s="307" t="s">
        <v>7041</v>
      </c>
      <c r="B1081" s="307" t="s">
        <v>7042</v>
      </c>
      <c r="C1081" s="307" t="s">
        <v>5814</v>
      </c>
      <c r="D1081" s="307" t="s">
        <v>7043</v>
      </c>
      <c r="E1081" s="307" t="s">
        <v>4021</v>
      </c>
      <c r="F1081" s="307" t="s">
        <v>3906</v>
      </c>
      <c r="G1081" s="307" t="s">
        <v>3907</v>
      </c>
    </row>
    <row r="1082" spans="1:7" ht="13.5">
      <c r="A1082" s="307" t="s">
        <v>7044</v>
      </c>
      <c r="B1082" s="307" t="s">
        <v>7045</v>
      </c>
      <c r="C1082" s="307" t="s">
        <v>5814</v>
      </c>
      <c r="D1082" s="307" t="s">
        <v>7046</v>
      </c>
      <c r="E1082" s="307" t="s">
        <v>3905</v>
      </c>
      <c r="F1082" s="307" t="s">
        <v>3906</v>
      </c>
      <c r="G1082" s="307" t="s">
        <v>3907</v>
      </c>
    </row>
    <row r="1083" spans="1:7" ht="13.5">
      <c r="A1083" s="307" t="s">
        <v>7047</v>
      </c>
      <c r="B1083" s="307" t="s">
        <v>7048</v>
      </c>
      <c r="C1083" s="307" t="s">
        <v>5814</v>
      </c>
      <c r="D1083" s="307" t="s">
        <v>7049</v>
      </c>
      <c r="E1083" s="307" t="s">
        <v>3905</v>
      </c>
      <c r="F1083" s="307" t="s">
        <v>3906</v>
      </c>
      <c r="G1083" s="307" t="s">
        <v>3907</v>
      </c>
    </row>
    <row r="1084" spans="1:7" ht="13.5">
      <c r="A1084" s="307" t="s">
        <v>7050</v>
      </c>
      <c r="B1084" s="307" t="s">
        <v>7051</v>
      </c>
      <c r="C1084" s="307" t="s">
        <v>5814</v>
      </c>
      <c r="D1084" s="307" t="s">
        <v>7052</v>
      </c>
      <c r="E1084" s="307" t="s">
        <v>3905</v>
      </c>
      <c r="F1084" s="307" t="s">
        <v>3906</v>
      </c>
      <c r="G1084" s="307" t="s">
        <v>3907</v>
      </c>
    </row>
    <row r="1085" spans="1:7" ht="13.5">
      <c r="A1085" s="307" t="s">
        <v>7053</v>
      </c>
      <c r="B1085" s="307" t="s">
        <v>7054</v>
      </c>
      <c r="C1085" s="307" t="s">
        <v>5814</v>
      </c>
      <c r="D1085" s="307" t="s">
        <v>7055</v>
      </c>
      <c r="E1085" s="307" t="s">
        <v>3905</v>
      </c>
      <c r="F1085" s="307" t="s">
        <v>3906</v>
      </c>
      <c r="G1085" s="307" t="s">
        <v>3907</v>
      </c>
    </row>
    <row r="1086" spans="1:7" ht="13.5">
      <c r="A1086" s="307" t="s">
        <v>7056</v>
      </c>
      <c r="B1086" s="307" t="s">
        <v>7057</v>
      </c>
      <c r="C1086" s="307" t="s">
        <v>5814</v>
      </c>
      <c r="D1086" s="307" t="s">
        <v>7058</v>
      </c>
      <c r="E1086" s="307" t="s">
        <v>3905</v>
      </c>
      <c r="F1086" s="307" t="s">
        <v>3906</v>
      </c>
      <c r="G1086" s="307" t="s">
        <v>3907</v>
      </c>
    </row>
    <row r="1087" spans="1:7" ht="13.5">
      <c r="A1087" s="307" t="s">
        <v>7059</v>
      </c>
      <c r="B1087" s="307" t="s">
        <v>7060</v>
      </c>
      <c r="C1087" s="307" t="s">
        <v>5814</v>
      </c>
      <c r="D1087" s="307" t="s">
        <v>7061</v>
      </c>
      <c r="E1087" s="307" t="s">
        <v>3905</v>
      </c>
      <c r="F1087" s="307" t="s">
        <v>3906</v>
      </c>
      <c r="G1087" s="307" t="s">
        <v>3907</v>
      </c>
    </row>
    <row r="1088" spans="1:7" ht="13.5">
      <c r="A1088" s="307" t="s">
        <v>7062</v>
      </c>
      <c r="B1088" s="307" t="s">
        <v>7063</v>
      </c>
      <c r="C1088" s="307" t="s">
        <v>5814</v>
      </c>
      <c r="D1088" s="307" t="s">
        <v>7064</v>
      </c>
      <c r="E1088" s="307" t="s">
        <v>3905</v>
      </c>
      <c r="F1088" s="307" t="s">
        <v>3906</v>
      </c>
      <c r="G1088" s="307" t="s">
        <v>3907</v>
      </c>
    </row>
    <row r="1089" spans="1:7" ht="13.5">
      <c r="A1089" s="307" t="s">
        <v>7065</v>
      </c>
      <c r="B1089" s="307" t="s">
        <v>7066</v>
      </c>
      <c r="C1089" s="307" t="s">
        <v>5814</v>
      </c>
      <c r="D1089" s="307" t="s">
        <v>7067</v>
      </c>
      <c r="E1089" s="307" t="s">
        <v>3905</v>
      </c>
      <c r="F1089" s="307" t="s">
        <v>3906</v>
      </c>
      <c r="G1089" s="307" t="s">
        <v>3907</v>
      </c>
    </row>
    <row r="1090" spans="1:7" ht="13.5">
      <c r="A1090" s="307" t="s">
        <v>7068</v>
      </c>
      <c r="B1090" s="307" t="s">
        <v>7069</v>
      </c>
      <c r="C1090" s="307" t="s">
        <v>5814</v>
      </c>
      <c r="D1090" s="307" t="s">
        <v>7070</v>
      </c>
      <c r="E1090" s="307" t="s">
        <v>3905</v>
      </c>
      <c r="F1090" s="307" t="s">
        <v>3906</v>
      </c>
      <c r="G1090" s="307" t="s">
        <v>3907</v>
      </c>
    </row>
    <row r="1091" spans="1:7" ht="13.5">
      <c r="A1091" s="307" t="s">
        <v>7071</v>
      </c>
      <c r="B1091" s="307" t="s">
        <v>7072</v>
      </c>
      <c r="C1091" s="307" t="s">
        <v>5814</v>
      </c>
      <c r="D1091" s="307" t="s">
        <v>7073</v>
      </c>
      <c r="E1091" s="307" t="s">
        <v>3905</v>
      </c>
      <c r="F1091" s="307" t="s">
        <v>3906</v>
      </c>
      <c r="G1091" s="307" t="s">
        <v>3907</v>
      </c>
    </row>
    <row r="1092" spans="1:7" ht="13.5">
      <c r="A1092" s="307" t="s">
        <v>7074</v>
      </c>
      <c r="B1092" s="307" t="s">
        <v>7075</v>
      </c>
      <c r="C1092" s="307" t="s">
        <v>5814</v>
      </c>
      <c r="D1092" s="307" t="s">
        <v>7076</v>
      </c>
      <c r="E1092" s="307" t="s">
        <v>3905</v>
      </c>
      <c r="F1092" s="307" t="s">
        <v>3906</v>
      </c>
      <c r="G1092" s="307" t="s">
        <v>3907</v>
      </c>
    </row>
    <row r="1093" spans="1:7" ht="13.5">
      <c r="A1093" s="307" t="s">
        <v>7077</v>
      </c>
      <c r="B1093" s="307" t="s">
        <v>7078</v>
      </c>
      <c r="C1093" s="307" t="s">
        <v>5814</v>
      </c>
      <c r="D1093" s="307" t="s">
        <v>7079</v>
      </c>
      <c r="E1093" s="307" t="s">
        <v>3905</v>
      </c>
      <c r="F1093" s="307" t="s">
        <v>3906</v>
      </c>
      <c r="G1093" s="307" t="s">
        <v>3907</v>
      </c>
    </row>
    <row r="1094" spans="1:7" ht="13.5">
      <c r="A1094" s="307" t="s">
        <v>7080</v>
      </c>
      <c r="B1094" s="307" t="s">
        <v>7081</v>
      </c>
      <c r="C1094" s="307" t="s">
        <v>5814</v>
      </c>
      <c r="D1094" s="307" t="s">
        <v>7082</v>
      </c>
      <c r="E1094" s="307" t="s">
        <v>3905</v>
      </c>
      <c r="F1094" s="307" t="s">
        <v>3906</v>
      </c>
      <c r="G1094" s="307" t="s">
        <v>3907</v>
      </c>
    </row>
    <row r="1095" spans="1:7" ht="13.5">
      <c r="A1095" s="307" t="s">
        <v>7083</v>
      </c>
      <c r="B1095" s="307" t="s">
        <v>7084</v>
      </c>
      <c r="C1095" s="307" t="s">
        <v>5814</v>
      </c>
      <c r="D1095" s="307" t="s">
        <v>7085</v>
      </c>
      <c r="E1095" s="307" t="s">
        <v>3905</v>
      </c>
      <c r="F1095" s="307" t="s">
        <v>3906</v>
      </c>
      <c r="G1095" s="307" t="s">
        <v>3907</v>
      </c>
    </row>
    <row r="1096" spans="1:7" ht="13.5">
      <c r="A1096" s="307" t="s">
        <v>7086</v>
      </c>
      <c r="B1096" s="307" t="s">
        <v>7087</v>
      </c>
      <c r="C1096" s="307" t="s">
        <v>5814</v>
      </c>
      <c r="D1096" s="307" t="s">
        <v>7088</v>
      </c>
      <c r="E1096" s="307" t="s">
        <v>3905</v>
      </c>
      <c r="F1096" s="307" t="s">
        <v>3906</v>
      </c>
      <c r="G1096" s="307" t="s">
        <v>3907</v>
      </c>
    </row>
    <row r="1097" spans="1:7" ht="13.5">
      <c r="A1097" s="307" t="s">
        <v>7089</v>
      </c>
      <c r="B1097" s="307" t="s">
        <v>7090</v>
      </c>
      <c r="C1097" s="307" t="s">
        <v>5814</v>
      </c>
      <c r="D1097" s="307" t="s">
        <v>7091</v>
      </c>
      <c r="E1097" s="307" t="s">
        <v>4021</v>
      </c>
      <c r="F1097" s="307" t="s">
        <v>3906</v>
      </c>
      <c r="G1097" s="307" t="s">
        <v>3907</v>
      </c>
    </row>
    <row r="1098" spans="1:7" ht="13.5">
      <c r="A1098" s="307" t="s">
        <v>7092</v>
      </c>
      <c r="B1098" s="307" t="s">
        <v>7093</v>
      </c>
      <c r="C1098" s="307" t="s">
        <v>5814</v>
      </c>
      <c r="D1098" s="307" t="s">
        <v>7094</v>
      </c>
      <c r="E1098" s="307" t="s">
        <v>3905</v>
      </c>
      <c r="F1098" s="307" t="s">
        <v>3906</v>
      </c>
      <c r="G1098" s="307" t="s">
        <v>3907</v>
      </c>
    </row>
    <row r="1099" spans="1:7" ht="13.5">
      <c r="A1099" s="307" t="s">
        <v>7095</v>
      </c>
      <c r="B1099" s="307" t="s">
        <v>7096</v>
      </c>
      <c r="C1099" s="307" t="s">
        <v>5814</v>
      </c>
      <c r="D1099" s="307" t="s">
        <v>7097</v>
      </c>
      <c r="E1099" s="307" t="s">
        <v>3905</v>
      </c>
      <c r="F1099" s="307" t="s">
        <v>3906</v>
      </c>
      <c r="G1099" s="307" t="s">
        <v>3907</v>
      </c>
    </row>
    <row r="1100" spans="1:7" ht="13.5">
      <c r="A1100" s="307" t="s">
        <v>7098</v>
      </c>
      <c r="B1100" s="307" t="s">
        <v>7099</v>
      </c>
      <c r="C1100" s="307" t="s">
        <v>5814</v>
      </c>
      <c r="D1100" s="307" t="s">
        <v>7100</v>
      </c>
      <c r="E1100" s="307" t="s">
        <v>3905</v>
      </c>
      <c r="F1100" s="307" t="s">
        <v>3906</v>
      </c>
      <c r="G1100" s="307" t="s">
        <v>3907</v>
      </c>
    </row>
    <row r="1101" spans="1:7" ht="13.5">
      <c r="A1101" s="307" t="s">
        <v>7101</v>
      </c>
      <c r="B1101" s="307" t="s">
        <v>7102</v>
      </c>
      <c r="C1101" s="307" t="s">
        <v>5814</v>
      </c>
      <c r="D1101" s="307" t="s">
        <v>7103</v>
      </c>
      <c r="E1101" s="307" t="s">
        <v>3905</v>
      </c>
      <c r="F1101" s="307" t="s">
        <v>3906</v>
      </c>
      <c r="G1101" s="307" t="s">
        <v>3907</v>
      </c>
    </row>
    <row r="1102" spans="1:7" ht="13.5">
      <c r="A1102" s="307" t="s">
        <v>7104</v>
      </c>
      <c r="B1102" s="307" t="s">
        <v>7105</v>
      </c>
      <c r="C1102" s="307" t="s">
        <v>5814</v>
      </c>
      <c r="D1102" s="307" t="s">
        <v>7106</v>
      </c>
      <c r="E1102" s="307" t="s">
        <v>3905</v>
      </c>
      <c r="F1102" s="307" t="s">
        <v>3906</v>
      </c>
      <c r="G1102" s="307" t="s">
        <v>3907</v>
      </c>
    </row>
    <row r="1103" spans="1:7" ht="13.5">
      <c r="A1103" s="307" t="s">
        <v>7107</v>
      </c>
      <c r="B1103" s="307" t="s">
        <v>7108</v>
      </c>
      <c r="C1103" s="307" t="s">
        <v>5814</v>
      </c>
      <c r="D1103" s="307" t="s">
        <v>7109</v>
      </c>
      <c r="E1103" s="307" t="s">
        <v>4021</v>
      </c>
      <c r="F1103" s="307" t="s">
        <v>3906</v>
      </c>
      <c r="G1103" s="307" t="s">
        <v>3907</v>
      </c>
    </row>
    <row r="1104" spans="1:7" ht="13.5">
      <c r="A1104" s="307" t="s">
        <v>7110</v>
      </c>
      <c r="B1104" s="307" t="s">
        <v>7111</v>
      </c>
      <c r="C1104" s="307" t="s">
        <v>5814</v>
      </c>
      <c r="D1104" s="307" t="s">
        <v>7112</v>
      </c>
      <c r="E1104" s="307" t="s">
        <v>3905</v>
      </c>
      <c r="F1104" s="307" t="s">
        <v>3906</v>
      </c>
      <c r="G1104" s="307" t="s">
        <v>3907</v>
      </c>
    </row>
    <row r="1105" spans="1:7" ht="13.5">
      <c r="A1105" s="307" t="s">
        <v>7113</v>
      </c>
      <c r="B1105" s="307" t="s">
        <v>7114</v>
      </c>
      <c r="C1105" s="307" t="s">
        <v>5814</v>
      </c>
      <c r="D1105" s="307" t="s">
        <v>7115</v>
      </c>
      <c r="E1105" s="307" t="s">
        <v>3905</v>
      </c>
      <c r="F1105" s="307" t="s">
        <v>3906</v>
      </c>
      <c r="G1105" s="307" t="s">
        <v>3907</v>
      </c>
    </row>
    <row r="1106" spans="1:7" ht="13.5">
      <c r="A1106" s="307" t="s">
        <v>7116</v>
      </c>
      <c r="B1106" s="307" t="s">
        <v>7117</v>
      </c>
      <c r="C1106" s="307" t="s">
        <v>5814</v>
      </c>
      <c r="D1106" s="307" t="s">
        <v>7118</v>
      </c>
      <c r="E1106" s="307" t="s">
        <v>3905</v>
      </c>
      <c r="F1106" s="307" t="s">
        <v>3906</v>
      </c>
      <c r="G1106" s="307" t="s">
        <v>3907</v>
      </c>
    </row>
    <row r="1107" spans="1:7" ht="13.5">
      <c r="A1107" s="307" t="s">
        <v>7119</v>
      </c>
      <c r="B1107" s="307" t="s">
        <v>7120</v>
      </c>
      <c r="C1107" s="307" t="s">
        <v>5814</v>
      </c>
      <c r="D1107" s="307" t="s">
        <v>7121</v>
      </c>
      <c r="E1107" s="307" t="s">
        <v>3905</v>
      </c>
      <c r="F1107" s="307" t="s">
        <v>3906</v>
      </c>
      <c r="G1107" s="307" t="s">
        <v>3907</v>
      </c>
    </row>
    <row r="1108" spans="1:7" ht="13.5">
      <c r="A1108" s="307" t="s">
        <v>7122</v>
      </c>
      <c r="B1108" s="307" t="s">
        <v>7123</v>
      </c>
      <c r="C1108" s="307" t="s">
        <v>5814</v>
      </c>
      <c r="D1108" s="307" t="s">
        <v>7124</v>
      </c>
      <c r="E1108" s="307" t="s">
        <v>3905</v>
      </c>
      <c r="F1108" s="307" t="s">
        <v>3906</v>
      </c>
      <c r="G1108" s="307" t="s">
        <v>3907</v>
      </c>
    </row>
    <row r="1109" spans="1:7" ht="13.5">
      <c r="A1109" s="307" t="s">
        <v>7125</v>
      </c>
      <c r="B1109" s="307" t="s">
        <v>7126</v>
      </c>
      <c r="C1109" s="307" t="s">
        <v>5814</v>
      </c>
      <c r="D1109" s="307" t="s">
        <v>7127</v>
      </c>
      <c r="E1109" s="307" t="s">
        <v>3905</v>
      </c>
      <c r="F1109" s="307" t="s">
        <v>3906</v>
      </c>
      <c r="G1109" s="307" t="s">
        <v>3907</v>
      </c>
    </row>
    <row r="1110" spans="1:7" ht="13.5">
      <c r="A1110" s="307" t="s">
        <v>7128</v>
      </c>
      <c r="B1110" s="307" t="s">
        <v>7129</v>
      </c>
      <c r="C1110" s="307" t="s">
        <v>5814</v>
      </c>
      <c r="D1110" s="307" t="s">
        <v>3276</v>
      </c>
      <c r="E1110" s="307" t="s">
        <v>3905</v>
      </c>
      <c r="F1110" s="307" t="s">
        <v>3906</v>
      </c>
      <c r="G1110" s="307" t="s">
        <v>3907</v>
      </c>
    </row>
    <row r="1111" spans="1:7" ht="13.5">
      <c r="A1111" s="307" t="s">
        <v>7130</v>
      </c>
      <c r="B1111" s="307" t="s">
        <v>7131</v>
      </c>
      <c r="C1111" s="307" t="s">
        <v>5814</v>
      </c>
      <c r="D1111" s="307" t="s">
        <v>7132</v>
      </c>
      <c r="E1111" s="307" t="s">
        <v>3905</v>
      </c>
      <c r="F1111" s="307" t="s">
        <v>3906</v>
      </c>
      <c r="G1111" s="307" t="s">
        <v>3907</v>
      </c>
    </row>
    <row r="1112" spans="1:7" ht="13.5">
      <c r="A1112" s="307" t="s">
        <v>7133</v>
      </c>
      <c r="B1112" s="307" t="s">
        <v>7134</v>
      </c>
      <c r="C1112" s="307" t="s">
        <v>5814</v>
      </c>
      <c r="D1112" s="307" t="s">
        <v>7135</v>
      </c>
      <c r="E1112" s="307" t="s">
        <v>3905</v>
      </c>
      <c r="F1112" s="307" t="s">
        <v>3906</v>
      </c>
      <c r="G1112" s="307" t="s">
        <v>3907</v>
      </c>
    </row>
    <row r="1113" spans="1:7" ht="13.5">
      <c r="A1113" s="307" t="s">
        <v>7136</v>
      </c>
      <c r="B1113" s="307" t="s">
        <v>7137</v>
      </c>
      <c r="C1113" s="307" t="s">
        <v>5814</v>
      </c>
      <c r="D1113" s="307" t="s">
        <v>7138</v>
      </c>
      <c r="E1113" s="307" t="s">
        <v>3905</v>
      </c>
      <c r="F1113" s="307" t="s">
        <v>3906</v>
      </c>
      <c r="G1113" s="307" t="s">
        <v>3907</v>
      </c>
    </row>
    <row r="1114" spans="1:7" ht="13.5">
      <c r="A1114" s="307" t="s">
        <v>7139</v>
      </c>
      <c r="B1114" s="307" t="s">
        <v>7140</v>
      </c>
      <c r="C1114" s="307" t="s">
        <v>5814</v>
      </c>
      <c r="D1114" s="307" t="s">
        <v>7141</v>
      </c>
      <c r="E1114" s="307" t="s">
        <v>3905</v>
      </c>
      <c r="F1114" s="307" t="s">
        <v>3906</v>
      </c>
      <c r="G1114" s="307" t="s">
        <v>3907</v>
      </c>
    </row>
    <row r="1115" spans="1:7" ht="13.5">
      <c r="A1115" s="307" t="s">
        <v>7142</v>
      </c>
      <c r="B1115" s="307" t="s">
        <v>7143</v>
      </c>
      <c r="C1115" s="307" t="s">
        <v>5814</v>
      </c>
      <c r="D1115" s="307" t="s">
        <v>7144</v>
      </c>
      <c r="E1115" s="307" t="s">
        <v>3905</v>
      </c>
      <c r="F1115" s="307" t="s">
        <v>3906</v>
      </c>
      <c r="G1115" s="307" t="s">
        <v>3907</v>
      </c>
    </row>
    <row r="1116" spans="1:7" ht="13.5">
      <c r="A1116" s="307" t="s">
        <v>7145</v>
      </c>
      <c r="B1116" s="307" t="s">
        <v>7146</v>
      </c>
      <c r="C1116" s="307" t="s">
        <v>5814</v>
      </c>
      <c r="D1116" s="307" t="s">
        <v>1331</v>
      </c>
      <c r="E1116" s="307" t="s">
        <v>3905</v>
      </c>
      <c r="F1116" s="307" t="s">
        <v>3906</v>
      </c>
      <c r="G1116" s="307" t="s">
        <v>3907</v>
      </c>
    </row>
    <row r="1117" spans="1:7" ht="13.5">
      <c r="A1117" s="307" t="s">
        <v>7147</v>
      </c>
      <c r="B1117" s="307" t="s">
        <v>7148</v>
      </c>
      <c r="C1117" s="307" t="s">
        <v>5814</v>
      </c>
      <c r="D1117" s="307" t="s">
        <v>7149</v>
      </c>
      <c r="E1117" s="307" t="s">
        <v>3905</v>
      </c>
      <c r="F1117" s="307" t="s">
        <v>3906</v>
      </c>
      <c r="G1117" s="307" t="s">
        <v>3907</v>
      </c>
    </row>
    <row r="1118" spans="1:7" ht="13.5">
      <c r="A1118" s="307" t="s">
        <v>7150</v>
      </c>
      <c r="B1118" s="307" t="s">
        <v>7151</v>
      </c>
      <c r="C1118" s="307" t="s">
        <v>5814</v>
      </c>
      <c r="D1118" s="307" t="s">
        <v>7152</v>
      </c>
      <c r="E1118" s="307" t="s">
        <v>3905</v>
      </c>
      <c r="F1118" s="307" t="s">
        <v>3906</v>
      </c>
      <c r="G1118" s="307" t="s">
        <v>3907</v>
      </c>
    </row>
    <row r="1119" spans="1:7" ht="13.5">
      <c r="A1119" s="307" t="s">
        <v>7153</v>
      </c>
      <c r="B1119" s="307" t="s">
        <v>7154</v>
      </c>
      <c r="C1119" s="307" t="s">
        <v>5814</v>
      </c>
      <c r="D1119" s="307" t="s">
        <v>7155</v>
      </c>
      <c r="E1119" s="307" t="s">
        <v>3905</v>
      </c>
      <c r="F1119" s="307" t="s">
        <v>3906</v>
      </c>
      <c r="G1119" s="307" t="s">
        <v>3907</v>
      </c>
    </row>
    <row r="1120" spans="1:7" ht="13.5">
      <c r="A1120" s="307" t="s">
        <v>7156</v>
      </c>
      <c r="B1120" s="307" t="s">
        <v>7157</v>
      </c>
      <c r="C1120" s="307" t="s">
        <v>5814</v>
      </c>
      <c r="D1120" s="307" t="s">
        <v>7158</v>
      </c>
      <c r="E1120" s="307" t="s">
        <v>3905</v>
      </c>
      <c r="F1120" s="307" t="s">
        <v>3906</v>
      </c>
      <c r="G1120" s="307" t="s">
        <v>3907</v>
      </c>
    </row>
    <row r="1121" spans="1:7" ht="13.5">
      <c r="A1121" s="307" t="s">
        <v>7159</v>
      </c>
      <c r="B1121" s="307" t="s">
        <v>7160</v>
      </c>
      <c r="C1121" s="307" t="s">
        <v>5814</v>
      </c>
      <c r="D1121" s="307" t="s">
        <v>7161</v>
      </c>
      <c r="E1121" s="307" t="s">
        <v>3905</v>
      </c>
      <c r="F1121" s="307" t="s">
        <v>3906</v>
      </c>
      <c r="G1121" s="307" t="s">
        <v>3907</v>
      </c>
    </row>
    <row r="1122" spans="1:7" ht="13.5">
      <c r="A1122" s="307" t="s">
        <v>7162</v>
      </c>
      <c r="B1122" s="307" t="s">
        <v>7163</v>
      </c>
      <c r="C1122" s="307" t="s">
        <v>5814</v>
      </c>
      <c r="D1122" s="307" t="s">
        <v>7164</v>
      </c>
      <c r="E1122" s="307" t="s">
        <v>3905</v>
      </c>
      <c r="F1122" s="307" t="s">
        <v>3906</v>
      </c>
      <c r="G1122" s="307" t="s">
        <v>3907</v>
      </c>
    </row>
    <row r="1123" spans="1:7" ht="13.5">
      <c r="A1123" s="307" t="s">
        <v>7165</v>
      </c>
      <c r="B1123" s="307" t="s">
        <v>7166</v>
      </c>
      <c r="C1123" s="307" t="s">
        <v>5814</v>
      </c>
      <c r="D1123" s="307" t="s">
        <v>7167</v>
      </c>
      <c r="E1123" s="307" t="s">
        <v>3905</v>
      </c>
      <c r="F1123" s="307" t="s">
        <v>3906</v>
      </c>
      <c r="G1123" s="307" t="s">
        <v>3907</v>
      </c>
    </row>
    <row r="1124" spans="1:7" ht="13.5">
      <c r="A1124" s="307" t="s">
        <v>7168</v>
      </c>
      <c r="B1124" s="307" t="s">
        <v>7169</v>
      </c>
      <c r="C1124" s="307" t="s">
        <v>5814</v>
      </c>
      <c r="D1124" s="307" t="s">
        <v>7170</v>
      </c>
      <c r="E1124" s="307" t="s">
        <v>3905</v>
      </c>
      <c r="F1124" s="307" t="s">
        <v>3906</v>
      </c>
      <c r="G1124" s="307" t="s">
        <v>3907</v>
      </c>
    </row>
    <row r="1125" spans="1:7" ht="13.5">
      <c r="A1125" s="307" t="s">
        <v>7171</v>
      </c>
      <c r="B1125" s="307" t="s">
        <v>7172</v>
      </c>
      <c r="C1125" s="307" t="s">
        <v>5814</v>
      </c>
      <c r="D1125" s="307" t="s">
        <v>7173</v>
      </c>
      <c r="E1125" s="307" t="s">
        <v>3905</v>
      </c>
      <c r="F1125" s="307" t="s">
        <v>3906</v>
      </c>
      <c r="G1125" s="307" t="s">
        <v>3907</v>
      </c>
    </row>
    <row r="1126" spans="1:7" ht="13.5">
      <c r="A1126" s="307" t="s">
        <v>7174</v>
      </c>
      <c r="B1126" s="307" t="s">
        <v>7175</v>
      </c>
      <c r="C1126" s="307" t="s">
        <v>5814</v>
      </c>
      <c r="D1126" s="307" t="s">
        <v>7176</v>
      </c>
      <c r="E1126" s="307" t="s">
        <v>3905</v>
      </c>
      <c r="F1126" s="307" t="s">
        <v>3906</v>
      </c>
      <c r="G1126" s="307" t="s">
        <v>3907</v>
      </c>
    </row>
    <row r="1127" spans="1:7" ht="13.5">
      <c r="A1127" s="307" t="s">
        <v>7177</v>
      </c>
      <c r="B1127" s="307" t="s">
        <v>7178</v>
      </c>
      <c r="C1127" s="307" t="s">
        <v>5814</v>
      </c>
      <c r="D1127" s="307" t="s">
        <v>7179</v>
      </c>
      <c r="E1127" s="307" t="s">
        <v>3905</v>
      </c>
      <c r="F1127" s="307" t="s">
        <v>3906</v>
      </c>
      <c r="G1127" s="307" t="s">
        <v>3907</v>
      </c>
    </row>
    <row r="1128" spans="1:7" ht="13.5">
      <c r="A1128" s="307" t="s">
        <v>7180</v>
      </c>
      <c r="B1128" s="307" t="s">
        <v>7181</v>
      </c>
      <c r="C1128" s="307" t="s">
        <v>5814</v>
      </c>
      <c r="D1128" s="307" t="s">
        <v>7181</v>
      </c>
      <c r="E1128" s="307" t="s">
        <v>3905</v>
      </c>
      <c r="F1128" s="307" t="s">
        <v>3906</v>
      </c>
      <c r="G1128" s="307" t="s">
        <v>3907</v>
      </c>
    </row>
    <row r="1129" spans="1:7" ht="13.5">
      <c r="A1129" s="307" t="s">
        <v>7182</v>
      </c>
      <c r="B1129" s="307" t="s">
        <v>7183</v>
      </c>
      <c r="C1129" s="307" t="s">
        <v>5814</v>
      </c>
      <c r="D1129" s="307" t="s">
        <v>1345</v>
      </c>
      <c r="E1129" s="307" t="s">
        <v>3905</v>
      </c>
      <c r="F1129" s="307" t="s">
        <v>3906</v>
      </c>
      <c r="G1129" s="307" t="s">
        <v>3907</v>
      </c>
    </row>
    <row r="1130" spans="1:7" ht="13.5">
      <c r="A1130" s="307" t="s">
        <v>7184</v>
      </c>
      <c r="B1130" s="307" t="s">
        <v>7185</v>
      </c>
      <c r="C1130" s="307" t="s">
        <v>5814</v>
      </c>
      <c r="D1130" s="307" t="s">
        <v>7186</v>
      </c>
      <c r="E1130" s="307" t="s">
        <v>3905</v>
      </c>
      <c r="F1130" s="307" t="s">
        <v>3906</v>
      </c>
      <c r="G1130" s="307" t="s">
        <v>3907</v>
      </c>
    </row>
    <row r="1131" spans="1:7" ht="13.5">
      <c r="A1131" s="307" t="s">
        <v>7187</v>
      </c>
      <c r="B1131" s="307" t="s">
        <v>7188</v>
      </c>
      <c r="C1131" s="307" t="s">
        <v>5814</v>
      </c>
      <c r="D1131" s="307" t="s">
        <v>7189</v>
      </c>
      <c r="E1131" s="307" t="s">
        <v>3905</v>
      </c>
      <c r="F1131" s="307" t="s">
        <v>3906</v>
      </c>
      <c r="G1131" s="307" t="s">
        <v>3907</v>
      </c>
    </row>
    <row r="1132" spans="1:7" ht="13.5">
      <c r="A1132" s="307" t="s">
        <v>7190</v>
      </c>
      <c r="B1132" s="307" t="s">
        <v>7191</v>
      </c>
      <c r="C1132" s="307" t="s">
        <v>5814</v>
      </c>
      <c r="D1132" s="307" t="s">
        <v>7192</v>
      </c>
      <c r="E1132" s="307" t="s">
        <v>3905</v>
      </c>
      <c r="F1132" s="307" t="s">
        <v>3906</v>
      </c>
      <c r="G1132" s="307" t="s">
        <v>3907</v>
      </c>
    </row>
    <row r="1133" spans="1:7" ht="13.5">
      <c r="A1133" s="307" t="s">
        <v>7193</v>
      </c>
      <c r="B1133" s="307" t="s">
        <v>846</v>
      </c>
      <c r="C1133" s="307" t="s">
        <v>5814</v>
      </c>
      <c r="D1133" s="307" t="s">
        <v>7194</v>
      </c>
      <c r="E1133" s="307" t="s">
        <v>3905</v>
      </c>
      <c r="F1133" s="307" t="s">
        <v>3906</v>
      </c>
      <c r="G1133" s="307" t="s">
        <v>3907</v>
      </c>
    </row>
    <row r="1134" spans="1:7" ht="13.5">
      <c r="A1134" s="307" t="s">
        <v>7195</v>
      </c>
      <c r="B1134" s="307" t="s">
        <v>7196</v>
      </c>
      <c r="C1134" s="307" t="s">
        <v>5814</v>
      </c>
      <c r="D1134" s="307" t="s">
        <v>7197</v>
      </c>
      <c r="E1134" s="307" t="s">
        <v>3905</v>
      </c>
      <c r="F1134" s="307" t="s">
        <v>3906</v>
      </c>
      <c r="G1134" s="307" t="s">
        <v>3907</v>
      </c>
    </row>
    <row r="1135" spans="1:7" ht="13.5">
      <c r="A1135" s="307" t="s">
        <v>7198</v>
      </c>
      <c r="B1135" s="307" t="s">
        <v>7199</v>
      </c>
      <c r="C1135" s="307" t="s">
        <v>5814</v>
      </c>
      <c r="D1135" s="307" t="s">
        <v>7200</v>
      </c>
      <c r="E1135" s="307" t="s">
        <v>3905</v>
      </c>
      <c r="F1135" s="307" t="s">
        <v>3906</v>
      </c>
      <c r="G1135" s="307" t="s">
        <v>3907</v>
      </c>
    </row>
    <row r="1136" spans="1:7" ht="13.5">
      <c r="A1136" s="307" t="s">
        <v>7201</v>
      </c>
      <c r="B1136" s="307" t="s">
        <v>7202</v>
      </c>
      <c r="C1136" s="307" t="s">
        <v>5814</v>
      </c>
      <c r="D1136" s="307" t="s">
        <v>7203</v>
      </c>
      <c r="E1136" s="307" t="s">
        <v>3905</v>
      </c>
      <c r="F1136" s="307" t="s">
        <v>3906</v>
      </c>
      <c r="G1136" s="307" t="s">
        <v>3907</v>
      </c>
    </row>
    <row r="1137" spans="1:7" ht="13.5">
      <c r="A1137" s="307" t="s">
        <v>7204</v>
      </c>
      <c r="B1137" s="307" t="s">
        <v>7205</v>
      </c>
      <c r="C1137" s="307" t="s">
        <v>5814</v>
      </c>
      <c r="D1137" s="307" t="s">
        <v>7203</v>
      </c>
      <c r="E1137" s="307" t="s">
        <v>3905</v>
      </c>
      <c r="F1137" s="307" t="s">
        <v>3906</v>
      </c>
      <c r="G1137" s="307" t="s">
        <v>3907</v>
      </c>
    </row>
    <row r="1138" spans="1:7" ht="13.5">
      <c r="A1138" s="307" t="s">
        <v>7206</v>
      </c>
      <c r="B1138" s="307" t="s">
        <v>7207</v>
      </c>
      <c r="C1138" s="307" t="s">
        <v>5814</v>
      </c>
      <c r="D1138" s="307" t="s">
        <v>7208</v>
      </c>
      <c r="E1138" s="307" t="s">
        <v>3905</v>
      </c>
      <c r="F1138" s="307" t="s">
        <v>3906</v>
      </c>
      <c r="G1138" s="307" t="s">
        <v>3907</v>
      </c>
    </row>
    <row r="1139" spans="1:7" ht="13.5">
      <c r="A1139" s="307" t="s">
        <v>7209</v>
      </c>
      <c r="B1139" s="307" t="s">
        <v>7210</v>
      </c>
      <c r="C1139" s="307" t="s">
        <v>5814</v>
      </c>
      <c r="D1139" s="307" t="s">
        <v>7211</v>
      </c>
      <c r="E1139" s="307" t="s">
        <v>3905</v>
      </c>
      <c r="F1139" s="307" t="s">
        <v>3906</v>
      </c>
      <c r="G1139" s="307" t="s">
        <v>3907</v>
      </c>
    </row>
    <row r="1140" spans="1:7" ht="13.5">
      <c r="A1140" s="307" t="s">
        <v>7212</v>
      </c>
      <c r="B1140" s="307" t="s">
        <v>7213</v>
      </c>
      <c r="C1140" s="307" t="s">
        <v>5814</v>
      </c>
      <c r="D1140" s="307" t="s">
        <v>7214</v>
      </c>
      <c r="E1140" s="307" t="s">
        <v>4021</v>
      </c>
      <c r="F1140" s="307" t="s">
        <v>3906</v>
      </c>
      <c r="G1140" s="307" t="s">
        <v>3907</v>
      </c>
    </row>
    <row r="1141" spans="1:7" ht="13.5">
      <c r="A1141" s="307" t="s">
        <v>7215</v>
      </c>
      <c r="B1141" s="307" t="s">
        <v>7216</v>
      </c>
      <c r="C1141" s="307" t="s">
        <v>5814</v>
      </c>
      <c r="D1141" s="307" t="s">
        <v>7217</v>
      </c>
      <c r="E1141" s="307" t="s">
        <v>3905</v>
      </c>
      <c r="F1141" s="307" t="s">
        <v>3906</v>
      </c>
      <c r="G1141" s="307" t="s">
        <v>3907</v>
      </c>
    </row>
    <row r="1142" spans="1:7" ht="13.5">
      <c r="A1142" s="307" t="s">
        <v>7218</v>
      </c>
      <c r="B1142" s="307" t="s">
        <v>7219</v>
      </c>
      <c r="C1142" s="307" t="s">
        <v>5814</v>
      </c>
      <c r="D1142" s="307" t="s">
        <v>7220</v>
      </c>
      <c r="E1142" s="307" t="s">
        <v>3905</v>
      </c>
      <c r="F1142" s="307" t="s">
        <v>3906</v>
      </c>
      <c r="G1142" s="307" t="s">
        <v>3907</v>
      </c>
    </row>
    <row r="1143" spans="1:7" ht="13.5">
      <c r="A1143" s="307" t="s">
        <v>7221</v>
      </c>
      <c r="B1143" s="307" t="s">
        <v>7222</v>
      </c>
      <c r="C1143" s="307" t="s">
        <v>5814</v>
      </c>
      <c r="D1143" s="307" t="s">
        <v>7223</v>
      </c>
      <c r="E1143" s="307" t="s">
        <v>4021</v>
      </c>
      <c r="F1143" s="307" t="s">
        <v>3906</v>
      </c>
      <c r="G1143" s="307" t="s">
        <v>3907</v>
      </c>
    </row>
    <row r="1144" spans="1:7" ht="13.5">
      <c r="A1144" s="307" t="s">
        <v>7224</v>
      </c>
      <c r="B1144" s="307" t="s">
        <v>7225</v>
      </c>
      <c r="C1144" s="307" t="s">
        <v>5814</v>
      </c>
      <c r="D1144" s="307" t="s">
        <v>7226</v>
      </c>
      <c r="E1144" s="307" t="s">
        <v>3905</v>
      </c>
      <c r="F1144" s="307" t="s">
        <v>3906</v>
      </c>
      <c r="G1144" s="307" t="s">
        <v>3907</v>
      </c>
    </row>
    <row r="1145" spans="1:7" ht="13.5">
      <c r="A1145" s="307" t="s">
        <v>7227</v>
      </c>
      <c r="B1145" s="307" t="s">
        <v>7228</v>
      </c>
      <c r="C1145" s="307" t="s">
        <v>5814</v>
      </c>
      <c r="D1145" s="307" t="s">
        <v>7229</v>
      </c>
      <c r="E1145" s="307" t="s">
        <v>3905</v>
      </c>
      <c r="F1145" s="307" t="s">
        <v>3906</v>
      </c>
      <c r="G1145" s="307" t="s">
        <v>3907</v>
      </c>
    </row>
    <row r="1146" spans="1:7" ht="13.5">
      <c r="A1146" s="307" t="s">
        <v>7230</v>
      </c>
      <c r="B1146" s="307" t="s">
        <v>7231</v>
      </c>
      <c r="C1146" s="307" t="s">
        <v>5814</v>
      </c>
      <c r="D1146" s="307" t="s">
        <v>7232</v>
      </c>
      <c r="E1146" s="307" t="s">
        <v>3905</v>
      </c>
      <c r="F1146" s="307" t="s">
        <v>3906</v>
      </c>
      <c r="G1146" s="307" t="s">
        <v>3907</v>
      </c>
    </row>
    <row r="1147" spans="1:7" ht="13.5">
      <c r="A1147" s="307" t="s">
        <v>7233</v>
      </c>
      <c r="B1147" s="307" t="s">
        <v>7234</v>
      </c>
      <c r="C1147" s="307" t="s">
        <v>5814</v>
      </c>
      <c r="D1147" s="307" t="s">
        <v>7235</v>
      </c>
      <c r="E1147" s="307" t="s">
        <v>3905</v>
      </c>
      <c r="F1147" s="307" t="s">
        <v>3906</v>
      </c>
      <c r="G1147" s="307" t="s">
        <v>3907</v>
      </c>
    </row>
    <row r="1148" spans="1:7" ht="13.5">
      <c r="A1148" s="307" t="s">
        <v>7236</v>
      </c>
      <c r="B1148" s="307" t="s">
        <v>7237</v>
      </c>
      <c r="C1148" s="307" t="s">
        <v>5814</v>
      </c>
      <c r="D1148" s="307" t="s">
        <v>7238</v>
      </c>
      <c r="E1148" s="307" t="s">
        <v>3905</v>
      </c>
      <c r="F1148" s="307" t="s">
        <v>3906</v>
      </c>
      <c r="G1148" s="307" t="s">
        <v>3907</v>
      </c>
    </row>
    <row r="1149" spans="1:7" ht="13.5">
      <c r="A1149" s="307" t="s">
        <v>7239</v>
      </c>
      <c r="B1149" s="307" t="s">
        <v>7240</v>
      </c>
      <c r="C1149" s="307" t="s">
        <v>5814</v>
      </c>
      <c r="D1149" s="307" t="s">
        <v>7241</v>
      </c>
      <c r="E1149" s="307" t="s">
        <v>3905</v>
      </c>
      <c r="F1149" s="307" t="s">
        <v>3906</v>
      </c>
      <c r="G1149" s="307" t="s">
        <v>3907</v>
      </c>
    </row>
    <row r="1150" spans="1:7" ht="13.5">
      <c r="A1150" s="307" t="s">
        <v>7242</v>
      </c>
      <c r="B1150" s="307" t="s">
        <v>7243</v>
      </c>
      <c r="C1150" s="307" t="s">
        <v>5814</v>
      </c>
      <c r="D1150" s="307" t="s">
        <v>7244</v>
      </c>
      <c r="E1150" s="307" t="s">
        <v>4021</v>
      </c>
      <c r="F1150" s="307" t="s">
        <v>3906</v>
      </c>
      <c r="G1150" s="307" t="s">
        <v>3907</v>
      </c>
    </row>
    <row r="1151" spans="1:7" ht="13.5">
      <c r="A1151" s="307" t="s">
        <v>7245</v>
      </c>
      <c r="B1151" s="307" t="s">
        <v>7246</v>
      </c>
      <c r="C1151" s="307" t="s">
        <v>5814</v>
      </c>
      <c r="D1151" s="307" t="s">
        <v>7247</v>
      </c>
      <c r="E1151" s="307" t="s">
        <v>3905</v>
      </c>
      <c r="F1151" s="307" t="s">
        <v>3906</v>
      </c>
      <c r="G1151" s="307" t="s">
        <v>3907</v>
      </c>
    </row>
    <row r="1152" spans="1:7" ht="13.5">
      <c r="A1152" s="307" t="s">
        <v>7248</v>
      </c>
      <c r="B1152" s="307" t="s">
        <v>7249</v>
      </c>
      <c r="C1152" s="307" t="s">
        <v>5814</v>
      </c>
      <c r="D1152" s="307" t="s">
        <v>7250</v>
      </c>
      <c r="E1152" s="307" t="s">
        <v>3905</v>
      </c>
      <c r="F1152" s="307" t="s">
        <v>3906</v>
      </c>
      <c r="G1152" s="307" t="s">
        <v>3907</v>
      </c>
    </row>
    <row r="1153" spans="1:7" ht="13.5">
      <c r="A1153" s="307" t="s">
        <v>7251</v>
      </c>
      <c r="B1153" s="307" t="s">
        <v>7252</v>
      </c>
      <c r="C1153" s="307" t="s">
        <v>5814</v>
      </c>
      <c r="D1153" s="307" t="s">
        <v>4544</v>
      </c>
      <c r="E1153" s="307" t="s">
        <v>3905</v>
      </c>
      <c r="F1153" s="307" t="s">
        <v>3906</v>
      </c>
      <c r="G1153" s="307" t="s">
        <v>3907</v>
      </c>
    </row>
    <row r="1154" spans="1:7" ht="13.5">
      <c r="A1154" s="307" t="s">
        <v>7253</v>
      </c>
      <c r="B1154" s="307" t="s">
        <v>7254</v>
      </c>
      <c r="C1154" s="307" t="s">
        <v>5814</v>
      </c>
      <c r="D1154" s="307" t="s">
        <v>7255</v>
      </c>
      <c r="E1154" s="307" t="s">
        <v>3905</v>
      </c>
      <c r="F1154" s="307" t="s">
        <v>3906</v>
      </c>
      <c r="G1154" s="307" t="s">
        <v>3907</v>
      </c>
    </row>
    <row r="1155" spans="1:7" ht="13.5">
      <c r="A1155" s="307" t="s">
        <v>7256</v>
      </c>
      <c r="B1155" s="307" t="s">
        <v>7257</v>
      </c>
      <c r="C1155" s="307" t="s">
        <v>5814</v>
      </c>
      <c r="D1155" s="307" t="s">
        <v>7258</v>
      </c>
      <c r="E1155" s="307" t="s">
        <v>3905</v>
      </c>
      <c r="F1155" s="307" t="s">
        <v>3906</v>
      </c>
      <c r="G1155" s="307" t="s">
        <v>3907</v>
      </c>
    </row>
    <row r="1156" spans="1:7" ht="13.5">
      <c r="A1156" s="307" t="s">
        <v>7259</v>
      </c>
      <c r="B1156" s="307" t="s">
        <v>7260</v>
      </c>
      <c r="C1156" s="307" t="s">
        <v>5814</v>
      </c>
      <c r="D1156" s="307" t="s">
        <v>7261</v>
      </c>
      <c r="E1156" s="307" t="s">
        <v>3905</v>
      </c>
      <c r="F1156" s="307" t="s">
        <v>3906</v>
      </c>
      <c r="G1156" s="307" t="s">
        <v>3907</v>
      </c>
    </row>
    <row r="1157" spans="1:7" ht="13.5">
      <c r="A1157" s="307" t="s">
        <v>7262</v>
      </c>
      <c r="B1157" s="307" t="s">
        <v>7263</v>
      </c>
      <c r="C1157" s="307" t="s">
        <v>5814</v>
      </c>
      <c r="D1157" s="307" t="s">
        <v>7264</v>
      </c>
      <c r="E1157" s="307" t="s">
        <v>3905</v>
      </c>
      <c r="F1157" s="307" t="s">
        <v>3906</v>
      </c>
      <c r="G1157" s="307" t="s">
        <v>3907</v>
      </c>
    </row>
    <row r="1158" spans="1:7" ht="13.5">
      <c r="A1158" s="307" t="s">
        <v>7265</v>
      </c>
      <c r="B1158" s="307" t="s">
        <v>7266</v>
      </c>
      <c r="C1158" s="307" t="s">
        <v>5814</v>
      </c>
      <c r="D1158" s="307" t="s">
        <v>7267</v>
      </c>
      <c r="E1158" s="307" t="s">
        <v>3905</v>
      </c>
      <c r="F1158" s="307" t="s">
        <v>3906</v>
      </c>
      <c r="G1158" s="307" t="s">
        <v>3907</v>
      </c>
    </row>
    <row r="1159" spans="1:7" ht="13.5">
      <c r="A1159" s="307" t="s">
        <v>7268</v>
      </c>
      <c r="B1159" s="307" t="s">
        <v>7269</v>
      </c>
      <c r="C1159" s="307" t="s">
        <v>5814</v>
      </c>
      <c r="D1159" s="307" t="s">
        <v>7270</v>
      </c>
      <c r="E1159" s="307" t="s">
        <v>3905</v>
      </c>
      <c r="F1159" s="307" t="s">
        <v>3906</v>
      </c>
      <c r="G1159" s="307" t="s">
        <v>3907</v>
      </c>
    </row>
    <row r="1160" spans="1:7" ht="13.5">
      <c r="A1160" s="307" t="s">
        <v>7271</v>
      </c>
      <c r="B1160" s="307" t="s">
        <v>7272</v>
      </c>
      <c r="C1160" s="307" t="s">
        <v>5814</v>
      </c>
      <c r="D1160" s="307" t="s">
        <v>7273</v>
      </c>
      <c r="E1160" s="307" t="s">
        <v>3905</v>
      </c>
      <c r="F1160" s="307" t="s">
        <v>3906</v>
      </c>
      <c r="G1160" s="307" t="s">
        <v>3907</v>
      </c>
    </row>
    <row r="1161" spans="1:7" ht="13.5">
      <c r="A1161" s="307" t="s">
        <v>7274</v>
      </c>
      <c r="B1161" s="307" t="s">
        <v>7275</v>
      </c>
      <c r="C1161" s="307" t="s">
        <v>5814</v>
      </c>
      <c r="D1161" s="307" t="s">
        <v>7276</v>
      </c>
      <c r="E1161" s="307" t="s">
        <v>3905</v>
      </c>
      <c r="F1161" s="307" t="s">
        <v>3906</v>
      </c>
      <c r="G1161" s="307" t="s">
        <v>3907</v>
      </c>
    </row>
    <row r="1162" spans="1:7" ht="13.5">
      <c r="A1162" s="307" t="s">
        <v>7277</v>
      </c>
      <c r="B1162" s="307" t="s">
        <v>7278</v>
      </c>
      <c r="C1162" s="307" t="s">
        <v>5814</v>
      </c>
      <c r="D1162" s="307" t="s">
        <v>7279</v>
      </c>
      <c r="E1162" s="307" t="s">
        <v>3905</v>
      </c>
      <c r="F1162" s="307" t="s">
        <v>3906</v>
      </c>
      <c r="G1162" s="307" t="s">
        <v>3907</v>
      </c>
    </row>
    <row r="1163" spans="1:7" ht="13.5">
      <c r="A1163" s="307" t="s">
        <v>7280</v>
      </c>
      <c r="B1163" s="307" t="s">
        <v>7281</v>
      </c>
      <c r="C1163" s="307" t="s">
        <v>5814</v>
      </c>
      <c r="D1163" s="307" t="s">
        <v>7282</v>
      </c>
      <c r="E1163" s="307" t="s">
        <v>3905</v>
      </c>
      <c r="F1163" s="307" t="s">
        <v>3906</v>
      </c>
      <c r="G1163" s="307" t="s">
        <v>3907</v>
      </c>
    </row>
    <row r="1164" spans="1:7" ht="13.5">
      <c r="A1164" s="307" t="s">
        <v>7283</v>
      </c>
      <c r="B1164" s="307" t="s">
        <v>7284</v>
      </c>
      <c r="C1164" s="307" t="s">
        <v>5814</v>
      </c>
      <c r="D1164" s="307" t="s">
        <v>3702</v>
      </c>
      <c r="E1164" s="307" t="s">
        <v>3905</v>
      </c>
      <c r="F1164" s="307" t="s">
        <v>3906</v>
      </c>
      <c r="G1164" s="307" t="s">
        <v>3907</v>
      </c>
    </row>
    <row r="1165" spans="1:7" ht="13.5">
      <c r="A1165" s="307" t="s">
        <v>7285</v>
      </c>
      <c r="B1165" s="307" t="s">
        <v>7286</v>
      </c>
      <c r="C1165" s="307" t="s">
        <v>5814</v>
      </c>
      <c r="D1165" s="307" t="s">
        <v>7287</v>
      </c>
      <c r="E1165" s="307" t="s">
        <v>3905</v>
      </c>
      <c r="F1165" s="307" t="s">
        <v>3906</v>
      </c>
      <c r="G1165" s="307" t="s">
        <v>3907</v>
      </c>
    </row>
    <row r="1166" spans="1:7" ht="13.5">
      <c r="A1166" s="307" t="s">
        <v>7288</v>
      </c>
      <c r="B1166" s="307" t="s">
        <v>7289</v>
      </c>
      <c r="C1166" s="307" t="s">
        <v>5814</v>
      </c>
      <c r="D1166" s="307" t="s">
        <v>7290</v>
      </c>
      <c r="E1166" s="307" t="s">
        <v>3905</v>
      </c>
      <c r="F1166" s="307" t="s">
        <v>3906</v>
      </c>
      <c r="G1166" s="307" t="s">
        <v>3907</v>
      </c>
    </row>
    <row r="1167" spans="1:7" ht="13.5">
      <c r="A1167" s="307" t="s">
        <v>7291</v>
      </c>
      <c r="B1167" s="307" t="s">
        <v>7292</v>
      </c>
      <c r="C1167" s="307" t="s">
        <v>5814</v>
      </c>
      <c r="D1167" s="307" t="s">
        <v>7293</v>
      </c>
      <c r="E1167" s="307" t="s">
        <v>3905</v>
      </c>
      <c r="F1167" s="307" t="s">
        <v>3906</v>
      </c>
      <c r="G1167" s="307" t="s">
        <v>3907</v>
      </c>
    </row>
    <row r="1168" spans="1:7" ht="13.5">
      <c r="A1168" s="307" t="s">
        <v>7294</v>
      </c>
      <c r="B1168" s="307" t="s">
        <v>7295</v>
      </c>
      <c r="C1168" s="307" t="s">
        <v>5814</v>
      </c>
      <c r="D1168" s="307" t="s">
        <v>7296</v>
      </c>
      <c r="E1168" s="307" t="s">
        <v>3905</v>
      </c>
      <c r="F1168" s="307" t="s">
        <v>3906</v>
      </c>
      <c r="G1168" s="307" t="s">
        <v>3907</v>
      </c>
    </row>
    <row r="1169" spans="1:7" ht="13.5">
      <c r="A1169" s="307" t="s">
        <v>7297</v>
      </c>
      <c r="B1169" s="307" t="s">
        <v>7298</v>
      </c>
      <c r="C1169" s="307" t="s">
        <v>5814</v>
      </c>
      <c r="D1169" s="307" t="s">
        <v>7299</v>
      </c>
      <c r="E1169" s="307" t="s">
        <v>3905</v>
      </c>
      <c r="F1169" s="307" t="s">
        <v>3906</v>
      </c>
      <c r="G1169" s="307" t="s">
        <v>3907</v>
      </c>
    </row>
    <row r="1170" spans="1:7" ht="13.5">
      <c r="A1170" s="307" t="s">
        <v>7300</v>
      </c>
      <c r="B1170" s="307" t="s">
        <v>7301</v>
      </c>
      <c r="C1170" s="307" t="s">
        <v>5814</v>
      </c>
      <c r="D1170" s="307" t="s">
        <v>7302</v>
      </c>
      <c r="E1170" s="307" t="s">
        <v>3905</v>
      </c>
      <c r="F1170" s="307" t="s">
        <v>3906</v>
      </c>
      <c r="G1170" s="307" t="s">
        <v>3907</v>
      </c>
    </row>
    <row r="1171" spans="1:7" ht="13.5">
      <c r="A1171" s="307" t="s">
        <v>7303</v>
      </c>
      <c r="B1171" s="307" t="s">
        <v>7304</v>
      </c>
      <c r="C1171" s="307" t="s">
        <v>5814</v>
      </c>
      <c r="D1171" s="307" t="s">
        <v>7305</v>
      </c>
      <c r="E1171" s="307" t="s">
        <v>3905</v>
      </c>
      <c r="F1171" s="307" t="s">
        <v>3906</v>
      </c>
      <c r="G1171" s="307" t="s">
        <v>3907</v>
      </c>
    </row>
    <row r="1172" spans="1:7" ht="13.5">
      <c r="A1172" s="307" t="s">
        <v>7306</v>
      </c>
      <c r="B1172" s="307" t="s">
        <v>7307</v>
      </c>
      <c r="C1172" s="307" t="s">
        <v>5814</v>
      </c>
      <c r="D1172" s="307" t="s">
        <v>7308</v>
      </c>
      <c r="E1172" s="307" t="s">
        <v>3905</v>
      </c>
      <c r="F1172" s="307" t="s">
        <v>3906</v>
      </c>
      <c r="G1172" s="307" t="s">
        <v>3907</v>
      </c>
    </row>
    <row r="1173" spans="1:7" ht="13.5">
      <c r="A1173" s="307" t="s">
        <v>7309</v>
      </c>
      <c r="B1173" s="307" t="s">
        <v>7310</v>
      </c>
      <c r="C1173" s="307" t="s">
        <v>5814</v>
      </c>
      <c r="D1173" s="307" t="s">
        <v>7311</v>
      </c>
      <c r="E1173" s="307" t="s">
        <v>3905</v>
      </c>
      <c r="F1173" s="307" t="s">
        <v>3906</v>
      </c>
      <c r="G1173" s="307" t="s">
        <v>3907</v>
      </c>
    </row>
    <row r="1174" spans="1:7" ht="13.5">
      <c r="A1174" s="307" t="s">
        <v>7312</v>
      </c>
      <c r="B1174" s="307" t="s">
        <v>7313</v>
      </c>
      <c r="C1174" s="307" t="s">
        <v>5814</v>
      </c>
      <c r="D1174" s="307" t="s">
        <v>7314</v>
      </c>
      <c r="E1174" s="307" t="s">
        <v>3905</v>
      </c>
      <c r="F1174" s="307" t="s">
        <v>3906</v>
      </c>
      <c r="G1174" s="307" t="s">
        <v>3907</v>
      </c>
    </row>
    <row r="1175" spans="1:7" ht="13.5">
      <c r="A1175" s="307" t="s">
        <v>7315</v>
      </c>
      <c r="B1175" s="307" t="s">
        <v>7316</v>
      </c>
      <c r="C1175" s="307" t="s">
        <v>5814</v>
      </c>
      <c r="D1175" s="307" t="s">
        <v>7317</v>
      </c>
      <c r="E1175" s="307" t="s">
        <v>3905</v>
      </c>
      <c r="F1175" s="307" t="s">
        <v>3906</v>
      </c>
      <c r="G1175" s="307" t="s">
        <v>3907</v>
      </c>
    </row>
    <row r="1176" spans="1:7" ht="13.5">
      <c r="A1176" s="307" t="s">
        <v>7318</v>
      </c>
      <c r="B1176" s="307" t="s">
        <v>7319</v>
      </c>
      <c r="C1176" s="307" t="s">
        <v>5814</v>
      </c>
      <c r="D1176" s="307" t="s">
        <v>7320</v>
      </c>
      <c r="E1176" s="307" t="s">
        <v>3905</v>
      </c>
      <c r="F1176" s="307" t="s">
        <v>3906</v>
      </c>
      <c r="G1176" s="307" t="s">
        <v>3907</v>
      </c>
    </row>
    <row r="1177" spans="1:7" ht="13.5">
      <c r="A1177" s="307" t="s">
        <v>7321</v>
      </c>
      <c r="B1177" s="307" t="s">
        <v>7322</v>
      </c>
      <c r="C1177" s="307" t="s">
        <v>5814</v>
      </c>
      <c r="D1177" s="307" t="s">
        <v>7323</v>
      </c>
      <c r="E1177" s="307" t="s">
        <v>4021</v>
      </c>
      <c r="F1177" s="307" t="s">
        <v>3906</v>
      </c>
      <c r="G1177" s="307" t="s">
        <v>3907</v>
      </c>
    </row>
    <row r="1178" spans="1:7" ht="13.5">
      <c r="A1178" s="307" t="s">
        <v>7324</v>
      </c>
      <c r="B1178" s="307" t="s">
        <v>7325</v>
      </c>
      <c r="C1178" s="307" t="s">
        <v>5814</v>
      </c>
      <c r="D1178" s="307" t="s">
        <v>7326</v>
      </c>
      <c r="E1178" s="307" t="s">
        <v>3905</v>
      </c>
      <c r="F1178" s="307" t="s">
        <v>3906</v>
      </c>
      <c r="G1178" s="307" t="s">
        <v>3907</v>
      </c>
    </row>
    <row r="1179" spans="1:7" ht="13.5">
      <c r="A1179" s="307" t="s">
        <v>7327</v>
      </c>
      <c r="B1179" s="307" t="s">
        <v>7328</v>
      </c>
      <c r="C1179" s="307" t="s">
        <v>5814</v>
      </c>
      <c r="D1179" s="307" t="s">
        <v>7329</v>
      </c>
      <c r="E1179" s="307" t="s">
        <v>3905</v>
      </c>
      <c r="F1179" s="307" t="s">
        <v>3906</v>
      </c>
      <c r="G1179" s="307" t="s">
        <v>3907</v>
      </c>
    </row>
    <row r="1180" spans="1:7" ht="13.5">
      <c r="A1180" s="307" t="s">
        <v>7330</v>
      </c>
      <c r="B1180" s="307" t="s">
        <v>7331</v>
      </c>
      <c r="C1180" s="307" t="s">
        <v>5814</v>
      </c>
      <c r="D1180" s="307" t="s">
        <v>7332</v>
      </c>
      <c r="E1180" s="307" t="s">
        <v>3905</v>
      </c>
      <c r="F1180" s="307" t="s">
        <v>3906</v>
      </c>
      <c r="G1180" s="307" t="s">
        <v>3907</v>
      </c>
    </row>
    <row r="1181" spans="1:7" ht="13.5">
      <c r="A1181" s="307" t="s">
        <v>7333</v>
      </c>
      <c r="B1181" s="307" t="s">
        <v>7334</v>
      </c>
      <c r="C1181" s="307" t="s">
        <v>5814</v>
      </c>
      <c r="D1181" s="307" t="s">
        <v>7335</v>
      </c>
      <c r="E1181" s="307" t="s">
        <v>3905</v>
      </c>
      <c r="F1181" s="307" t="s">
        <v>3906</v>
      </c>
      <c r="G1181" s="307" t="s">
        <v>3907</v>
      </c>
    </row>
    <row r="1182" spans="1:7" ht="13.5">
      <c r="A1182" s="307" t="s">
        <v>7336</v>
      </c>
      <c r="B1182" s="307" t="s">
        <v>7337</v>
      </c>
      <c r="C1182" s="307" t="s">
        <v>5814</v>
      </c>
      <c r="D1182" s="307" t="s">
        <v>7338</v>
      </c>
      <c r="E1182" s="307" t="s">
        <v>3905</v>
      </c>
      <c r="F1182" s="307" t="s">
        <v>3906</v>
      </c>
      <c r="G1182" s="307" t="s">
        <v>3907</v>
      </c>
    </row>
    <row r="1183" spans="1:7" ht="13.5">
      <c r="A1183" s="307" t="s">
        <v>7339</v>
      </c>
      <c r="B1183" s="307" t="s">
        <v>7340</v>
      </c>
      <c r="C1183" s="307" t="s">
        <v>5814</v>
      </c>
      <c r="D1183" s="307" t="s">
        <v>7341</v>
      </c>
      <c r="E1183" s="307" t="s">
        <v>3905</v>
      </c>
      <c r="F1183" s="307" t="s">
        <v>3906</v>
      </c>
      <c r="G1183" s="307" t="s">
        <v>3907</v>
      </c>
    </row>
    <row r="1184" spans="1:7" ht="13.5">
      <c r="A1184" s="307" t="s">
        <v>7342</v>
      </c>
      <c r="B1184" s="307" t="s">
        <v>7343</v>
      </c>
      <c r="C1184" s="307" t="s">
        <v>5814</v>
      </c>
      <c r="D1184" s="307" t="s">
        <v>7344</v>
      </c>
      <c r="E1184" s="307" t="s">
        <v>3905</v>
      </c>
      <c r="F1184" s="307" t="s">
        <v>3906</v>
      </c>
      <c r="G1184" s="307" t="s">
        <v>3907</v>
      </c>
    </row>
    <row r="1185" spans="1:7" ht="13.5">
      <c r="A1185" s="307" t="s">
        <v>7345</v>
      </c>
      <c r="B1185" s="307" t="s">
        <v>7346</v>
      </c>
      <c r="C1185" s="307" t="s">
        <v>5814</v>
      </c>
      <c r="D1185" s="307" t="s">
        <v>7347</v>
      </c>
      <c r="E1185" s="307" t="s">
        <v>3905</v>
      </c>
      <c r="F1185" s="307" t="s">
        <v>3906</v>
      </c>
      <c r="G1185" s="307" t="s">
        <v>3907</v>
      </c>
    </row>
    <row r="1186" spans="1:7" ht="13.5">
      <c r="A1186" s="307" t="s">
        <v>7348</v>
      </c>
      <c r="B1186" s="307" t="s">
        <v>7349</v>
      </c>
      <c r="C1186" s="307" t="s">
        <v>5814</v>
      </c>
      <c r="D1186" s="307" t="s">
        <v>7350</v>
      </c>
      <c r="E1186" s="307" t="s">
        <v>3905</v>
      </c>
      <c r="F1186" s="307" t="s">
        <v>3906</v>
      </c>
      <c r="G1186" s="307" t="s">
        <v>3907</v>
      </c>
    </row>
    <row r="1187" spans="1:7" ht="13.5">
      <c r="A1187" s="307" t="s">
        <v>7351</v>
      </c>
      <c r="B1187" s="307" t="s">
        <v>7352</v>
      </c>
      <c r="C1187" s="307" t="s">
        <v>5814</v>
      </c>
      <c r="D1187" s="307" t="s">
        <v>7353</v>
      </c>
      <c r="E1187" s="307" t="s">
        <v>4021</v>
      </c>
      <c r="F1187" s="307" t="s">
        <v>3906</v>
      </c>
      <c r="G1187" s="307" t="s">
        <v>3907</v>
      </c>
    </row>
    <row r="1188" spans="1:7" ht="13.5">
      <c r="A1188" s="307" t="s">
        <v>7354</v>
      </c>
      <c r="B1188" s="307" t="s">
        <v>7355</v>
      </c>
      <c r="C1188" s="307" t="s">
        <v>5814</v>
      </c>
      <c r="D1188" s="307" t="s">
        <v>7356</v>
      </c>
      <c r="E1188" s="307" t="s">
        <v>3905</v>
      </c>
      <c r="F1188" s="307" t="s">
        <v>3906</v>
      </c>
      <c r="G1188" s="307" t="s">
        <v>3907</v>
      </c>
    </row>
    <row r="1189" spans="1:7" ht="13.5">
      <c r="A1189" s="307" t="s">
        <v>7357</v>
      </c>
      <c r="B1189" s="307" t="s">
        <v>7358</v>
      </c>
      <c r="C1189" s="307" t="s">
        <v>5814</v>
      </c>
      <c r="D1189" s="307" t="s">
        <v>7359</v>
      </c>
      <c r="E1189" s="307" t="s">
        <v>4021</v>
      </c>
      <c r="F1189" s="307" t="s">
        <v>3906</v>
      </c>
      <c r="G1189" s="307" t="s">
        <v>3907</v>
      </c>
    </row>
    <row r="1190" spans="1:7" ht="13.5">
      <c r="A1190" s="307" t="s">
        <v>7360</v>
      </c>
      <c r="B1190" s="307" t="s">
        <v>7361</v>
      </c>
      <c r="C1190" s="307" t="s">
        <v>5814</v>
      </c>
      <c r="D1190" s="307" t="s">
        <v>7362</v>
      </c>
      <c r="E1190" s="307" t="s">
        <v>3905</v>
      </c>
      <c r="F1190" s="307" t="s">
        <v>3906</v>
      </c>
      <c r="G1190" s="307" t="s">
        <v>3907</v>
      </c>
    </row>
    <row r="1191" spans="1:7" ht="13.5">
      <c r="A1191" s="307" t="s">
        <v>7363</v>
      </c>
      <c r="B1191" s="307" t="s">
        <v>7364</v>
      </c>
      <c r="C1191" s="307" t="s">
        <v>5814</v>
      </c>
      <c r="D1191" s="307" t="s">
        <v>7365</v>
      </c>
      <c r="E1191" s="307" t="s">
        <v>3905</v>
      </c>
      <c r="F1191" s="307" t="s">
        <v>3906</v>
      </c>
      <c r="G1191" s="307" t="s">
        <v>3907</v>
      </c>
    </row>
    <row r="1192" spans="1:7" ht="13.5">
      <c r="A1192" s="307" t="s">
        <v>7366</v>
      </c>
      <c r="B1192" s="307" t="s">
        <v>7367</v>
      </c>
      <c r="C1192" s="307" t="s">
        <v>5814</v>
      </c>
      <c r="D1192" s="307" t="s">
        <v>7368</v>
      </c>
      <c r="E1192" s="307" t="s">
        <v>3905</v>
      </c>
      <c r="F1192" s="307" t="s">
        <v>3906</v>
      </c>
      <c r="G1192" s="307" t="s">
        <v>3907</v>
      </c>
    </row>
    <row r="1193" spans="1:7" ht="13.5">
      <c r="A1193" s="307" t="s">
        <v>7369</v>
      </c>
      <c r="B1193" s="307" t="s">
        <v>7370</v>
      </c>
      <c r="C1193" s="307" t="s">
        <v>5814</v>
      </c>
      <c r="D1193" s="307" t="s">
        <v>7371</v>
      </c>
      <c r="E1193" s="307" t="s">
        <v>3905</v>
      </c>
      <c r="F1193" s="307" t="s">
        <v>3906</v>
      </c>
      <c r="G1193" s="307" t="s">
        <v>3907</v>
      </c>
    </row>
    <row r="1194" spans="1:7" ht="13.5">
      <c r="A1194" s="307" t="s">
        <v>7372</v>
      </c>
      <c r="B1194" s="307" t="s">
        <v>7373</v>
      </c>
      <c r="C1194" s="307" t="s">
        <v>5814</v>
      </c>
      <c r="D1194" s="307" t="s">
        <v>7374</v>
      </c>
      <c r="E1194" s="307" t="s">
        <v>3905</v>
      </c>
      <c r="F1194" s="307" t="s">
        <v>3906</v>
      </c>
      <c r="G1194" s="307" t="s">
        <v>3907</v>
      </c>
    </row>
    <row r="1195" spans="1:7" ht="13.5">
      <c r="A1195" s="307" t="s">
        <v>7375</v>
      </c>
      <c r="B1195" s="307" t="s">
        <v>7376</v>
      </c>
      <c r="C1195" s="307" t="s">
        <v>5814</v>
      </c>
      <c r="D1195" s="307" t="s">
        <v>7377</v>
      </c>
      <c r="E1195" s="307" t="s">
        <v>3905</v>
      </c>
      <c r="F1195" s="307" t="s">
        <v>3906</v>
      </c>
      <c r="G1195" s="307" t="s">
        <v>3907</v>
      </c>
    </row>
    <row r="1196" spans="1:7" ht="13.5">
      <c r="A1196" s="307" t="s">
        <v>7378</v>
      </c>
      <c r="B1196" s="307" t="s">
        <v>7379</v>
      </c>
      <c r="C1196" s="307" t="s">
        <v>5814</v>
      </c>
      <c r="D1196" s="307" t="s">
        <v>7380</v>
      </c>
      <c r="E1196" s="307" t="s">
        <v>3905</v>
      </c>
      <c r="F1196" s="307" t="s">
        <v>3906</v>
      </c>
      <c r="G1196" s="307" t="s">
        <v>3907</v>
      </c>
    </row>
    <row r="1197" spans="1:7" ht="13.5">
      <c r="A1197" s="307" t="s">
        <v>7381</v>
      </c>
      <c r="B1197" s="307" t="s">
        <v>7382</v>
      </c>
      <c r="C1197" s="307" t="s">
        <v>5814</v>
      </c>
      <c r="D1197" s="307" t="s">
        <v>7383</v>
      </c>
      <c r="E1197" s="307" t="s">
        <v>3905</v>
      </c>
      <c r="F1197" s="307" t="s">
        <v>3906</v>
      </c>
      <c r="G1197" s="307" t="s">
        <v>3907</v>
      </c>
    </row>
    <row r="1198" spans="1:7" ht="13.5">
      <c r="A1198" s="307" t="s">
        <v>7384</v>
      </c>
      <c r="B1198" s="307" t="s">
        <v>7385</v>
      </c>
      <c r="C1198" s="307" t="s">
        <v>5814</v>
      </c>
      <c r="D1198" s="307" t="s">
        <v>7386</v>
      </c>
      <c r="E1198" s="307" t="s">
        <v>3905</v>
      </c>
      <c r="F1198" s="307" t="s">
        <v>3906</v>
      </c>
      <c r="G1198" s="307" t="s">
        <v>3907</v>
      </c>
    </row>
    <row r="1199" spans="1:7" ht="13.5">
      <c r="A1199" s="307" t="s">
        <v>7387</v>
      </c>
      <c r="B1199" s="307" t="s">
        <v>7388</v>
      </c>
      <c r="C1199" s="307" t="s">
        <v>5814</v>
      </c>
      <c r="D1199" s="307" t="s">
        <v>7389</v>
      </c>
      <c r="E1199" s="307" t="s">
        <v>3905</v>
      </c>
      <c r="F1199" s="307" t="s">
        <v>3906</v>
      </c>
      <c r="G1199" s="307" t="s">
        <v>3907</v>
      </c>
    </row>
    <row r="1200" spans="1:7" ht="13.5">
      <c r="A1200" s="307" t="s">
        <v>7390</v>
      </c>
      <c r="B1200" s="307" t="s">
        <v>7391</v>
      </c>
      <c r="C1200" s="307" t="s">
        <v>5814</v>
      </c>
      <c r="D1200" s="307" t="s">
        <v>7392</v>
      </c>
      <c r="E1200" s="307" t="s">
        <v>3905</v>
      </c>
      <c r="F1200" s="307" t="s">
        <v>3906</v>
      </c>
      <c r="G1200" s="307" t="s">
        <v>3907</v>
      </c>
    </row>
    <row r="1201" spans="1:7" ht="13.5">
      <c r="A1201" s="307" t="s">
        <v>7393</v>
      </c>
      <c r="B1201" s="307" t="s">
        <v>7394</v>
      </c>
      <c r="C1201" s="307" t="s">
        <v>5814</v>
      </c>
      <c r="D1201" s="307" t="s">
        <v>7395</v>
      </c>
      <c r="E1201" s="307" t="s">
        <v>3905</v>
      </c>
      <c r="F1201" s="307" t="s">
        <v>3906</v>
      </c>
      <c r="G1201" s="307" t="s">
        <v>3907</v>
      </c>
    </row>
    <row r="1202" spans="1:7" ht="13.5">
      <c r="A1202" s="307" t="s">
        <v>7396</v>
      </c>
      <c r="B1202" s="307" t="s">
        <v>7397</v>
      </c>
      <c r="C1202" s="307" t="s">
        <v>5814</v>
      </c>
      <c r="D1202" s="307" t="s">
        <v>7398</v>
      </c>
      <c r="E1202" s="307" t="s">
        <v>3905</v>
      </c>
      <c r="F1202" s="307" t="s">
        <v>3906</v>
      </c>
      <c r="G1202" s="307" t="s">
        <v>3907</v>
      </c>
    </row>
    <row r="1203" spans="1:7" ht="13.5">
      <c r="A1203" s="307" t="s">
        <v>7399</v>
      </c>
      <c r="B1203" s="307" t="s">
        <v>7400</v>
      </c>
      <c r="C1203" s="307" t="s">
        <v>5814</v>
      </c>
      <c r="D1203" s="307" t="s">
        <v>7401</v>
      </c>
      <c r="E1203" s="307" t="s">
        <v>3905</v>
      </c>
      <c r="F1203" s="307" t="s">
        <v>3906</v>
      </c>
      <c r="G1203" s="307" t="s">
        <v>3907</v>
      </c>
    </row>
    <row r="1204" spans="1:7" ht="13.5">
      <c r="A1204" s="307" t="s">
        <v>7402</v>
      </c>
      <c r="B1204" s="307" t="s">
        <v>7403</v>
      </c>
      <c r="C1204" s="307" t="s">
        <v>5814</v>
      </c>
      <c r="D1204" s="307" t="s">
        <v>7404</v>
      </c>
      <c r="E1204" s="307" t="s">
        <v>3905</v>
      </c>
      <c r="F1204" s="307" t="s">
        <v>3906</v>
      </c>
      <c r="G1204" s="307" t="s">
        <v>3907</v>
      </c>
    </row>
    <row r="1205" spans="1:7" ht="13.5">
      <c r="A1205" s="307" t="s">
        <v>7405</v>
      </c>
      <c r="B1205" s="307" t="s">
        <v>7406</v>
      </c>
      <c r="C1205" s="307" t="s">
        <v>5814</v>
      </c>
      <c r="D1205" s="307" t="s">
        <v>7407</v>
      </c>
      <c r="E1205" s="307" t="s">
        <v>3905</v>
      </c>
      <c r="F1205" s="307" t="s">
        <v>3906</v>
      </c>
      <c r="G1205" s="307" t="s">
        <v>3907</v>
      </c>
    </row>
    <row r="1206" spans="1:7" ht="13.5">
      <c r="A1206" s="307" t="s">
        <v>7408</v>
      </c>
      <c r="B1206" s="307" t="s">
        <v>7409</v>
      </c>
      <c r="C1206" s="307" t="s">
        <v>5814</v>
      </c>
      <c r="D1206" s="307" t="s">
        <v>7410</v>
      </c>
      <c r="E1206" s="307" t="s">
        <v>3905</v>
      </c>
      <c r="F1206" s="307" t="s">
        <v>3906</v>
      </c>
      <c r="G1206" s="307" t="s">
        <v>3907</v>
      </c>
    </row>
    <row r="1207" spans="1:7" ht="13.5">
      <c r="A1207" s="307" t="s">
        <v>7411</v>
      </c>
      <c r="B1207" s="307" t="s">
        <v>7412</v>
      </c>
      <c r="C1207" s="307" t="s">
        <v>5814</v>
      </c>
      <c r="D1207" s="307" t="s">
        <v>7413</v>
      </c>
      <c r="E1207" s="307" t="s">
        <v>3905</v>
      </c>
      <c r="F1207" s="307" t="s">
        <v>3906</v>
      </c>
      <c r="G1207" s="307" t="s">
        <v>3907</v>
      </c>
    </row>
    <row r="1208" spans="1:7" ht="13.5">
      <c r="A1208" s="307" t="s">
        <v>7414</v>
      </c>
      <c r="B1208" s="307" t="s">
        <v>7415</v>
      </c>
      <c r="C1208" s="307" t="s">
        <v>5814</v>
      </c>
      <c r="D1208" s="307" t="s">
        <v>7416</v>
      </c>
      <c r="E1208" s="307" t="s">
        <v>3905</v>
      </c>
      <c r="F1208" s="307" t="s">
        <v>3906</v>
      </c>
      <c r="G1208" s="307" t="s">
        <v>3907</v>
      </c>
    </row>
    <row r="1209" spans="1:7" ht="13.5">
      <c r="A1209" s="307" t="s">
        <v>7417</v>
      </c>
      <c r="B1209" s="307" t="s">
        <v>7418</v>
      </c>
      <c r="C1209" s="307" t="s">
        <v>5814</v>
      </c>
      <c r="D1209" s="307" t="s">
        <v>7419</v>
      </c>
      <c r="E1209" s="307" t="s">
        <v>3905</v>
      </c>
      <c r="F1209" s="307" t="s">
        <v>3906</v>
      </c>
      <c r="G1209" s="307" t="s">
        <v>3907</v>
      </c>
    </row>
    <row r="1210" spans="1:7" ht="13.5">
      <c r="A1210" s="307" t="s">
        <v>7420</v>
      </c>
      <c r="B1210" s="307" t="s">
        <v>7421</v>
      </c>
      <c r="C1210" s="307" t="s">
        <v>5814</v>
      </c>
      <c r="D1210" s="307" t="s">
        <v>7422</v>
      </c>
      <c r="E1210" s="307" t="s">
        <v>4021</v>
      </c>
      <c r="F1210" s="307" t="s">
        <v>3906</v>
      </c>
      <c r="G1210" s="307" t="s">
        <v>3907</v>
      </c>
    </row>
    <row r="1211" spans="1:7" ht="13.5">
      <c r="A1211" s="307" t="s">
        <v>7423</v>
      </c>
      <c r="B1211" s="307" t="s">
        <v>7424</v>
      </c>
      <c r="C1211" s="307" t="s">
        <v>5814</v>
      </c>
      <c r="D1211" s="307" t="s">
        <v>7425</v>
      </c>
      <c r="E1211" s="307" t="s">
        <v>3905</v>
      </c>
      <c r="F1211" s="307" t="s">
        <v>3906</v>
      </c>
      <c r="G1211" s="307" t="s">
        <v>3907</v>
      </c>
    </row>
    <row r="1212" spans="1:7" ht="13.5">
      <c r="A1212" s="307" t="s">
        <v>7426</v>
      </c>
      <c r="B1212" s="307" t="s">
        <v>7427</v>
      </c>
      <c r="C1212" s="307" t="s">
        <v>5814</v>
      </c>
      <c r="D1212" s="307" t="s">
        <v>7428</v>
      </c>
      <c r="E1212" s="307" t="s">
        <v>3905</v>
      </c>
      <c r="F1212" s="307" t="s">
        <v>3906</v>
      </c>
      <c r="G1212" s="307" t="s">
        <v>3907</v>
      </c>
    </row>
    <row r="1213" spans="1:7" ht="13.5">
      <c r="A1213" s="307" t="s">
        <v>7429</v>
      </c>
      <c r="B1213" s="307" t="s">
        <v>7430</v>
      </c>
      <c r="C1213" s="307" t="s">
        <v>5814</v>
      </c>
      <c r="D1213" s="307" t="s">
        <v>7431</v>
      </c>
      <c r="E1213" s="307" t="s">
        <v>3905</v>
      </c>
      <c r="F1213" s="307" t="s">
        <v>3906</v>
      </c>
      <c r="G1213" s="307" t="s">
        <v>3907</v>
      </c>
    </row>
    <row r="1214" spans="1:7" ht="13.5">
      <c r="A1214" s="307" t="s">
        <v>7432</v>
      </c>
      <c r="B1214" s="307" t="s">
        <v>7433</v>
      </c>
      <c r="C1214" s="307" t="s">
        <v>5814</v>
      </c>
      <c r="D1214" s="307" t="s">
        <v>7434</v>
      </c>
      <c r="E1214" s="307" t="s">
        <v>3905</v>
      </c>
      <c r="F1214" s="307" t="s">
        <v>3906</v>
      </c>
      <c r="G1214" s="307" t="s">
        <v>3907</v>
      </c>
    </row>
    <row r="1215" spans="1:7" ht="13.5">
      <c r="A1215" s="307" t="s">
        <v>7435</v>
      </c>
      <c r="B1215" s="307" t="s">
        <v>7436</v>
      </c>
      <c r="C1215" s="307" t="s">
        <v>5814</v>
      </c>
      <c r="D1215" s="307" t="s">
        <v>7437</v>
      </c>
      <c r="E1215" s="307" t="s">
        <v>3905</v>
      </c>
      <c r="F1215" s="307" t="s">
        <v>3906</v>
      </c>
      <c r="G1215" s="307" t="s">
        <v>3907</v>
      </c>
    </row>
    <row r="1216" spans="1:7" ht="13.5">
      <c r="A1216" s="307" t="s">
        <v>7438</v>
      </c>
      <c r="B1216" s="307" t="s">
        <v>7439</v>
      </c>
      <c r="C1216" s="307" t="s">
        <v>5814</v>
      </c>
      <c r="D1216" s="307" t="s">
        <v>7440</v>
      </c>
      <c r="E1216" s="307" t="s">
        <v>3905</v>
      </c>
      <c r="F1216" s="307" t="s">
        <v>3906</v>
      </c>
      <c r="G1216" s="307" t="s">
        <v>3907</v>
      </c>
    </row>
    <row r="1217" spans="1:7" ht="13.5">
      <c r="A1217" s="307" t="s">
        <v>7441</v>
      </c>
      <c r="B1217" s="307" t="s">
        <v>7442</v>
      </c>
      <c r="C1217" s="307" t="s">
        <v>5814</v>
      </c>
      <c r="D1217" s="307" t="s">
        <v>7443</v>
      </c>
      <c r="E1217" s="307" t="s">
        <v>3905</v>
      </c>
      <c r="F1217" s="307" t="s">
        <v>3906</v>
      </c>
      <c r="G1217" s="307" t="s">
        <v>3907</v>
      </c>
    </row>
    <row r="1218" spans="1:7" ht="13.5">
      <c r="A1218" s="307" t="s">
        <v>7444</v>
      </c>
      <c r="B1218" s="307" t="s">
        <v>7445</v>
      </c>
      <c r="C1218" s="307" t="s">
        <v>5814</v>
      </c>
      <c r="D1218" s="307" t="s">
        <v>7446</v>
      </c>
      <c r="E1218" s="307" t="s">
        <v>3905</v>
      </c>
      <c r="F1218" s="307" t="s">
        <v>3906</v>
      </c>
      <c r="G1218" s="307" t="s">
        <v>3907</v>
      </c>
    </row>
    <row r="1219" spans="1:7" ht="13.5">
      <c r="A1219" s="307" t="s">
        <v>7447</v>
      </c>
      <c r="B1219" s="307" t="s">
        <v>7448</v>
      </c>
      <c r="C1219" s="307" t="s">
        <v>5814</v>
      </c>
      <c r="D1219" s="307" t="s">
        <v>7449</v>
      </c>
      <c r="E1219" s="307" t="s">
        <v>3905</v>
      </c>
      <c r="F1219" s="307" t="s">
        <v>3906</v>
      </c>
      <c r="G1219" s="307" t="s">
        <v>3907</v>
      </c>
    </row>
    <row r="1220" spans="1:7" ht="13.5">
      <c r="A1220" s="307" t="s">
        <v>7450</v>
      </c>
      <c r="B1220" s="307" t="s">
        <v>7451</v>
      </c>
      <c r="C1220" s="307" t="s">
        <v>5814</v>
      </c>
      <c r="D1220" s="307" t="s">
        <v>7452</v>
      </c>
      <c r="E1220" s="307" t="s">
        <v>3905</v>
      </c>
      <c r="F1220" s="307" t="s">
        <v>3906</v>
      </c>
      <c r="G1220" s="307" t="s">
        <v>3907</v>
      </c>
    </row>
    <row r="1221" spans="1:7" ht="13.5">
      <c r="A1221" s="307" t="s">
        <v>7453</v>
      </c>
      <c r="B1221" s="307" t="s">
        <v>7454</v>
      </c>
      <c r="C1221" s="307" t="s">
        <v>5814</v>
      </c>
      <c r="D1221" s="307" t="s">
        <v>7455</v>
      </c>
      <c r="E1221" s="307" t="s">
        <v>3905</v>
      </c>
      <c r="F1221" s="307" t="s">
        <v>3906</v>
      </c>
      <c r="G1221" s="307" t="s">
        <v>3907</v>
      </c>
    </row>
    <row r="1222" spans="1:7" ht="13.5">
      <c r="A1222" s="307" t="s">
        <v>7456</v>
      </c>
      <c r="B1222" s="307" t="s">
        <v>7457</v>
      </c>
      <c r="C1222" s="307" t="s">
        <v>5814</v>
      </c>
      <c r="D1222" s="307" t="s">
        <v>7458</v>
      </c>
      <c r="E1222" s="307" t="s">
        <v>3905</v>
      </c>
      <c r="F1222" s="307" t="s">
        <v>3906</v>
      </c>
      <c r="G1222" s="307" t="s">
        <v>3907</v>
      </c>
    </row>
    <row r="1223" spans="1:7" ht="13.5">
      <c r="A1223" s="307" t="s">
        <v>7459</v>
      </c>
      <c r="B1223" s="307" t="s">
        <v>7460</v>
      </c>
      <c r="C1223" s="307" t="s">
        <v>5814</v>
      </c>
      <c r="D1223" s="307" t="s">
        <v>7461</v>
      </c>
      <c r="E1223" s="307" t="s">
        <v>3905</v>
      </c>
      <c r="F1223" s="307" t="s">
        <v>3906</v>
      </c>
      <c r="G1223" s="307" t="s">
        <v>3907</v>
      </c>
    </row>
    <row r="1224" spans="1:7" ht="13.5">
      <c r="A1224" s="307" t="s">
        <v>7462</v>
      </c>
      <c r="B1224" s="307" t="s">
        <v>7463</v>
      </c>
      <c r="C1224" s="307" t="s">
        <v>5814</v>
      </c>
      <c r="D1224" s="307" t="s">
        <v>7464</v>
      </c>
      <c r="E1224" s="307" t="s">
        <v>4021</v>
      </c>
      <c r="F1224" s="307" t="s">
        <v>3906</v>
      </c>
      <c r="G1224" s="307" t="s">
        <v>3907</v>
      </c>
    </row>
    <row r="1225" spans="1:7" ht="13.5">
      <c r="A1225" s="307" t="s">
        <v>7465</v>
      </c>
      <c r="B1225" s="307" t="s">
        <v>7466</v>
      </c>
      <c r="C1225" s="307" t="s">
        <v>5814</v>
      </c>
      <c r="D1225" s="307" t="s">
        <v>7467</v>
      </c>
      <c r="E1225" s="307" t="s">
        <v>3905</v>
      </c>
      <c r="F1225" s="307" t="s">
        <v>3906</v>
      </c>
      <c r="G1225" s="307" t="s">
        <v>3907</v>
      </c>
    </row>
    <row r="1226" spans="1:7" ht="13.5">
      <c r="A1226" s="307" t="s">
        <v>7468</v>
      </c>
      <c r="B1226" s="307" t="s">
        <v>7469</v>
      </c>
      <c r="C1226" s="307" t="s">
        <v>5814</v>
      </c>
      <c r="D1226" s="307" t="s">
        <v>7470</v>
      </c>
      <c r="E1226" s="307" t="s">
        <v>3905</v>
      </c>
      <c r="F1226" s="307" t="s">
        <v>3906</v>
      </c>
      <c r="G1226" s="307" t="s">
        <v>3907</v>
      </c>
    </row>
    <row r="1227" spans="1:7" ht="13.5">
      <c r="A1227" s="307" t="s">
        <v>7471</v>
      </c>
      <c r="B1227" s="307" t="s">
        <v>7472</v>
      </c>
      <c r="C1227" s="307" t="s">
        <v>5814</v>
      </c>
      <c r="D1227" s="307" t="s">
        <v>7473</v>
      </c>
      <c r="E1227" s="307" t="s">
        <v>3905</v>
      </c>
      <c r="F1227" s="307" t="s">
        <v>3906</v>
      </c>
      <c r="G1227" s="307" t="s">
        <v>3907</v>
      </c>
    </row>
    <row r="1228" spans="1:7" ht="13.5">
      <c r="A1228" s="307" t="s">
        <v>7474</v>
      </c>
      <c r="B1228" s="307" t="s">
        <v>7475</v>
      </c>
      <c r="C1228" s="307" t="s">
        <v>5814</v>
      </c>
      <c r="D1228" s="307" t="s">
        <v>7476</v>
      </c>
      <c r="E1228" s="307" t="s">
        <v>3905</v>
      </c>
      <c r="F1228" s="307" t="s">
        <v>3906</v>
      </c>
      <c r="G1228" s="307" t="s">
        <v>3907</v>
      </c>
    </row>
    <row r="1229" spans="1:7" ht="13.5">
      <c r="A1229" s="307" t="s">
        <v>7477</v>
      </c>
      <c r="B1229" s="307" t="s">
        <v>7478</v>
      </c>
      <c r="C1229" s="307" t="s">
        <v>5814</v>
      </c>
      <c r="D1229" s="307" t="s">
        <v>7479</v>
      </c>
      <c r="E1229" s="307" t="s">
        <v>3905</v>
      </c>
      <c r="F1229" s="307" t="s">
        <v>3906</v>
      </c>
      <c r="G1229" s="307" t="s">
        <v>3907</v>
      </c>
    </row>
    <row r="1230" spans="1:7" ht="13.5">
      <c r="A1230" s="307" t="s">
        <v>7480</v>
      </c>
      <c r="B1230" s="307" t="s">
        <v>7481</v>
      </c>
      <c r="C1230" s="307" t="s">
        <v>5814</v>
      </c>
      <c r="D1230" s="307" t="s">
        <v>7482</v>
      </c>
      <c r="E1230" s="307" t="s">
        <v>4021</v>
      </c>
      <c r="F1230" s="307" t="s">
        <v>3906</v>
      </c>
      <c r="G1230" s="307" t="s">
        <v>3907</v>
      </c>
    </row>
    <row r="1231" spans="1:7" ht="13.5">
      <c r="A1231" s="307" t="s">
        <v>7483</v>
      </c>
      <c r="B1231" s="307" t="s">
        <v>7484</v>
      </c>
      <c r="C1231" s="307" t="s">
        <v>5814</v>
      </c>
      <c r="D1231" s="307" t="s">
        <v>7485</v>
      </c>
      <c r="E1231" s="307" t="s">
        <v>3905</v>
      </c>
      <c r="F1231" s="307" t="s">
        <v>3906</v>
      </c>
      <c r="G1231" s="307" t="s">
        <v>3907</v>
      </c>
    </row>
    <row r="1232" spans="1:7" ht="13.5">
      <c r="A1232" s="307" t="s">
        <v>7486</v>
      </c>
      <c r="B1232" s="307" t="s">
        <v>7487</v>
      </c>
      <c r="C1232" s="307" t="s">
        <v>5814</v>
      </c>
      <c r="D1232" s="307" t="s">
        <v>7488</v>
      </c>
      <c r="E1232" s="307" t="s">
        <v>3905</v>
      </c>
      <c r="F1232" s="307" t="s">
        <v>3906</v>
      </c>
      <c r="G1232" s="307" t="s">
        <v>3907</v>
      </c>
    </row>
    <row r="1233" spans="1:7" ht="13.5">
      <c r="A1233" s="307" t="s">
        <v>7489</v>
      </c>
      <c r="B1233" s="307" t="s">
        <v>7490</v>
      </c>
      <c r="C1233" s="307" t="s">
        <v>5814</v>
      </c>
      <c r="D1233" s="307" t="s">
        <v>7491</v>
      </c>
      <c r="E1233" s="307" t="s">
        <v>3905</v>
      </c>
      <c r="F1233" s="307" t="s">
        <v>3906</v>
      </c>
      <c r="G1233" s="307" t="s">
        <v>3907</v>
      </c>
    </row>
    <row r="1234" spans="1:7" ht="13.5">
      <c r="A1234" s="307" t="s">
        <v>7492</v>
      </c>
      <c r="B1234" s="307" t="s">
        <v>7493</v>
      </c>
      <c r="C1234" s="307" t="s">
        <v>5814</v>
      </c>
      <c r="D1234" s="307" t="s">
        <v>7494</v>
      </c>
      <c r="E1234" s="307" t="s">
        <v>4021</v>
      </c>
      <c r="F1234" s="307" t="s">
        <v>3906</v>
      </c>
      <c r="G1234" s="307" t="s">
        <v>3907</v>
      </c>
    </row>
    <row r="1235" spans="1:7" ht="13.5">
      <c r="A1235" s="307" t="s">
        <v>7495</v>
      </c>
      <c r="B1235" s="307" t="s">
        <v>7496</v>
      </c>
      <c r="C1235" s="307" t="s">
        <v>5814</v>
      </c>
      <c r="D1235" s="307" t="s">
        <v>7497</v>
      </c>
      <c r="E1235" s="307" t="s">
        <v>4021</v>
      </c>
      <c r="F1235" s="307" t="s">
        <v>3906</v>
      </c>
      <c r="G1235" s="307" t="s">
        <v>3907</v>
      </c>
    </row>
    <row r="1236" spans="1:7" ht="13.5">
      <c r="A1236" s="307" t="s">
        <v>7498</v>
      </c>
      <c r="B1236" s="307" t="s">
        <v>7499</v>
      </c>
      <c r="C1236" s="307" t="s">
        <v>5814</v>
      </c>
      <c r="D1236" s="307" t="s">
        <v>7500</v>
      </c>
      <c r="E1236" s="307" t="s">
        <v>3905</v>
      </c>
      <c r="F1236" s="307" t="s">
        <v>3906</v>
      </c>
      <c r="G1236" s="307" t="s">
        <v>3907</v>
      </c>
    </row>
    <row r="1237" spans="1:7" ht="13.5">
      <c r="A1237" s="307" t="s">
        <v>7501</v>
      </c>
      <c r="B1237" s="307" t="s">
        <v>7502</v>
      </c>
      <c r="C1237" s="307" t="s">
        <v>5814</v>
      </c>
      <c r="D1237" s="307" t="s">
        <v>7503</v>
      </c>
      <c r="E1237" s="307" t="s">
        <v>3905</v>
      </c>
      <c r="F1237" s="307" t="s">
        <v>3906</v>
      </c>
      <c r="G1237" s="307" t="s">
        <v>3907</v>
      </c>
    </row>
    <row r="1238" spans="1:7" ht="13.5">
      <c r="A1238" s="307" t="s">
        <v>7504</v>
      </c>
      <c r="B1238" s="307" t="s">
        <v>7505</v>
      </c>
      <c r="C1238" s="307" t="s">
        <v>5814</v>
      </c>
      <c r="D1238" s="307" t="s">
        <v>7506</v>
      </c>
      <c r="E1238" s="307" t="s">
        <v>3905</v>
      </c>
      <c r="F1238" s="307" t="s">
        <v>3906</v>
      </c>
      <c r="G1238" s="307" t="s">
        <v>3907</v>
      </c>
    </row>
    <row r="1239" spans="1:7" ht="13.5">
      <c r="A1239" s="307" t="s">
        <v>7507</v>
      </c>
      <c r="B1239" s="307" t="s">
        <v>7508</v>
      </c>
      <c r="C1239" s="307" t="s">
        <v>5814</v>
      </c>
      <c r="D1239" s="307" t="s">
        <v>7509</v>
      </c>
      <c r="E1239" s="307" t="s">
        <v>3905</v>
      </c>
      <c r="F1239" s="307" t="s">
        <v>3906</v>
      </c>
      <c r="G1239" s="307" t="s">
        <v>3907</v>
      </c>
    </row>
    <row r="1240" spans="1:7" ht="13.5">
      <c r="A1240" s="307" t="s">
        <v>7510</v>
      </c>
      <c r="B1240" s="307" t="s">
        <v>7511</v>
      </c>
      <c r="C1240" s="307" t="s">
        <v>5814</v>
      </c>
      <c r="D1240" s="307" t="s">
        <v>7512</v>
      </c>
      <c r="E1240" s="307" t="s">
        <v>3905</v>
      </c>
      <c r="F1240" s="307" t="s">
        <v>3906</v>
      </c>
      <c r="G1240" s="307" t="s">
        <v>3907</v>
      </c>
    </row>
    <row r="1241" spans="1:7" ht="13.5">
      <c r="A1241" s="307" t="s">
        <v>7513</v>
      </c>
      <c r="B1241" s="307" t="s">
        <v>7514</v>
      </c>
      <c r="C1241" s="307" t="s">
        <v>5814</v>
      </c>
      <c r="D1241" s="307" t="s">
        <v>7515</v>
      </c>
      <c r="E1241" s="307" t="s">
        <v>3905</v>
      </c>
      <c r="F1241" s="307" t="s">
        <v>3906</v>
      </c>
      <c r="G1241" s="307" t="s">
        <v>3907</v>
      </c>
    </row>
    <row r="1242" spans="1:7" ht="13.5">
      <c r="A1242" s="307" t="s">
        <v>7516</v>
      </c>
      <c r="B1242" s="307" t="s">
        <v>7517</v>
      </c>
      <c r="C1242" s="307" t="s">
        <v>5814</v>
      </c>
      <c r="D1242" s="307" t="s">
        <v>7518</v>
      </c>
      <c r="E1242" s="307" t="s">
        <v>3905</v>
      </c>
      <c r="F1242" s="307" t="s">
        <v>3906</v>
      </c>
      <c r="G1242" s="307" t="s">
        <v>3907</v>
      </c>
    </row>
    <row r="1243" spans="1:7" ht="13.5">
      <c r="A1243" s="307" t="s">
        <v>7519</v>
      </c>
      <c r="B1243" s="307" t="s">
        <v>7520</v>
      </c>
      <c r="C1243" s="307" t="s">
        <v>5814</v>
      </c>
      <c r="D1243" s="307" t="s">
        <v>7521</v>
      </c>
      <c r="E1243" s="307" t="s">
        <v>3905</v>
      </c>
      <c r="F1243" s="307" t="s">
        <v>3906</v>
      </c>
      <c r="G1243" s="307" t="s">
        <v>3907</v>
      </c>
    </row>
    <row r="1244" spans="1:7" ht="13.5">
      <c r="A1244" s="307" t="s">
        <v>7522</v>
      </c>
      <c r="B1244" s="307" t="s">
        <v>7523</v>
      </c>
      <c r="C1244" s="307" t="s">
        <v>5814</v>
      </c>
      <c r="D1244" s="307" t="s">
        <v>7524</v>
      </c>
      <c r="E1244" s="307" t="s">
        <v>3905</v>
      </c>
      <c r="F1244" s="307" t="s">
        <v>3906</v>
      </c>
      <c r="G1244" s="307" t="s">
        <v>3907</v>
      </c>
    </row>
    <row r="1245" spans="1:7" ht="13.5">
      <c r="A1245" s="307" t="s">
        <v>7525</v>
      </c>
      <c r="B1245" s="307" t="s">
        <v>7526</v>
      </c>
      <c r="C1245" s="307" t="s">
        <v>5814</v>
      </c>
      <c r="D1245" s="307" t="s">
        <v>7527</v>
      </c>
      <c r="E1245" s="307" t="s">
        <v>3905</v>
      </c>
      <c r="F1245" s="307" t="s">
        <v>3906</v>
      </c>
      <c r="G1245" s="307" t="s">
        <v>3907</v>
      </c>
    </row>
    <row r="1246" spans="1:7" ht="13.5">
      <c r="A1246" s="307" t="s">
        <v>7528</v>
      </c>
      <c r="B1246" s="307" t="s">
        <v>7529</v>
      </c>
      <c r="C1246" s="307" t="s">
        <v>5814</v>
      </c>
      <c r="D1246" s="307" t="s">
        <v>7530</v>
      </c>
      <c r="E1246" s="307" t="s">
        <v>3905</v>
      </c>
      <c r="F1246" s="307" t="s">
        <v>3906</v>
      </c>
      <c r="G1246" s="307" t="s">
        <v>3907</v>
      </c>
    </row>
    <row r="1247" spans="1:7" ht="13.5">
      <c r="A1247" s="307" t="s">
        <v>7531</v>
      </c>
      <c r="B1247" s="307" t="s">
        <v>7532</v>
      </c>
      <c r="C1247" s="307" t="s">
        <v>5814</v>
      </c>
      <c r="D1247" s="307" t="s">
        <v>7533</v>
      </c>
      <c r="E1247" s="307" t="s">
        <v>4021</v>
      </c>
      <c r="F1247" s="307" t="s">
        <v>3906</v>
      </c>
      <c r="G1247" s="307" t="s">
        <v>3907</v>
      </c>
    </row>
    <row r="1248" spans="1:7" ht="13.5">
      <c r="A1248" s="307" t="s">
        <v>7534</v>
      </c>
      <c r="B1248" s="307" t="s">
        <v>7535</v>
      </c>
      <c r="C1248" s="307" t="s">
        <v>5814</v>
      </c>
      <c r="D1248" s="307" t="s">
        <v>7536</v>
      </c>
      <c r="E1248" s="307" t="s">
        <v>3905</v>
      </c>
      <c r="F1248" s="307" t="s">
        <v>3906</v>
      </c>
      <c r="G1248" s="307" t="s">
        <v>3907</v>
      </c>
    </row>
    <row r="1249" spans="1:7" ht="13.5">
      <c r="A1249" s="307" t="s">
        <v>7537</v>
      </c>
      <c r="B1249" s="307" t="s">
        <v>7538</v>
      </c>
      <c r="C1249" s="307" t="s">
        <v>5814</v>
      </c>
      <c r="D1249" s="307" t="s">
        <v>7539</v>
      </c>
      <c r="E1249" s="307" t="s">
        <v>3905</v>
      </c>
      <c r="F1249" s="307" t="s">
        <v>3906</v>
      </c>
      <c r="G1249" s="307" t="s">
        <v>3907</v>
      </c>
    </row>
    <row r="1250" spans="1:7" ht="13.5">
      <c r="A1250" s="307" t="s">
        <v>7540</v>
      </c>
      <c r="B1250" s="307" t="s">
        <v>7541</v>
      </c>
      <c r="C1250" s="307" t="s">
        <v>5814</v>
      </c>
      <c r="D1250" s="307" t="s">
        <v>7542</v>
      </c>
      <c r="E1250" s="307" t="s">
        <v>4021</v>
      </c>
      <c r="F1250" s="307" t="s">
        <v>3906</v>
      </c>
      <c r="G1250" s="307" t="s">
        <v>3907</v>
      </c>
    </row>
    <row r="1251" spans="1:7" ht="13.5">
      <c r="A1251" s="307" t="s">
        <v>7543</v>
      </c>
      <c r="B1251" s="307" t="s">
        <v>7544</v>
      </c>
      <c r="C1251" s="307" t="s">
        <v>5814</v>
      </c>
      <c r="D1251" s="307" t="s">
        <v>7545</v>
      </c>
      <c r="E1251" s="307" t="s">
        <v>3905</v>
      </c>
      <c r="F1251" s="307" t="s">
        <v>3906</v>
      </c>
      <c r="G1251" s="307" t="s">
        <v>3907</v>
      </c>
    </row>
    <row r="1252" spans="1:7" ht="13.5">
      <c r="A1252" s="307" t="s">
        <v>7546</v>
      </c>
      <c r="B1252" s="307" t="s">
        <v>7547</v>
      </c>
      <c r="C1252" s="307" t="s">
        <v>5814</v>
      </c>
      <c r="D1252" s="307" t="s">
        <v>7548</v>
      </c>
      <c r="E1252" s="307" t="s">
        <v>3905</v>
      </c>
      <c r="F1252" s="307" t="s">
        <v>3906</v>
      </c>
      <c r="G1252" s="307" t="s">
        <v>3907</v>
      </c>
    </row>
    <row r="1253" spans="1:7" ht="13.5">
      <c r="A1253" s="307" t="s">
        <v>7549</v>
      </c>
      <c r="B1253" s="307" t="s">
        <v>7550</v>
      </c>
      <c r="C1253" s="307" t="s">
        <v>5814</v>
      </c>
      <c r="D1253" s="307" t="s">
        <v>7551</v>
      </c>
      <c r="E1253" s="307" t="s">
        <v>3905</v>
      </c>
      <c r="F1253" s="307" t="s">
        <v>3906</v>
      </c>
      <c r="G1253" s="307" t="s">
        <v>3907</v>
      </c>
    </row>
    <row r="1254" spans="1:7" ht="13.5">
      <c r="A1254" s="307" t="s">
        <v>7552</v>
      </c>
      <c r="B1254" s="307" t="s">
        <v>7553</v>
      </c>
      <c r="C1254" s="307" t="s">
        <v>5814</v>
      </c>
      <c r="D1254" s="307" t="s">
        <v>7554</v>
      </c>
      <c r="E1254" s="307" t="s">
        <v>3905</v>
      </c>
      <c r="F1254" s="307" t="s">
        <v>3906</v>
      </c>
      <c r="G1254" s="307" t="s">
        <v>3907</v>
      </c>
    </row>
    <row r="1255" spans="1:7" ht="13.5">
      <c r="A1255" s="307" t="s">
        <v>7555</v>
      </c>
      <c r="B1255" s="307" t="s">
        <v>7556</v>
      </c>
      <c r="C1255" s="307" t="s">
        <v>5814</v>
      </c>
      <c r="D1255" s="307" t="s">
        <v>7557</v>
      </c>
      <c r="E1255" s="307" t="s">
        <v>3905</v>
      </c>
      <c r="F1255" s="307" t="s">
        <v>3906</v>
      </c>
      <c r="G1255" s="307" t="s">
        <v>3907</v>
      </c>
    </row>
    <row r="1256" spans="1:7" ht="13.5">
      <c r="A1256" s="307" t="s">
        <v>7558</v>
      </c>
      <c r="B1256" s="307" t="s">
        <v>7559</v>
      </c>
      <c r="C1256" s="307" t="s">
        <v>5814</v>
      </c>
      <c r="D1256" s="307" t="s">
        <v>7560</v>
      </c>
      <c r="E1256" s="307" t="s">
        <v>3905</v>
      </c>
      <c r="F1256" s="307" t="s">
        <v>3906</v>
      </c>
      <c r="G1256" s="307" t="s">
        <v>3907</v>
      </c>
    </row>
    <row r="1257" spans="1:7" ht="13.5">
      <c r="A1257" s="307" t="s">
        <v>7561</v>
      </c>
      <c r="B1257" s="307" t="s">
        <v>7562</v>
      </c>
      <c r="C1257" s="307" t="s">
        <v>5814</v>
      </c>
      <c r="D1257" s="307" t="s">
        <v>7563</v>
      </c>
      <c r="E1257" s="307" t="s">
        <v>3905</v>
      </c>
      <c r="F1257" s="307" t="s">
        <v>3906</v>
      </c>
      <c r="G1257" s="307" t="s">
        <v>3907</v>
      </c>
    </row>
    <row r="1258" spans="1:7" ht="13.5">
      <c r="A1258" s="307" t="s">
        <v>7564</v>
      </c>
      <c r="B1258" s="307" t="s">
        <v>7565</v>
      </c>
      <c r="C1258" s="307" t="s">
        <v>5814</v>
      </c>
      <c r="D1258" s="307" t="s">
        <v>7566</v>
      </c>
      <c r="E1258" s="307" t="s">
        <v>3905</v>
      </c>
      <c r="F1258" s="307" t="s">
        <v>3906</v>
      </c>
      <c r="G1258" s="307" t="s">
        <v>3907</v>
      </c>
    </row>
    <row r="1259" spans="1:7" ht="13.5">
      <c r="A1259" s="307" t="s">
        <v>7567</v>
      </c>
      <c r="B1259" s="307" t="s">
        <v>7568</v>
      </c>
      <c r="C1259" s="307" t="s">
        <v>5814</v>
      </c>
      <c r="D1259" s="307" t="s">
        <v>7569</v>
      </c>
      <c r="E1259" s="307" t="s">
        <v>3905</v>
      </c>
      <c r="F1259" s="307" t="s">
        <v>3906</v>
      </c>
      <c r="G1259" s="307" t="s">
        <v>3907</v>
      </c>
    </row>
    <row r="1260" spans="1:7" ht="13.5">
      <c r="A1260" s="307" t="s">
        <v>7570</v>
      </c>
      <c r="B1260" s="307" t="s">
        <v>7571</v>
      </c>
      <c r="C1260" s="307" t="s">
        <v>5814</v>
      </c>
      <c r="D1260" s="307" t="s">
        <v>7572</v>
      </c>
      <c r="E1260" s="307" t="s">
        <v>3905</v>
      </c>
      <c r="F1260" s="307" t="s">
        <v>3906</v>
      </c>
      <c r="G1260" s="307" t="s">
        <v>3907</v>
      </c>
    </row>
    <row r="1261" spans="1:7" ht="13.5">
      <c r="A1261" s="307" t="s">
        <v>7573</v>
      </c>
      <c r="B1261" s="307" t="s">
        <v>7574</v>
      </c>
      <c r="C1261" s="307" t="s">
        <v>5814</v>
      </c>
      <c r="D1261" s="307" t="s">
        <v>7575</v>
      </c>
      <c r="E1261" s="307" t="s">
        <v>3905</v>
      </c>
      <c r="F1261" s="307" t="s">
        <v>3906</v>
      </c>
      <c r="G1261" s="307" t="s">
        <v>3907</v>
      </c>
    </row>
    <row r="1262" spans="1:7" ht="13.5">
      <c r="A1262" s="307" t="s">
        <v>7576</v>
      </c>
      <c r="B1262" s="307" t="s">
        <v>7577</v>
      </c>
      <c r="C1262" s="307" t="s">
        <v>5814</v>
      </c>
      <c r="D1262" s="307" t="s">
        <v>7578</v>
      </c>
      <c r="E1262" s="307" t="s">
        <v>3905</v>
      </c>
      <c r="F1262" s="307" t="s">
        <v>3906</v>
      </c>
      <c r="G1262" s="307" t="s">
        <v>3907</v>
      </c>
    </row>
    <row r="1263" spans="1:7" ht="13.5">
      <c r="A1263" s="307" t="s">
        <v>7579</v>
      </c>
      <c r="B1263" s="307" t="s">
        <v>7580</v>
      </c>
      <c r="C1263" s="307" t="s">
        <v>5814</v>
      </c>
      <c r="D1263" s="307" t="s">
        <v>7581</v>
      </c>
      <c r="E1263" s="307" t="s">
        <v>3905</v>
      </c>
      <c r="F1263" s="307" t="s">
        <v>3906</v>
      </c>
      <c r="G1263" s="307" t="s">
        <v>3907</v>
      </c>
    </row>
    <row r="1264" spans="1:7" ht="13.5">
      <c r="A1264" s="307" t="s">
        <v>7582</v>
      </c>
      <c r="B1264" s="307" t="s">
        <v>7583</v>
      </c>
      <c r="C1264" s="307" t="s">
        <v>5814</v>
      </c>
      <c r="D1264" s="307" t="s">
        <v>7584</v>
      </c>
      <c r="E1264" s="307" t="s">
        <v>3905</v>
      </c>
      <c r="F1264" s="307" t="s">
        <v>3906</v>
      </c>
      <c r="G1264" s="307" t="s">
        <v>3907</v>
      </c>
    </row>
    <row r="1265" spans="1:7" ht="13.5">
      <c r="A1265" s="307" t="s">
        <v>7585</v>
      </c>
      <c r="B1265" s="307" t="s">
        <v>7586</v>
      </c>
      <c r="C1265" s="307" t="s">
        <v>5814</v>
      </c>
      <c r="D1265" s="307" t="s">
        <v>7587</v>
      </c>
      <c r="E1265" s="307" t="s">
        <v>3905</v>
      </c>
      <c r="F1265" s="307" t="s">
        <v>3906</v>
      </c>
      <c r="G1265" s="307" t="s">
        <v>3907</v>
      </c>
    </row>
    <row r="1266" spans="1:7" ht="13.5">
      <c r="A1266" s="307" t="s">
        <v>7588</v>
      </c>
      <c r="B1266" s="307" t="s">
        <v>7589</v>
      </c>
      <c r="C1266" s="307" t="s">
        <v>5814</v>
      </c>
      <c r="D1266" s="307" t="s">
        <v>7590</v>
      </c>
      <c r="E1266" s="307" t="s">
        <v>3905</v>
      </c>
      <c r="F1266" s="307" t="s">
        <v>3906</v>
      </c>
      <c r="G1266" s="307" t="s">
        <v>3907</v>
      </c>
    </row>
    <row r="1267" spans="1:7" ht="13.5">
      <c r="A1267" s="307" t="s">
        <v>7591</v>
      </c>
      <c r="B1267" s="307" t="s">
        <v>7592</v>
      </c>
      <c r="C1267" s="307" t="s">
        <v>5814</v>
      </c>
      <c r="D1267" s="307" t="s">
        <v>7593</v>
      </c>
      <c r="E1267" s="307" t="s">
        <v>3905</v>
      </c>
      <c r="F1267" s="307" t="s">
        <v>3906</v>
      </c>
      <c r="G1267" s="307" t="s">
        <v>3907</v>
      </c>
    </row>
    <row r="1268" spans="1:7" ht="13.5">
      <c r="A1268" s="307" t="s">
        <v>7594</v>
      </c>
      <c r="B1268" s="307" t="s">
        <v>7595</v>
      </c>
      <c r="C1268" s="307" t="s">
        <v>5814</v>
      </c>
      <c r="D1268" s="307" t="s">
        <v>7596</v>
      </c>
      <c r="E1268" s="307" t="s">
        <v>3905</v>
      </c>
      <c r="F1268" s="307" t="s">
        <v>3906</v>
      </c>
      <c r="G1268" s="307" t="s">
        <v>3907</v>
      </c>
    </row>
    <row r="1269" spans="1:7" ht="13.5">
      <c r="A1269" s="307" t="s">
        <v>7597</v>
      </c>
      <c r="B1269" s="307" t="s">
        <v>7598</v>
      </c>
      <c r="C1269" s="307" t="s">
        <v>5814</v>
      </c>
      <c r="D1269" s="307" t="s">
        <v>7599</v>
      </c>
      <c r="E1269" s="307" t="s">
        <v>3905</v>
      </c>
      <c r="F1269" s="307" t="s">
        <v>3906</v>
      </c>
      <c r="G1269" s="307" t="s">
        <v>3907</v>
      </c>
    </row>
    <row r="1270" spans="1:7" ht="13.5">
      <c r="A1270" s="307" t="s">
        <v>7600</v>
      </c>
      <c r="B1270" s="307" t="s">
        <v>7601</v>
      </c>
      <c r="C1270" s="307" t="s">
        <v>5814</v>
      </c>
      <c r="D1270" s="307" t="s">
        <v>7602</v>
      </c>
      <c r="E1270" s="307" t="s">
        <v>3905</v>
      </c>
      <c r="F1270" s="307" t="s">
        <v>3906</v>
      </c>
      <c r="G1270" s="307" t="s">
        <v>3907</v>
      </c>
    </row>
    <row r="1271" spans="1:7" ht="13.5">
      <c r="A1271" s="307" t="s">
        <v>7603</v>
      </c>
      <c r="B1271" s="307" t="s">
        <v>7604</v>
      </c>
      <c r="C1271" s="307" t="s">
        <v>5814</v>
      </c>
      <c r="D1271" s="307" t="s">
        <v>7605</v>
      </c>
      <c r="E1271" s="307" t="s">
        <v>3905</v>
      </c>
      <c r="F1271" s="307" t="s">
        <v>3906</v>
      </c>
      <c r="G1271" s="307" t="s">
        <v>3907</v>
      </c>
    </row>
    <row r="1272" spans="1:7" ht="13.5">
      <c r="A1272" s="307" t="s">
        <v>7606</v>
      </c>
      <c r="B1272" s="307" t="s">
        <v>7607</v>
      </c>
      <c r="C1272" s="307" t="s">
        <v>5814</v>
      </c>
      <c r="D1272" s="307" t="s">
        <v>7608</v>
      </c>
      <c r="E1272" s="307" t="s">
        <v>3905</v>
      </c>
      <c r="F1272" s="307" t="s">
        <v>3906</v>
      </c>
      <c r="G1272" s="307" t="s">
        <v>3907</v>
      </c>
    </row>
    <row r="1273" spans="1:7" ht="13.5">
      <c r="A1273" s="307" t="s">
        <v>7609</v>
      </c>
      <c r="B1273" s="307" t="s">
        <v>7610</v>
      </c>
      <c r="C1273" s="307" t="s">
        <v>5814</v>
      </c>
      <c r="D1273" s="307" t="s">
        <v>7611</v>
      </c>
      <c r="E1273" s="307" t="s">
        <v>4021</v>
      </c>
      <c r="F1273" s="307" t="s">
        <v>3906</v>
      </c>
      <c r="G1273" s="307" t="s">
        <v>3907</v>
      </c>
    </row>
    <row r="1274" spans="1:7" ht="13.5">
      <c r="A1274" s="307" t="s">
        <v>7612</v>
      </c>
      <c r="B1274" s="307" t="s">
        <v>7613</v>
      </c>
      <c r="C1274" s="307" t="s">
        <v>5814</v>
      </c>
      <c r="D1274" s="307" t="s">
        <v>7614</v>
      </c>
      <c r="E1274" s="307" t="s">
        <v>3905</v>
      </c>
      <c r="F1274" s="307" t="s">
        <v>3906</v>
      </c>
      <c r="G1274" s="307" t="s">
        <v>3907</v>
      </c>
    </row>
    <row r="1275" spans="1:7" ht="13.5">
      <c r="A1275" s="307" t="s">
        <v>7615</v>
      </c>
      <c r="B1275" s="307" t="s">
        <v>7616</v>
      </c>
      <c r="C1275" s="307" t="s">
        <v>5814</v>
      </c>
      <c r="D1275" s="307" t="s">
        <v>7617</v>
      </c>
      <c r="E1275" s="307" t="s">
        <v>3905</v>
      </c>
      <c r="F1275" s="307" t="s">
        <v>3906</v>
      </c>
      <c r="G1275" s="307" t="s">
        <v>3907</v>
      </c>
    </row>
    <row r="1276" spans="1:7" ht="13.5">
      <c r="A1276" s="307" t="s">
        <v>7618</v>
      </c>
      <c r="B1276" s="307" t="s">
        <v>7619</v>
      </c>
      <c r="C1276" s="307" t="s">
        <v>5814</v>
      </c>
      <c r="D1276" s="307" t="s">
        <v>7620</v>
      </c>
      <c r="E1276" s="307" t="s">
        <v>3905</v>
      </c>
      <c r="F1276" s="307" t="s">
        <v>3906</v>
      </c>
      <c r="G1276" s="307" t="s">
        <v>3907</v>
      </c>
    </row>
    <row r="1277" spans="1:7" ht="13.5">
      <c r="A1277" s="307" t="s">
        <v>7621</v>
      </c>
      <c r="B1277" s="307" t="s">
        <v>7622</v>
      </c>
      <c r="C1277" s="307" t="s">
        <v>5814</v>
      </c>
      <c r="D1277" s="307" t="s">
        <v>7623</v>
      </c>
      <c r="E1277" s="307" t="s">
        <v>3905</v>
      </c>
      <c r="F1277" s="307" t="s">
        <v>3906</v>
      </c>
      <c r="G1277" s="307" t="s">
        <v>3907</v>
      </c>
    </row>
    <row r="1278" spans="1:7" ht="13.5">
      <c r="A1278" s="307" t="s">
        <v>7624</v>
      </c>
      <c r="B1278" s="307" t="s">
        <v>7625</v>
      </c>
      <c r="C1278" s="307" t="s">
        <v>5814</v>
      </c>
      <c r="D1278" s="307" t="s">
        <v>7626</v>
      </c>
      <c r="E1278" s="307" t="s">
        <v>3905</v>
      </c>
      <c r="F1278" s="307" t="s">
        <v>3906</v>
      </c>
      <c r="G1278" s="307" t="s">
        <v>3907</v>
      </c>
    </row>
    <row r="1279" spans="1:7" ht="13.5">
      <c r="A1279" s="307" t="s">
        <v>7627</v>
      </c>
      <c r="B1279" s="307" t="s">
        <v>7628</v>
      </c>
      <c r="C1279" s="307" t="s">
        <v>5814</v>
      </c>
      <c r="D1279" s="307" t="s">
        <v>7629</v>
      </c>
      <c r="E1279" s="307" t="s">
        <v>3905</v>
      </c>
      <c r="F1279" s="307" t="s">
        <v>3906</v>
      </c>
      <c r="G1279" s="307" t="s">
        <v>3907</v>
      </c>
    </row>
    <row r="1280" spans="1:7" ht="13.5">
      <c r="A1280" s="307" t="s">
        <v>7630</v>
      </c>
      <c r="B1280" s="307" t="s">
        <v>7631</v>
      </c>
      <c r="C1280" s="307" t="s">
        <v>5814</v>
      </c>
      <c r="D1280" s="307" t="s">
        <v>7632</v>
      </c>
      <c r="E1280" s="307" t="s">
        <v>3905</v>
      </c>
      <c r="F1280" s="307" t="s">
        <v>3906</v>
      </c>
      <c r="G1280" s="307" t="s">
        <v>3907</v>
      </c>
    </row>
    <row r="1281" spans="1:7" ht="13.5">
      <c r="A1281" s="307" t="s">
        <v>7633</v>
      </c>
      <c r="B1281" s="307" t="s">
        <v>7634</v>
      </c>
      <c r="C1281" s="307" t="s">
        <v>5814</v>
      </c>
      <c r="D1281" s="307" t="s">
        <v>7635</v>
      </c>
      <c r="E1281" s="307" t="s">
        <v>3905</v>
      </c>
      <c r="F1281" s="307" t="s">
        <v>3906</v>
      </c>
      <c r="G1281" s="307" t="s">
        <v>3907</v>
      </c>
    </row>
    <row r="1282" spans="1:7" ht="13.5">
      <c r="A1282" s="307" t="s">
        <v>7636</v>
      </c>
      <c r="B1282" s="307" t="s">
        <v>7637</v>
      </c>
      <c r="C1282" s="307" t="s">
        <v>5814</v>
      </c>
      <c r="D1282" s="307" t="s">
        <v>7638</v>
      </c>
      <c r="E1282" s="307" t="s">
        <v>3905</v>
      </c>
      <c r="F1282" s="307" t="s">
        <v>3906</v>
      </c>
      <c r="G1282" s="307" t="s">
        <v>3907</v>
      </c>
    </row>
    <row r="1283" spans="1:7" ht="13.5">
      <c r="A1283" s="307" t="s">
        <v>7639</v>
      </c>
      <c r="B1283" s="307" t="s">
        <v>7640</v>
      </c>
      <c r="C1283" s="307" t="s">
        <v>5814</v>
      </c>
      <c r="D1283" s="307" t="s">
        <v>7641</v>
      </c>
      <c r="E1283" s="307" t="s">
        <v>3905</v>
      </c>
      <c r="F1283" s="307" t="s">
        <v>3906</v>
      </c>
      <c r="G1283" s="307" t="s">
        <v>3907</v>
      </c>
    </row>
    <row r="1284" spans="1:7" ht="13.5">
      <c r="A1284" s="307" t="s">
        <v>7642</v>
      </c>
      <c r="B1284" s="307" t="s">
        <v>7643</v>
      </c>
      <c r="C1284" s="307" t="s">
        <v>5814</v>
      </c>
      <c r="D1284" s="307" t="s">
        <v>7644</v>
      </c>
      <c r="E1284" s="307" t="s">
        <v>3905</v>
      </c>
      <c r="F1284" s="307" t="s">
        <v>3906</v>
      </c>
      <c r="G1284" s="307" t="s">
        <v>3907</v>
      </c>
    </row>
    <row r="1285" spans="1:7" ht="13.5">
      <c r="A1285" s="307" t="s">
        <v>7645</v>
      </c>
      <c r="B1285" s="307" t="s">
        <v>7646</v>
      </c>
      <c r="C1285" s="307" t="s">
        <v>5814</v>
      </c>
      <c r="D1285" s="307" t="s">
        <v>7647</v>
      </c>
      <c r="E1285" s="307" t="s">
        <v>3905</v>
      </c>
      <c r="F1285" s="307" t="s">
        <v>3906</v>
      </c>
      <c r="G1285" s="307" t="s">
        <v>3907</v>
      </c>
    </row>
    <row r="1286" spans="1:7" ht="13.5">
      <c r="A1286" s="307" t="s">
        <v>7648</v>
      </c>
      <c r="B1286" s="307" t="s">
        <v>7649</v>
      </c>
      <c r="C1286" s="307" t="s">
        <v>5814</v>
      </c>
      <c r="D1286" s="307" t="s">
        <v>7650</v>
      </c>
      <c r="E1286" s="307" t="s">
        <v>3905</v>
      </c>
      <c r="F1286" s="307" t="s">
        <v>3906</v>
      </c>
      <c r="G1286" s="307" t="s">
        <v>3907</v>
      </c>
    </row>
    <row r="1287" spans="1:7" ht="13.5">
      <c r="A1287" s="307" t="s">
        <v>7651</v>
      </c>
      <c r="B1287" s="307" t="s">
        <v>7652</v>
      </c>
      <c r="C1287" s="307" t="s">
        <v>5814</v>
      </c>
      <c r="D1287" s="307" t="s">
        <v>7653</v>
      </c>
      <c r="E1287" s="307" t="s">
        <v>3905</v>
      </c>
      <c r="F1287" s="307" t="s">
        <v>3906</v>
      </c>
      <c r="G1287" s="307" t="s">
        <v>3907</v>
      </c>
    </row>
    <row r="1288" spans="1:7" ht="13.5">
      <c r="A1288" s="307" t="s">
        <v>7654</v>
      </c>
      <c r="B1288" s="307" t="s">
        <v>7655</v>
      </c>
      <c r="C1288" s="307" t="s">
        <v>5814</v>
      </c>
      <c r="D1288" s="307" t="s">
        <v>7656</v>
      </c>
      <c r="E1288" s="307" t="s">
        <v>3905</v>
      </c>
      <c r="F1288" s="307" t="s">
        <v>3906</v>
      </c>
      <c r="G1288" s="307" t="s">
        <v>3907</v>
      </c>
    </row>
    <row r="1289" spans="1:7" ht="13.5">
      <c r="A1289" s="307" t="s">
        <v>7657</v>
      </c>
      <c r="B1289" s="307" t="s">
        <v>7658</v>
      </c>
      <c r="C1289" s="307" t="s">
        <v>5814</v>
      </c>
      <c r="D1289" s="307" t="s">
        <v>7659</v>
      </c>
      <c r="E1289" s="307" t="s">
        <v>3905</v>
      </c>
      <c r="F1289" s="307" t="s">
        <v>3906</v>
      </c>
      <c r="G1289" s="307" t="s">
        <v>3907</v>
      </c>
    </row>
    <row r="1290" spans="1:7" ht="13.5">
      <c r="A1290" s="307" t="s">
        <v>7660</v>
      </c>
      <c r="B1290" s="307" t="s">
        <v>7661</v>
      </c>
      <c r="C1290" s="307" t="s">
        <v>5814</v>
      </c>
      <c r="D1290" s="307" t="s">
        <v>7662</v>
      </c>
      <c r="E1290" s="307" t="s">
        <v>3905</v>
      </c>
      <c r="F1290" s="307" t="s">
        <v>3906</v>
      </c>
      <c r="G1290" s="307" t="s">
        <v>3907</v>
      </c>
    </row>
    <row r="1291" spans="1:7" ht="13.5">
      <c r="A1291" s="307" t="s">
        <v>7663</v>
      </c>
      <c r="B1291" s="307" t="s">
        <v>7664</v>
      </c>
      <c r="C1291" s="307" t="s">
        <v>5814</v>
      </c>
      <c r="D1291" s="307" t="s">
        <v>7665</v>
      </c>
      <c r="E1291" s="307" t="s">
        <v>3905</v>
      </c>
      <c r="F1291" s="307" t="s">
        <v>3906</v>
      </c>
      <c r="G1291" s="307" t="s">
        <v>3907</v>
      </c>
    </row>
    <row r="1292" spans="1:7" ht="13.5">
      <c r="A1292" s="307" t="s">
        <v>7666</v>
      </c>
      <c r="B1292" s="307" t="s">
        <v>7667</v>
      </c>
      <c r="C1292" s="307" t="s">
        <v>5814</v>
      </c>
      <c r="D1292" s="307" t="s">
        <v>7668</v>
      </c>
      <c r="E1292" s="307" t="s">
        <v>3905</v>
      </c>
      <c r="F1292" s="307" t="s">
        <v>3906</v>
      </c>
      <c r="G1292" s="307" t="s">
        <v>3907</v>
      </c>
    </row>
    <row r="1293" spans="1:7" ht="13.5">
      <c r="A1293" s="307" t="s">
        <v>7669</v>
      </c>
      <c r="B1293" s="307" t="s">
        <v>7670</v>
      </c>
      <c r="C1293" s="307" t="s">
        <v>5814</v>
      </c>
      <c r="D1293" s="307" t="s">
        <v>7671</v>
      </c>
      <c r="E1293" s="307" t="s">
        <v>3905</v>
      </c>
      <c r="F1293" s="307" t="s">
        <v>3906</v>
      </c>
      <c r="G1293" s="307" t="s">
        <v>3907</v>
      </c>
    </row>
    <row r="1294" spans="1:7" ht="13.5">
      <c r="A1294" s="307" t="s">
        <v>7672</v>
      </c>
      <c r="B1294" s="307" t="s">
        <v>7673</v>
      </c>
      <c r="C1294" s="307" t="s">
        <v>5814</v>
      </c>
      <c r="D1294" s="307" t="s">
        <v>7674</v>
      </c>
      <c r="E1294" s="307" t="s">
        <v>3905</v>
      </c>
      <c r="F1294" s="307" t="s">
        <v>3906</v>
      </c>
      <c r="G1294" s="307" t="s">
        <v>3907</v>
      </c>
    </row>
    <row r="1295" spans="1:7" ht="13.5">
      <c r="A1295" s="307" t="s">
        <v>7675</v>
      </c>
      <c r="B1295" s="307" t="s">
        <v>7676</v>
      </c>
      <c r="C1295" s="307" t="s">
        <v>5814</v>
      </c>
      <c r="D1295" s="307" t="s">
        <v>7677</v>
      </c>
      <c r="E1295" s="307" t="s">
        <v>3905</v>
      </c>
      <c r="F1295" s="307" t="s">
        <v>3906</v>
      </c>
      <c r="G1295" s="307" t="s">
        <v>3907</v>
      </c>
    </row>
    <row r="1296" spans="1:7" ht="13.5">
      <c r="A1296" s="307" t="s">
        <v>7678</v>
      </c>
      <c r="B1296" s="307" t="s">
        <v>7679</v>
      </c>
      <c r="C1296" s="307" t="s">
        <v>5814</v>
      </c>
      <c r="D1296" s="307" t="s">
        <v>7680</v>
      </c>
      <c r="E1296" s="307" t="s">
        <v>3905</v>
      </c>
      <c r="F1296" s="307" t="s">
        <v>3906</v>
      </c>
      <c r="G1296" s="307" t="s">
        <v>3907</v>
      </c>
    </row>
    <row r="1297" spans="1:7" ht="13.5">
      <c r="A1297" s="307" t="s">
        <v>7681</v>
      </c>
      <c r="B1297" s="307" t="s">
        <v>7682</v>
      </c>
      <c r="C1297" s="307" t="s">
        <v>5814</v>
      </c>
      <c r="D1297" s="307" t="s">
        <v>7683</v>
      </c>
      <c r="E1297" s="307" t="s">
        <v>3905</v>
      </c>
      <c r="F1297" s="307" t="s">
        <v>3906</v>
      </c>
      <c r="G1297" s="307" t="s">
        <v>3907</v>
      </c>
    </row>
    <row r="1298" spans="1:7" ht="13.5">
      <c r="A1298" s="307" t="s">
        <v>7684</v>
      </c>
      <c r="B1298" s="307" t="s">
        <v>7685</v>
      </c>
      <c r="C1298" s="307" t="s">
        <v>5814</v>
      </c>
      <c r="D1298" s="307" t="s">
        <v>7686</v>
      </c>
      <c r="E1298" s="307" t="s">
        <v>4021</v>
      </c>
      <c r="F1298" s="307" t="s">
        <v>3906</v>
      </c>
      <c r="G1298" s="307" t="s">
        <v>3907</v>
      </c>
    </row>
    <row r="1299" spans="1:7" ht="13.5">
      <c r="A1299" s="307" t="s">
        <v>7687</v>
      </c>
      <c r="B1299" s="307" t="s">
        <v>7688</v>
      </c>
      <c r="C1299" s="307" t="s">
        <v>5814</v>
      </c>
      <c r="D1299" s="307" t="s">
        <v>7689</v>
      </c>
      <c r="E1299" s="307" t="s">
        <v>4021</v>
      </c>
      <c r="F1299" s="307" t="s">
        <v>3906</v>
      </c>
      <c r="G1299" s="307" t="s">
        <v>3907</v>
      </c>
    </row>
    <row r="1300" spans="1:7" ht="13.5">
      <c r="A1300" s="307" t="s">
        <v>7690</v>
      </c>
      <c r="B1300" s="307" t="s">
        <v>7691</v>
      </c>
      <c r="C1300" s="307" t="s">
        <v>5814</v>
      </c>
      <c r="D1300" s="307" t="s">
        <v>7692</v>
      </c>
      <c r="E1300" s="307" t="s">
        <v>3905</v>
      </c>
      <c r="F1300" s="307" t="s">
        <v>3906</v>
      </c>
      <c r="G1300" s="307" t="s">
        <v>3907</v>
      </c>
    </row>
    <row r="1301" spans="1:7" ht="13.5">
      <c r="A1301" s="307" t="s">
        <v>7693</v>
      </c>
      <c r="B1301" s="307" t="s">
        <v>7694</v>
      </c>
      <c r="C1301" s="307" t="s">
        <v>5814</v>
      </c>
      <c r="D1301" s="307" t="s">
        <v>7695</v>
      </c>
      <c r="E1301" s="307" t="s">
        <v>3905</v>
      </c>
      <c r="F1301" s="307" t="s">
        <v>3906</v>
      </c>
      <c r="G1301" s="307" t="s">
        <v>3907</v>
      </c>
    </row>
    <row r="1302" spans="1:7" ht="13.5">
      <c r="A1302" s="307" t="s">
        <v>7696</v>
      </c>
      <c r="B1302" s="307" t="s">
        <v>7697</v>
      </c>
      <c r="C1302" s="307" t="s">
        <v>5814</v>
      </c>
      <c r="D1302" s="307" t="s">
        <v>7698</v>
      </c>
      <c r="E1302" s="307" t="s">
        <v>3905</v>
      </c>
      <c r="F1302" s="307" t="s">
        <v>3906</v>
      </c>
      <c r="G1302" s="307" t="s">
        <v>3907</v>
      </c>
    </row>
    <row r="1303" spans="1:7" ht="13.5">
      <c r="A1303" s="307" t="s">
        <v>7699</v>
      </c>
      <c r="B1303" s="307" t="s">
        <v>7700</v>
      </c>
      <c r="C1303" s="307" t="s">
        <v>5814</v>
      </c>
      <c r="D1303" s="307" t="s">
        <v>7701</v>
      </c>
      <c r="E1303" s="307" t="s">
        <v>3905</v>
      </c>
      <c r="F1303" s="307" t="s">
        <v>3906</v>
      </c>
      <c r="G1303" s="307" t="s">
        <v>3907</v>
      </c>
    </row>
    <row r="1304" spans="1:7" ht="13.5">
      <c r="A1304" s="307" t="s">
        <v>7702</v>
      </c>
      <c r="B1304" s="307" t="s">
        <v>7703</v>
      </c>
      <c r="C1304" s="307" t="s">
        <v>5814</v>
      </c>
      <c r="D1304" s="307" t="s">
        <v>7704</v>
      </c>
      <c r="E1304" s="307" t="s">
        <v>4021</v>
      </c>
      <c r="F1304" s="307" t="s">
        <v>3906</v>
      </c>
      <c r="G1304" s="307" t="s">
        <v>3907</v>
      </c>
    </row>
    <row r="1305" spans="1:7" ht="13.5">
      <c r="A1305" s="307" t="s">
        <v>7705</v>
      </c>
      <c r="B1305" s="307" t="s">
        <v>7706</v>
      </c>
      <c r="C1305" s="307" t="s">
        <v>5814</v>
      </c>
      <c r="D1305" s="307" t="s">
        <v>7707</v>
      </c>
      <c r="E1305" s="307" t="s">
        <v>3905</v>
      </c>
      <c r="F1305" s="307" t="s">
        <v>3906</v>
      </c>
      <c r="G1305" s="307" t="s">
        <v>3907</v>
      </c>
    </row>
    <row r="1306" spans="1:7" ht="13.5">
      <c r="A1306" s="307" t="s">
        <v>7708</v>
      </c>
      <c r="B1306" s="307" t="s">
        <v>7709</v>
      </c>
      <c r="C1306" s="307" t="s">
        <v>5814</v>
      </c>
      <c r="D1306" s="307" t="s">
        <v>7710</v>
      </c>
      <c r="E1306" s="307" t="s">
        <v>3905</v>
      </c>
      <c r="F1306" s="307" t="s">
        <v>3906</v>
      </c>
      <c r="G1306" s="307" t="s">
        <v>3907</v>
      </c>
    </row>
    <row r="1307" spans="1:7" ht="13.5">
      <c r="A1307" s="307" t="s">
        <v>7711</v>
      </c>
      <c r="B1307" s="307" t="s">
        <v>7712</v>
      </c>
      <c r="C1307" s="307" t="s">
        <v>5814</v>
      </c>
      <c r="D1307" s="307" t="s">
        <v>7713</v>
      </c>
      <c r="E1307" s="307" t="s">
        <v>3905</v>
      </c>
      <c r="F1307" s="307" t="s">
        <v>3906</v>
      </c>
      <c r="G1307" s="307" t="s">
        <v>3907</v>
      </c>
    </row>
    <row r="1308" spans="1:7" ht="13.5">
      <c r="A1308" s="307" t="s">
        <v>7714</v>
      </c>
      <c r="B1308" s="307" t="s">
        <v>7715</v>
      </c>
      <c r="C1308" s="307" t="s">
        <v>5814</v>
      </c>
      <c r="D1308" s="307" t="s">
        <v>7716</v>
      </c>
      <c r="E1308" s="307" t="s">
        <v>3905</v>
      </c>
      <c r="F1308" s="307" t="s">
        <v>3906</v>
      </c>
      <c r="G1308" s="307" t="s">
        <v>3907</v>
      </c>
    </row>
    <row r="1309" spans="1:7" ht="13.5">
      <c r="A1309" s="307" t="s">
        <v>7717</v>
      </c>
      <c r="B1309" s="307" t="s">
        <v>7718</v>
      </c>
      <c r="C1309" s="307" t="s">
        <v>5814</v>
      </c>
      <c r="D1309" s="307" t="s">
        <v>7719</v>
      </c>
      <c r="E1309" s="307" t="s">
        <v>3905</v>
      </c>
      <c r="F1309" s="307" t="s">
        <v>3906</v>
      </c>
      <c r="G1309" s="307" t="s">
        <v>3907</v>
      </c>
    </row>
    <row r="1310" spans="1:7" ht="13.5">
      <c r="A1310" s="307" t="s">
        <v>7720</v>
      </c>
      <c r="B1310" s="307" t="s">
        <v>7721</v>
      </c>
      <c r="C1310" s="307" t="s">
        <v>5814</v>
      </c>
      <c r="D1310" s="307" t="s">
        <v>7722</v>
      </c>
      <c r="E1310" s="307" t="s">
        <v>3905</v>
      </c>
      <c r="F1310" s="307" t="s">
        <v>3906</v>
      </c>
      <c r="G1310" s="307" t="s">
        <v>3907</v>
      </c>
    </row>
    <row r="1311" spans="1:7" ht="13.5">
      <c r="A1311" s="307" t="s">
        <v>7723</v>
      </c>
      <c r="B1311" s="307" t="s">
        <v>7724</v>
      </c>
      <c r="C1311" s="307" t="s">
        <v>5814</v>
      </c>
      <c r="D1311" s="307" t="s">
        <v>7725</v>
      </c>
      <c r="E1311" s="307" t="s">
        <v>3905</v>
      </c>
      <c r="F1311" s="307" t="s">
        <v>3906</v>
      </c>
      <c r="G1311" s="307" t="s">
        <v>3907</v>
      </c>
    </row>
    <row r="1312" spans="1:7" ht="13.5">
      <c r="A1312" s="307" t="s">
        <v>7726</v>
      </c>
      <c r="B1312" s="307" t="s">
        <v>7727</v>
      </c>
      <c r="C1312" s="307" t="s">
        <v>5814</v>
      </c>
      <c r="D1312" s="307" t="s">
        <v>7728</v>
      </c>
      <c r="E1312" s="307" t="s">
        <v>3905</v>
      </c>
      <c r="F1312" s="307" t="s">
        <v>3906</v>
      </c>
      <c r="G1312" s="307" t="s">
        <v>3907</v>
      </c>
    </row>
    <row r="1313" spans="1:7" ht="13.5">
      <c r="A1313" s="307" t="s">
        <v>7729</v>
      </c>
      <c r="B1313" s="307" t="s">
        <v>7730</v>
      </c>
      <c r="C1313" s="307" t="s">
        <v>5814</v>
      </c>
      <c r="D1313" s="307" t="s">
        <v>7731</v>
      </c>
      <c r="E1313" s="307" t="s">
        <v>3905</v>
      </c>
      <c r="F1313" s="307" t="s">
        <v>3906</v>
      </c>
      <c r="G1313" s="307" t="s">
        <v>3907</v>
      </c>
    </row>
    <row r="1314" spans="1:7" ht="13.5">
      <c r="A1314" s="307" t="s">
        <v>7732</v>
      </c>
      <c r="B1314" s="307" t="s">
        <v>7733</v>
      </c>
      <c r="C1314" s="307" t="s">
        <v>5814</v>
      </c>
      <c r="D1314" s="307" t="s">
        <v>7734</v>
      </c>
      <c r="E1314" s="307" t="s">
        <v>3905</v>
      </c>
      <c r="F1314" s="307" t="s">
        <v>3906</v>
      </c>
      <c r="G1314" s="307" t="s">
        <v>3907</v>
      </c>
    </row>
    <row r="1315" spans="1:7" ht="13.5">
      <c r="A1315" s="307" t="s">
        <v>7735</v>
      </c>
      <c r="B1315" s="307" t="s">
        <v>7736</v>
      </c>
      <c r="C1315" s="307" t="s">
        <v>5814</v>
      </c>
      <c r="D1315" s="307" t="s">
        <v>7737</v>
      </c>
      <c r="E1315" s="307" t="s">
        <v>3905</v>
      </c>
      <c r="F1315" s="307" t="s">
        <v>3906</v>
      </c>
      <c r="G1315" s="307" t="s">
        <v>3907</v>
      </c>
    </row>
    <row r="1316" spans="1:7" ht="13.5">
      <c r="A1316" s="307" t="s">
        <v>7738</v>
      </c>
      <c r="B1316" s="307" t="s">
        <v>7739</v>
      </c>
      <c r="C1316" s="307" t="s">
        <v>5814</v>
      </c>
      <c r="D1316" s="307" t="s">
        <v>7740</v>
      </c>
      <c r="E1316" s="307" t="s">
        <v>3905</v>
      </c>
      <c r="F1316" s="307" t="s">
        <v>3906</v>
      </c>
      <c r="G1316" s="307" t="s">
        <v>3907</v>
      </c>
    </row>
    <row r="1317" spans="1:7" ht="13.5">
      <c r="A1317" s="307" t="s">
        <v>7741</v>
      </c>
      <c r="B1317" s="307" t="s">
        <v>7742</v>
      </c>
      <c r="C1317" s="307" t="s">
        <v>5814</v>
      </c>
      <c r="D1317" s="307" t="s">
        <v>7743</v>
      </c>
      <c r="E1317" s="307" t="s">
        <v>3905</v>
      </c>
      <c r="F1317" s="307" t="s">
        <v>3906</v>
      </c>
      <c r="G1317" s="307" t="s">
        <v>3907</v>
      </c>
    </row>
    <row r="1318" spans="1:7" ht="13.5">
      <c r="A1318" s="307" t="s">
        <v>7744</v>
      </c>
      <c r="B1318" s="307" t="s">
        <v>7745</v>
      </c>
      <c r="C1318" s="307" t="s">
        <v>5814</v>
      </c>
      <c r="D1318" s="307" t="s">
        <v>7746</v>
      </c>
      <c r="E1318" s="307" t="s">
        <v>3905</v>
      </c>
      <c r="F1318" s="307" t="s">
        <v>3906</v>
      </c>
      <c r="G1318" s="307" t="s">
        <v>3907</v>
      </c>
    </row>
    <row r="1319" spans="1:7" ht="13.5">
      <c r="A1319" s="307" t="s">
        <v>7747</v>
      </c>
      <c r="B1319" s="307" t="s">
        <v>7748</v>
      </c>
      <c r="C1319" s="307" t="s">
        <v>5814</v>
      </c>
      <c r="D1319" s="307" t="s">
        <v>7749</v>
      </c>
      <c r="E1319" s="307" t="s">
        <v>3905</v>
      </c>
      <c r="F1319" s="307" t="s">
        <v>3906</v>
      </c>
      <c r="G1319" s="307" t="s">
        <v>3907</v>
      </c>
    </row>
    <row r="1320" spans="1:7" ht="13.5">
      <c r="A1320" s="307" t="s">
        <v>7750</v>
      </c>
      <c r="B1320" s="307" t="s">
        <v>7751</v>
      </c>
      <c r="C1320" s="307" t="s">
        <v>5814</v>
      </c>
      <c r="D1320" s="307" t="s">
        <v>7752</v>
      </c>
      <c r="E1320" s="307" t="s">
        <v>3905</v>
      </c>
      <c r="F1320" s="307" t="s">
        <v>3906</v>
      </c>
      <c r="G1320" s="307" t="s">
        <v>3907</v>
      </c>
    </row>
    <row r="1321" spans="1:7" ht="13.5">
      <c r="A1321" s="307" t="s">
        <v>7753</v>
      </c>
      <c r="B1321" s="307" t="s">
        <v>7754</v>
      </c>
      <c r="C1321" s="307" t="s">
        <v>5814</v>
      </c>
      <c r="D1321" s="307" t="s">
        <v>7755</v>
      </c>
      <c r="E1321" s="307" t="s">
        <v>3905</v>
      </c>
      <c r="F1321" s="307" t="s">
        <v>3906</v>
      </c>
      <c r="G1321" s="307" t="s">
        <v>3907</v>
      </c>
    </row>
    <row r="1322" spans="1:7" ht="13.5">
      <c r="A1322" s="307" t="s">
        <v>7756</v>
      </c>
      <c r="B1322" s="307" t="s">
        <v>7757</v>
      </c>
      <c r="C1322" s="307" t="s">
        <v>5814</v>
      </c>
      <c r="D1322" s="307" t="s">
        <v>7758</v>
      </c>
      <c r="E1322" s="307" t="s">
        <v>3905</v>
      </c>
      <c r="F1322" s="307" t="s">
        <v>3906</v>
      </c>
      <c r="G1322" s="307" t="s">
        <v>3907</v>
      </c>
    </row>
    <row r="1323" spans="1:7" ht="13.5">
      <c r="A1323" s="307" t="s">
        <v>7759</v>
      </c>
      <c r="B1323" s="307" t="s">
        <v>7760</v>
      </c>
      <c r="C1323" s="307" t="s">
        <v>5814</v>
      </c>
      <c r="D1323" s="307" t="s">
        <v>7761</v>
      </c>
      <c r="E1323" s="307" t="s">
        <v>3905</v>
      </c>
      <c r="F1323" s="307" t="s">
        <v>3906</v>
      </c>
      <c r="G1323" s="307" t="s">
        <v>3907</v>
      </c>
    </row>
    <row r="1324" spans="1:7" ht="13.5">
      <c r="A1324" s="307" t="s">
        <v>7762</v>
      </c>
      <c r="B1324" s="307" t="s">
        <v>7763</v>
      </c>
      <c r="C1324" s="307" t="s">
        <v>5814</v>
      </c>
      <c r="D1324" s="307" t="s">
        <v>7764</v>
      </c>
      <c r="E1324" s="307" t="s">
        <v>3905</v>
      </c>
      <c r="F1324" s="307" t="s">
        <v>3906</v>
      </c>
      <c r="G1324" s="307" t="s">
        <v>3907</v>
      </c>
    </row>
    <row r="1325" spans="1:7" ht="13.5">
      <c r="A1325" s="307" t="s">
        <v>7765</v>
      </c>
      <c r="B1325" s="307" t="s">
        <v>7766</v>
      </c>
      <c r="C1325" s="307" t="s">
        <v>5814</v>
      </c>
      <c r="D1325" s="307" t="s">
        <v>4710</v>
      </c>
      <c r="E1325" s="307" t="s">
        <v>3905</v>
      </c>
      <c r="F1325" s="307" t="s">
        <v>3906</v>
      </c>
      <c r="G1325" s="307" t="s">
        <v>3907</v>
      </c>
    </row>
    <row r="1326" spans="1:7" ht="13.5">
      <c r="A1326" s="307" t="s">
        <v>7767</v>
      </c>
      <c r="B1326" s="307" t="s">
        <v>7768</v>
      </c>
      <c r="C1326" s="307" t="s">
        <v>5814</v>
      </c>
      <c r="D1326" s="307" t="s">
        <v>7769</v>
      </c>
      <c r="E1326" s="307" t="s">
        <v>3905</v>
      </c>
      <c r="F1326" s="307" t="s">
        <v>3906</v>
      </c>
      <c r="G1326" s="307" t="s">
        <v>3907</v>
      </c>
    </row>
    <row r="1327" spans="1:7" ht="13.5">
      <c r="A1327" s="307" t="s">
        <v>7770</v>
      </c>
      <c r="B1327" s="307" t="s">
        <v>7771</v>
      </c>
      <c r="C1327" s="307" t="s">
        <v>5814</v>
      </c>
      <c r="D1327" s="307" t="s">
        <v>7772</v>
      </c>
      <c r="E1327" s="307" t="s">
        <v>3905</v>
      </c>
      <c r="F1327" s="307" t="s">
        <v>3906</v>
      </c>
      <c r="G1327" s="307" t="s">
        <v>3907</v>
      </c>
    </row>
    <row r="1328" spans="1:7" ht="13.5">
      <c r="A1328" s="307" t="s">
        <v>7773</v>
      </c>
      <c r="B1328" s="307" t="s">
        <v>7774</v>
      </c>
      <c r="C1328" s="307" t="s">
        <v>5814</v>
      </c>
      <c r="D1328" s="307" t="s">
        <v>7775</v>
      </c>
      <c r="E1328" s="307" t="s">
        <v>4021</v>
      </c>
      <c r="F1328" s="307" t="s">
        <v>3906</v>
      </c>
      <c r="G1328" s="307" t="s">
        <v>3907</v>
      </c>
    </row>
    <row r="1329" spans="1:7" ht="13.5">
      <c r="A1329" s="307" t="s">
        <v>7776</v>
      </c>
      <c r="B1329" s="307" t="s">
        <v>7777</v>
      </c>
      <c r="C1329" s="307" t="s">
        <v>5814</v>
      </c>
      <c r="D1329" s="307" t="s">
        <v>7778</v>
      </c>
      <c r="E1329" s="307" t="s">
        <v>3905</v>
      </c>
      <c r="F1329" s="307" t="s">
        <v>3906</v>
      </c>
      <c r="G1329" s="307" t="s">
        <v>3907</v>
      </c>
    </row>
    <row r="1330" spans="1:7" ht="13.5">
      <c r="A1330" s="307" t="s">
        <v>7779</v>
      </c>
      <c r="B1330" s="307" t="s">
        <v>7780</v>
      </c>
      <c r="C1330" s="307" t="s">
        <v>5814</v>
      </c>
      <c r="D1330" s="307" t="s">
        <v>7781</v>
      </c>
      <c r="E1330" s="307" t="s">
        <v>3905</v>
      </c>
      <c r="F1330" s="307" t="s">
        <v>3906</v>
      </c>
      <c r="G1330" s="307" t="s">
        <v>3907</v>
      </c>
    </row>
    <row r="1331" spans="1:7" ht="13.5">
      <c r="A1331" s="307" t="s">
        <v>7782</v>
      </c>
      <c r="B1331" s="307" t="s">
        <v>7783</v>
      </c>
      <c r="C1331" s="307" t="s">
        <v>5814</v>
      </c>
      <c r="D1331" s="307" t="s">
        <v>7784</v>
      </c>
      <c r="E1331" s="307" t="s">
        <v>3905</v>
      </c>
      <c r="F1331" s="307" t="s">
        <v>3906</v>
      </c>
      <c r="G1331" s="307" t="s">
        <v>3907</v>
      </c>
    </row>
    <row r="1332" spans="1:7" ht="13.5">
      <c r="A1332" s="307" t="s">
        <v>7785</v>
      </c>
      <c r="B1332" s="307" t="s">
        <v>7786</v>
      </c>
      <c r="C1332" s="307" t="s">
        <v>5814</v>
      </c>
      <c r="D1332" s="307" t="s">
        <v>7787</v>
      </c>
      <c r="E1332" s="307" t="s">
        <v>3905</v>
      </c>
      <c r="F1332" s="307" t="s">
        <v>3906</v>
      </c>
      <c r="G1332" s="307" t="s">
        <v>3907</v>
      </c>
    </row>
    <row r="1333" spans="1:7" ht="13.5">
      <c r="A1333" s="307" t="s">
        <v>7788</v>
      </c>
      <c r="B1333" s="307" t="s">
        <v>7789</v>
      </c>
      <c r="C1333" s="307" t="s">
        <v>5814</v>
      </c>
      <c r="D1333" s="307" t="s">
        <v>7790</v>
      </c>
      <c r="E1333" s="307" t="s">
        <v>3905</v>
      </c>
      <c r="F1333" s="307" t="s">
        <v>3906</v>
      </c>
      <c r="G1333" s="307" t="s">
        <v>3907</v>
      </c>
    </row>
    <row r="1334" spans="1:7" ht="13.5">
      <c r="A1334" s="307" t="s">
        <v>7791</v>
      </c>
      <c r="B1334" s="307" t="s">
        <v>7792</v>
      </c>
      <c r="C1334" s="307" t="s">
        <v>5814</v>
      </c>
      <c r="D1334" s="307" t="s">
        <v>7793</v>
      </c>
      <c r="E1334" s="307" t="s">
        <v>3905</v>
      </c>
      <c r="F1334" s="307" t="s">
        <v>3906</v>
      </c>
      <c r="G1334" s="307" t="s">
        <v>3907</v>
      </c>
    </row>
    <row r="1335" spans="1:7" ht="13.5">
      <c r="A1335" s="307" t="s">
        <v>7794</v>
      </c>
      <c r="B1335" s="307" t="s">
        <v>7795</v>
      </c>
      <c r="C1335" s="307" t="s">
        <v>5814</v>
      </c>
      <c r="D1335" s="307" t="s">
        <v>7796</v>
      </c>
      <c r="E1335" s="307" t="s">
        <v>3905</v>
      </c>
      <c r="F1335" s="307" t="s">
        <v>3906</v>
      </c>
      <c r="G1335" s="307" t="s">
        <v>3907</v>
      </c>
    </row>
    <row r="1336" spans="1:7" ht="13.5">
      <c r="A1336" s="307" t="s">
        <v>7797</v>
      </c>
      <c r="B1336" s="307" t="s">
        <v>7798</v>
      </c>
      <c r="C1336" s="307" t="s">
        <v>5814</v>
      </c>
      <c r="D1336" s="307" t="s">
        <v>7799</v>
      </c>
      <c r="E1336" s="307" t="s">
        <v>3905</v>
      </c>
      <c r="F1336" s="307" t="s">
        <v>3906</v>
      </c>
      <c r="G1336" s="307" t="s">
        <v>3907</v>
      </c>
    </row>
    <row r="1337" spans="1:7" ht="13.5">
      <c r="A1337" s="307" t="s">
        <v>7800</v>
      </c>
      <c r="B1337" s="307" t="s">
        <v>7801</v>
      </c>
      <c r="C1337" s="307" t="s">
        <v>5814</v>
      </c>
      <c r="D1337" s="307" t="s">
        <v>7802</v>
      </c>
      <c r="E1337" s="307" t="s">
        <v>3905</v>
      </c>
      <c r="F1337" s="307" t="s">
        <v>3906</v>
      </c>
      <c r="G1337" s="307" t="s">
        <v>3907</v>
      </c>
    </row>
    <row r="1338" spans="1:7" ht="13.5">
      <c r="A1338" s="307" t="s">
        <v>7803</v>
      </c>
      <c r="B1338" s="307" t="s">
        <v>7804</v>
      </c>
      <c r="C1338" s="307" t="s">
        <v>5814</v>
      </c>
      <c r="D1338" s="307" t="s">
        <v>7805</v>
      </c>
      <c r="E1338" s="307" t="s">
        <v>3905</v>
      </c>
      <c r="F1338" s="307" t="s">
        <v>3906</v>
      </c>
      <c r="G1338" s="307" t="s">
        <v>3907</v>
      </c>
    </row>
    <row r="1339" spans="1:7" ht="13.5">
      <c r="A1339" s="307" t="s">
        <v>7806</v>
      </c>
      <c r="B1339" s="307" t="s">
        <v>7807</v>
      </c>
      <c r="C1339" s="307" t="s">
        <v>5814</v>
      </c>
      <c r="D1339" s="307" t="s">
        <v>7808</v>
      </c>
      <c r="E1339" s="307" t="s">
        <v>3905</v>
      </c>
      <c r="F1339" s="307" t="s">
        <v>3906</v>
      </c>
      <c r="G1339" s="307" t="s">
        <v>3907</v>
      </c>
    </row>
    <row r="1340" spans="1:7" ht="13.5">
      <c r="A1340" s="307" t="s">
        <v>7809</v>
      </c>
      <c r="B1340" s="307" t="s">
        <v>7810</v>
      </c>
      <c r="C1340" s="307" t="s">
        <v>5814</v>
      </c>
      <c r="D1340" s="307" t="s">
        <v>7811</v>
      </c>
      <c r="E1340" s="307" t="s">
        <v>3905</v>
      </c>
      <c r="F1340" s="307" t="s">
        <v>3906</v>
      </c>
      <c r="G1340" s="307" t="s">
        <v>3907</v>
      </c>
    </row>
    <row r="1341" spans="1:7" ht="13.5">
      <c r="A1341" s="307" t="s">
        <v>7812</v>
      </c>
      <c r="B1341" s="307" t="s">
        <v>7813</v>
      </c>
      <c r="C1341" s="307" t="s">
        <v>5814</v>
      </c>
      <c r="D1341" s="307" t="s">
        <v>7814</v>
      </c>
      <c r="E1341" s="307" t="s">
        <v>3905</v>
      </c>
      <c r="F1341" s="307" t="s">
        <v>3906</v>
      </c>
      <c r="G1341" s="307" t="s">
        <v>3907</v>
      </c>
    </row>
    <row r="1342" spans="1:7" ht="13.5">
      <c r="A1342" s="307" t="s">
        <v>7815</v>
      </c>
      <c r="B1342" s="307" t="s">
        <v>7816</v>
      </c>
      <c r="C1342" s="307" t="s">
        <v>5814</v>
      </c>
      <c r="D1342" s="307" t="s">
        <v>7817</v>
      </c>
      <c r="E1342" s="307" t="s">
        <v>3905</v>
      </c>
      <c r="F1342" s="307" t="s">
        <v>3906</v>
      </c>
      <c r="G1342" s="307" t="s">
        <v>3907</v>
      </c>
    </row>
    <row r="1343" spans="1:7" ht="13.5">
      <c r="A1343" s="307" t="s">
        <v>7818</v>
      </c>
      <c r="B1343" s="307" t="s">
        <v>7819</v>
      </c>
      <c r="C1343" s="307" t="s">
        <v>5814</v>
      </c>
      <c r="D1343" s="307" t="s">
        <v>7820</v>
      </c>
      <c r="E1343" s="307" t="s">
        <v>3905</v>
      </c>
      <c r="F1343" s="307" t="s">
        <v>3906</v>
      </c>
      <c r="G1343" s="307" t="s">
        <v>3907</v>
      </c>
    </row>
    <row r="1344" spans="1:7" ht="13.5">
      <c r="A1344" s="307" t="s">
        <v>7821</v>
      </c>
      <c r="B1344" s="307" t="s">
        <v>7822</v>
      </c>
      <c r="C1344" s="307" t="s">
        <v>5814</v>
      </c>
      <c r="D1344" s="307" t="s">
        <v>7823</v>
      </c>
      <c r="E1344" s="307" t="s">
        <v>3905</v>
      </c>
      <c r="F1344" s="307" t="s">
        <v>3906</v>
      </c>
      <c r="G1344" s="307" t="s">
        <v>3907</v>
      </c>
    </row>
    <row r="1345" spans="1:7" ht="13.5">
      <c r="A1345" s="307" t="s">
        <v>7824</v>
      </c>
      <c r="B1345" s="307" t="s">
        <v>7825</v>
      </c>
      <c r="C1345" s="307" t="s">
        <v>5814</v>
      </c>
      <c r="D1345" s="307" t="s">
        <v>7826</v>
      </c>
      <c r="E1345" s="307" t="s">
        <v>3905</v>
      </c>
      <c r="F1345" s="307" t="s">
        <v>3906</v>
      </c>
      <c r="G1345" s="307" t="s">
        <v>3907</v>
      </c>
    </row>
    <row r="1346" spans="1:7" ht="13.5">
      <c r="A1346" s="307" t="s">
        <v>7827</v>
      </c>
      <c r="B1346" s="307" t="s">
        <v>7828</v>
      </c>
      <c r="C1346" s="307" t="s">
        <v>5814</v>
      </c>
      <c r="D1346" s="307" t="s">
        <v>7829</v>
      </c>
      <c r="E1346" s="307" t="s">
        <v>3905</v>
      </c>
      <c r="F1346" s="307" t="s">
        <v>3906</v>
      </c>
      <c r="G1346" s="307" t="s">
        <v>3907</v>
      </c>
    </row>
    <row r="1347" spans="1:7" ht="13.5">
      <c r="A1347" s="307" t="s">
        <v>7830</v>
      </c>
      <c r="B1347" s="307" t="s">
        <v>7831</v>
      </c>
      <c r="C1347" s="307" t="s">
        <v>5814</v>
      </c>
      <c r="D1347" s="307" t="s">
        <v>7832</v>
      </c>
      <c r="E1347" s="307" t="s">
        <v>3905</v>
      </c>
      <c r="F1347" s="307" t="s">
        <v>3906</v>
      </c>
      <c r="G1347" s="307" t="s">
        <v>3907</v>
      </c>
    </row>
    <row r="1348" spans="1:7" ht="13.5">
      <c r="A1348" s="307" t="s">
        <v>7833</v>
      </c>
      <c r="B1348" s="307" t="s">
        <v>7834</v>
      </c>
      <c r="C1348" s="307" t="s">
        <v>5814</v>
      </c>
      <c r="D1348" s="307" t="s">
        <v>7835</v>
      </c>
      <c r="E1348" s="307" t="s">
        <v>3905</v>
      </c>
      <c r="F1348" s="307" t="s">
        <v>3906</v>
      </c>
      <c r="G1348" s="307" t="s">
        <v>3907</v>
      </c>
    </row>
    <row r="1349" spans="1:7" ht="13.5">
      <c r="A1349" s="307" t="s">
        <v>7836</v>
      </c>
      <c r="B1349" s="307" t="s">
        <v>7837</v>
      </c>
      <c r="C1349" s="307" t="s">
        <v>5814</v>
      </c>
      <c r="D1349" s="307" t="s">
        <v>7838</v>
      </c>
      <c r="E1349" s="307" t="s">
        <v>3905</v>
      </c>
      <c r="F1349" s="307" t="s">
        <v>3906</v>
      </c>
      <c r="G1349" s="307" t="s">
        <v>3907</v>
      </c>
    </row>
    <row r="1350" spans="1:7" ht="13.5">
      <c r="A1350" s="307" t="s">
        <v>7839</v>
      </c>
      <c r="B1350" s="307" t="s">
        <v>7840</v>
      </c>
      <c r="C1350" s="307" t="s">
        <v>5814</v>
      </c>
      <c r="D1350" s="307" t="s">
        <v>7841</v>
      </c>
      <c r="E1350" s="307" t="s">
        <v>4021</v>
      </c>
      <c r="F1350" s="307" t="s">
        <v>3906</v>
      </c>
      <c r="G1350" s="307" t="s">
        <v>3907</v>
      </c>
    </row>
    <row r="1351" spans="1:7" ht="13.5">
      <c r="A1351" s="307" t="s">
        <v>7842</v>
      </c>
      <c r="B1351" s="307" t="s">
        <v>7843</v>
      </c>
      <c r="C1351" s="307" t="s">
        <v>5814</v>
      </c>
      <c r="D1351" s="307" t="s">
        <v>7844</v>
      </c>
      <c r="E1351" s="307" t="s">
        <v>3905</v>
      </c>
      <c r="F1351" s="307" t="s">
        <v>3906</v>
      </c>
      <c r="G1351" s="307" t="s">
        <v>3907</v>
      </c>
    </row>
    <row r="1352" spans="1:7" ht="13.5">
      <c r="A1352" s="307" t="s">
        <v>7845</v>
      </c>
      <c r="B1352" s="307" t="s">
        <v>7846</v>
      </c>
      <c r="C1352" s="307" t="s">
        <v>5814</v>
      </c>
      <c r="D1352" s="307" t="s">
        <v>7847</v>
      </c>
      <c r="E1352" s="307" t="s">
        <v>3905</v>
      </c>
      <c r="F1352" s="307" t="s">
        <v>3906</v>
      </c>
      <c r="G1352" s="307" t="s">
        <v>3907</v>
      </c>
    </row>
    <row r="1353" spans="1:7" ht="13.5">
      <c r="A1353" s="307" t="s">
        <v>7848</v>
      </c>
      <c r="B1353" s="307" t="s">
        <v>7849</v>
      </c>
      <c r="C1353" s="307" t="s">
        <v>5814</v>
      </c>
      <c r="D1353" s="307" t="s">
        <v>7850</v>
      </c>
      <c r="E1353" s="307" t="s">
        <v>3905</v>
      </c>
      <c r="F1353" s="307" t="s">
        <v>3906</v>
      </c>
      <c r="G1353" s="307" t="s">
        <v>3907</v>
      </c>
    </row>
    <row r="1354" spans="1:7" ht="13.5">
      <c r="A1354" s="307" t="s">
        <v>7851</v>
      </c>
      <c r="B1354" s="307" t="s">
        <v>7852</v>
      </c>
      <c r="C1354" s="307" t="s">
        <v>5814</v>
      </c>
      <c r="D1354" s="307" t="s">
        <v>7853</v>
      </c>
      <c r="E1354" s="307" t="s">
        <v>3905</v>
      </c>
      <c r="F1354" s="307" t="s">
        <v>3906</v>
      </c>
      <c r="G1354" s="307" t="s">
        <v>3907</v>
      </c>
    </row>
    <row r="1355" spans="1:7" ht="13.5">
      <c r="A1355" s="307" t="s">
        <v>7854</v>
      </c>
      <c r="B1355" s="307" t="s">
        <v>7855</v>
      </c>
      <c r="C1355" s="307" t="s">
        <v>5814</v>
      </c>
      <c r="D1355" s="307" t="s">
        <v>7856</v>
      </c>
      <c r="E1355" s="307" t="s">
        <v>3905</v>
      </c>
      <c r="F1355" s="307" t="s">
        <v>3906</v>
      </c>
      <c r="G1355" s="307" t="s">
        <v>3907</v>
      </c>
    </row>
    <row r="1356" spans="1:7" ht="13.5">
      <c r="A1356" s="307" t="s">
        <v>7857</v>
      </c>
      <c r="B1356" s="307" t="s">
        <v>7858</v>
      </c>
      <c r="C1356" s="307" t="s">
        <v>5814</v>
      </c>
      <c r="D1356" s="307" t="s">
        <v>7859</v>
      </c>
      <c r="E1356" s="307" t="s">
        <v>3905</v>
      </c>
      <c r="F1356" s="307" t="s">
        <v>3906</v>
      </c>
      <c r="G1356" s="307" t="s">
        <v>3907</v>
      </c>
    </row>
    <row r="1357" spans="1:7" ht="13.5">
      <c r="A1357" s="307" t="s">
        <v>7860</v>
      </c>
      <c r="B1357" s="307" t="s">
        <v>7861</v>
      </c>
      <c r="C1357" s="307" t="s">
        <v>5814</v>
      </c>
      <c r="D1357" s="307" t="s">
        <v>7862</v>
      </c>
      <c r="E1357" s="307" t="s">
        <v>3905</v>
      </c>
      <c r="F1357" s="307" t="s">
        <v>3906</v>
      </c>
      <c r="G1357" s="307" t="s">
        <v>3907</v>
      </c>
    </row>
    <row r="1358" spans="1:7" ht="13.5">
      <c r="A1358" s="307" t="s">
        <v>7863</v>
      </c>
      <c r="B1358" s="307" t="s">
        <v>7864</v>
      </c>
      <c r="C1358" s="307" t="s">
        <v>5814</v>
      </c>
      <c r="D1358" s="307" t="s">
        <v>7865</v>
      </c>
      <c r="E1358" s="307" t="s">
        <v>3905</v>
      </c>
      <c r="F1358" s="307" t="s">
        <v>3906</v>
      </c>
      <c r="G1358" s="307" t="s">
        <v>3907</v>
      </c>
    </row>
    <row r="1359" spans="1:7" ht="13.5">
      <c r="A1359" s="307" t="s">
        <v>7866</v>
      </c>
      <c r="B1359" s="307" t="s">
        <v>7867</v>
      </c>
      <c r="C1359" s="307" t="s">
        <v>5814</v>
      </c>
      <c r="D1359" s="307" t="s">
        <v>7868</v>
      </c>
      <c r="E1359" s="307" t="s">
        <v>3905</v>
      </c>
      <c r="F1359" s="307" t="s">
        <v>3906</v>
      </c>
      <c r="G1359" s="307" t="s">
        <v>3907</v>
      </c>
    </row>
    <row r="1360" spans="1:7" ht="13.5">
      <c r="A1360" s="307" t="s">
        <v>7869</v>
      </c>
      <c r="B1360" s="307" t="s">
        <v>7870</v>
      </c>
      <c r="C1360" s="307" t="s">
        <v>5814</v>
      </c>
      <c r="D1360" s="307" t="s">
        <v>7871</v>
      </c>
      <c r="E1360" s="307" t="s">
        <v>3905</v>
      </c>
      <c r="F1360" s="307" t="s">
        <v>3906</v>
      </c>
      <c r="G1360" s="307" t="s">
        <v>3907</v>
      </c>
    </row>
    <row r="1361" spans="1:7" ht="13.5">
      <c r="A1361" s="307" t="s">
        <v>7872</v>
      </c>
      <c r="B1361" s="307" t="s">
        <v>7873</v>
      </c>
      <c r="C1361" s="307" t="s">
        <v>5814</v>
      </c>
      <c r="D1361" s="307" t="s">
        <v>7874</v>
      </c>
      <c r="E1361" s="307" t="s">
        <v>3905</v>
      </c>
      <c r="F1361" s="307" t="s">
        <v>3906</v>
      </c>
      <c r="G1361" s="307" t="s">
        <v>3907</v>
      </c>
    </row>
    <row r="1362" spans="1:7" ht="13.5">
      <c r="A1362" s="307" t="s">
        <v>7875</v>
      </c>
      <c r="B1362" s="307" t="s">
        <v>7876</v>
      </c>
      <c r="C1362" s="307" t="s">
        <v>5814</v>
      </c>
      <c r="D1362" s="307" t="s">
        <v>7877</v>
      </c>
      <c r="E1362" s="307" t="s">
        <v>3905</v>
      </c>
      <c r="F1362" s="307" t="s">
        <v>3906</v>
      </c>
      <c r="G1362" s="307" t="s">
        <v>3907</v>
      </c>
    </row>
    <row r="1363" spans="1:7" ht="13.5">
      <c r="A1363" s="307" t="s">
        <v>7878</v>
      </c>
      <c r="B1363" s="307" t="s">
        <v>7879</v>
      </c>
      <c r="C1363" s="307" t="s">
        <v>5814</v>
      </c>
      <c r="D1363" s="307" t="s">
        <v>7880</v>
      </c>
      <c r="E1363" s="307" t="s">
        <v>3905</v>
      </c>
      <c r="F1363" s="307" t="s">
        <v>3906</v>
      </c>
      <c r="G1363" s="307" t="s">
        <v>3907</v>
      </c>
    </row>
    <row r="1364" spans="1:7" ht="13.5">
      <c r="A1364" s="307" t="s">
        <v>7881</v>
      </c>
      <c r="B1364" s="307" t="s">
        <v>7882</v>
      </c>
      <c r="C1364" s="307" t="s">
        <v>5814</v>
      </c>
      <c r="D1364" s="307" t="s">
        <v>7883</v>
      </c>
      <c r="E1364" s="307" t="s">
        <v>3905</v>
      </c>
      <c r="F1364" s="307" t="s">
        <v>3906</v>
      </c>
      <c r="G1364" s="307" t="s">
        <v>3907</v>
      </c>
    </row>
    <row r="1365" spans="1:7" ht="13.5">
      <c r="A1365" s="307" t="s">
        <v>7884</v>
      </c>
      <c r="B1365" s="307" t="s">
        <v>7885</v>
      </c>
      <c r="C1365" s="307" t="s">
        <v>5814</v>
      </c>
      <c r="D1365" s="307" t="s">
        <v>7886</v>
      </c>
      <c r="E1365" s="307" t="s">
        <v>3905</v>
      </c>
      <c r="F1365" s="307" t="s">
        <v>3906</v>
      </c>
      <c r="G1365" s="307" t="s">
        <v>3907</v>
      </c>
    </row>
    <row r="1366" spans="1:7" ht="13.5">
      <c r="A1366" s="307" t="s">
        <v>7887</v>
      </c>
      <c r="B1366" s="307" t="s">
        <v>7888</v>
      </c>
      <c r="C1366" s="307" t="s">
        <v>5814</v>
      </c>
      <c r="D1366" s="307" t="s">
        <v>7889</v>
      </c>
      <c r="E1366" s="307" t="s">
        <v>3905</v>
      </c>
      <c r="F1366" s="307" t="s">
        <v>3906</v>
      </c>
      <c r="G1366" s="307" t="s">
        <v>3907</v>
      </c>
    </row>
    <row r="1367" spans="1:7" ht="13.5">
      <c r="A1367" s="307" t="s">
        <v>7890</v>
      </c>
      <c r="B1367" s="307" t="s">
        <v>7891</v>
      </c>
      <c r="C1367" s="307" t="s">
        <v>5814</v>
      </c>
      <c r="D1367" s="307" t="s">
        <v>7892</v>
      </c>
      <c r="E1367" s="307" t="s">
        <v>3905</v>
      </c>
      <c r="F1367" s="307" t="s">
        <v>3906</v>
      </c>
      <c r="G1367" s="307" t="s">
        <v>3907</v>
      </c>
    </row>
    <row r="1368" spans="1:7" ht="13.5">
      <c r="A1368" s="307" t="s">
        <v>7893</v>
      </c>
      <c r="B1368" s="307" t="s">
        <v>7894</v>
      </c>
      <c r="C1368" s="307" t="s">
        <v>5814</v>
      </c>
      <c r="D1368" s="307" t="s">
        <v>7895</v>
      </c>
      <c r="E1368" s="307" t="s">
        <v>3905</v>
      </c>
      <c r="F1368" s="307" t="s">
        <v>3906</v>
      </c>
      <c r="G1368" s="307" t="s">
        <v>3907</v>
      </c>
    </row>
    <row r="1369" spans="1:7" ht="13.5">
      <c r="A1369" s="307" t="s">
        <v>7896</v>
      </c>
      <c r="B1369" s="307" t="s">
        <v>7897</v>
      </c>
      <c r="C1369" s="307" t="s">
        <v>5814</v>
      </c>
      <c r="D1369" s="307" t="s">
        <v>7898</v>
      </c>
      <c r="E1369" s="307" t="s">
        <v>3905</v>
      </c>
      <c r="F1369" s="307" t="s">
        <v>3906</v>
      </c>
      <c r="G1369" s="307" t="s">
        <v>3907</v>
      </c>
    </row>
    <row r="1370" spans="1:7" ht="13.5">
      <c r="A1370" s="307" t="s">
        <v>7899</v>
      </c>
      <c r="B1370" s="307" t="s">
        <v>7900</v>
      </c>
      <c r="C1370" s="307" t="s">
        <v>5814</v>
      </c>
      <c r="D1370" s="307" t="s">
        <v>7901</v>
      </c>
      <c r="E1370" s="307" t="s">
        <v>3905</v>
      </c>
      <c r="F1370" s="307" t="s">
        <v>3906</v>
      </c>
      <c r="G1370" s="307" t="s">
        <v>3907</v>
      </c>
    </row>
    <row r="1371" spans="1:7" ht="13.5">
      <c r="A1371" s="307" t="s">
        <v>7902</v>
      </c>
      <c r="B1371" s="307" t="s">
        <v>7903</v>
      </c>
      <c r="C1371" s="307" t="s">
        <v>5814</v>
      </c>
      <c r="D1371" s="307" t="s">
        <v>7904</v>
      </c>
      <c r="E1371" s="307" t="s">
        <v>3905</v>
      </c>
      <c r="F1371" s="307" t="s">
        <v>3906</v>
      </c>
      <c r="G1371" s="307" t="s">
        <v>3907</v>
      </c>
    </row>
    <row r="1372" spans="1:7" ht="13.5">
      <c r="A1372" s="307" t="s">
        <v>7905</v>
      </c>
      <c r="B1372" s="307" t="s">
        <v>816</v>
      </c>
      <c r="C1372" s="307" t="s">
        <v>5814</v>
      </c>
      <c r="D1372" s="307" t="s">
        <v>7906</v>
      </c>
      <c r="E1372" s="307" t="s">
        <v>4021</v>
      </c>
      <c r="F1372" s="307" t="s">
        <v>3906</v>
      </c>
      <c r="G1372" s="307" t="s">
        <v>3907</v>
      </c>
    </row>
    <row r="1373" spans="1:7" ht="13.5">
      <c r="A1373" s="307" t="s">
        <v>7907</v>
      </c>
      <c r="B1373" s="307" t="s">
        <v>7908</v>
      </c>
      <c r="C1373" s="307" t="s">
        <v>5814</v>
      </c>
      <c r="D1373" s="307" t="s">
        <v>7909</v>
      </c>
      <c r="E1373" s="307" t="s">
        <v>3905</v>
      </c>
      <c r="F1373" s="307" t="s">
        <v>3906</v>
      </c>
      <c r="G1373" s="307" t="s">
        <v>3907</v>
      </c>
    </row>
    <row r="1374" spans="1:7" ht="13.5">
      <c r="A1374" s="307" t="s">
        <v>7910</v>
      </c>
      <c r="B1374" s="307" t="s">
        <v>7911</v>
      </c>
      <c r="C1374" s="307" t="s">
        <v>5814</v>
      </c>
      <c r="D1374" s="307" t="s">
        <v>7912</v>
      </c>
      <c r="E1374" s="307" t="s">
        <v>3905</v>
      </c>
      <c r="F1374" s="307" t="s">
        <v>3906</v>
      </c>
      <c r="G1374" s="307" t="s">
        <v>3907</v>
      </c>
    </row>
    <row r="1375" spans="1:7" ht="13.5">
      <c r="A1375" s="307" t="s">
        <v>7913</v>
      </c>
      <c r="B1375" s="307" t="s">
        <v>7914</v>
      </c>
      <c r="C1375" s="307" t="s">
        <v>5814</v>
      </c>
      <c r="D1375" s="307" t="s">
        <v>7915</v>
      </c>
      <c r="E1375" s="307" t="s">
        <v>3905</v>
      </c>
      <c r="F1375" s="307" t="s">
        <v>3906</v>
      </c>
      <c r="G1375" s="307" t="s">
        <v>3907</v>
      </c>
    </row>
    <row r="1376" spans="1:7" ht="13.5">
      <c r="A1376" s="307" t="s">
        <v>7916</v>
      </c>
      <c r="B1376" s="307" t="s">
        <v>7917</v>
      </c>
      <c r="C1376" s="307" t="s">
        <v>5814</v>
      </c>
      <c r="D1376" s="307" t="s">
        <v>7918</v>
      </c>
      <c r="E1376" s="307" t="s">
        <v>3905</v>
      </c>
      <c r="F1376" s="307" t="s">
        <v>3906</v>
      </c>
      <c r="G1376" s="307" t="s">
        <v>3907</v>
      </c>
    </row>
    <row r="1377" spans="1:7" ht="13.5">
      <c r="A1377" s="307" t="s">
        <v>7919</v>
      </c>
      <c r="B1377" s="307" t="s">
        <v>7920</v>
      </c>
      <c r="C1377" s="307" t="s">
        <v>5814</v>
      </c>
      <c r="D1377" s="307" t="s">
        <v>7921</v>
      </c>
      <c r="E1377" s="307" t="s">
        <v>3905</v>
      </c>
      <c r="F1377" s="307" t="s">
        <v>3906</v>
      </c>
      <c r="G1377" s="307" t="s">
        <v>3907</v>
      </c>
    </row>
    <row r="1378" spans="1:7" ht="13.5">
      <c r="A1378" s="307" t="s">
        <v>7922</v>
      </c>
      <c r="B1378" s="307" t="s">
        <v>7923</v>
      </c>
      <c r="C1378" s="307" t="s">
        <v>5814</v>
      </c>
      <c r="D1378" s="307" t="s">
        <v>7924</v>
      </c>
      <c r="E1378" s="307" t="s">
        <v>3905</v>
      </c>
      <c r="F1378" s="307" t="s">
        <v>3906</v>
      </c>
      <c r="G1378" s="307" t="s">
        <v>3907</v>
      </c>
    </row>
    <row r="1379" spans="1:7" ht="13.5">
      <c r="A1379" s="307" t="s">
        <v>7925</v>
      </c>
      <c r="B1379" s="307" t="s">
        <v>7926</v>
      </c>
      <c r="C1379" s="307" t="s">
        <v>5814</v>
      </c>
      <c r="D1379" s="307" t="s">
        <v>7927</v>
      </c>
      <c r="E1379" s="307" t="s">
        <v>3905</v>
      </c>
      <c r="F1379" s="307" t="s">
        <v>3906</v>
      </c>
      <c r="G1379" s="307" t="s">
        <v>3907</v>
      </c>
    </row>
    <row r="1380" spans="1:7" ht="13.5">
      <c r="A1380" s="307" t="s">
        <v>7928</v>
      </c>
      <c r="B1380" s="307" t="s">
        <v>7929</v>
      </c>
      <c r="C1380" s="307" t="s">
        <v>5814</v>
      </c>
      <c r="D1380" s="307" t="s">
        <v>7930</v>
      </c>
      <c r="E1380" s="307" t="s">
        <v>3905</v>
      </c>
      <c r="F1380" s="307" t="s">
        <v>3906</v>
      </c>
      <c r="G1380" s="307" t="s">
        <v>3907</v>
      </c>
    </row>
    <row r="1381" spans="1:7" ht="13.5">
      <c r="A1381" s="307" t="s">
        <v>7931</v>
      </c>
      <c r="B1381" s="307" t="s">
        <v>7932</v>
      </c>
      <c r="C1381" s="307" t="s">
        <v>5814</v>
      </c>
      <c r="D1381" s="307" t="s">
        <v>7933</v>
      </c>
      <c r="E1381" s="307" t="s">
        <v>3905</v>
      </c>
      <c r="F1381" s="307" t="s">
        <v>3906</v>
      </c>
      <c r="G1381" s="307" t="s">
        <v>3907</v>
      </c>
    </row>
    <row r="1382" spans="1:7" ht="13.5">
      <c r="A1382" s="307" t="s">
        <v>7934</v>
      </c>
      <c r="B1382" s="307" t="s">
        <v>7935</v>
      </c>
      <c r="C1382" s="307" t="s">
        <v>5814</v>
      </c>
      <c r="D1382" s="307" t="s">
        <v>7936</v>
      </c>
      <c r="E1382" s="307" t="s">
        <v>3905</v>
      </c>
      <c r="F1382" s="307" t="s">
        <v>3906</v>
      </c>
      <c r="G1382" s="307" t="s">
        <v>3907</v>
      </c>
    </row>
    <row r="1383" spans="1:7" ht="13.5">
      <c r="A1383" s="307" t="s">
        <v>7937</v>
      </c>
      <c r="B1383" s="307" t="s">
        <v>7938</v>
      </c>
      <c r="C1383" s="307" t="s">
        <v>5814</v>
      </c>
      <c r="D1383" s="307" t="s">
        <v>7939</v>
      </c>
      <c r="E1383" s="307" t="s">
        <v>3905</v>
      </c>
      <c r="F1383" s="307" t="s">
        <v>3906</v>
      </c>
      <c r="G1383" s="307" t="s">
        <v>3907</v>
      </c>
    </row>
    <row r="1384" spans="1:7" ht="13.5">
      <c r="A1384" s="307" t="s">
        <v>7940</v>
      </c>
      <c r="B1384" s="307" t="s">
        <v>7941</v>
      </c>
      <c r="C1384" s="307" t="s">
        <v>5814</v>
      </c>
      <c r="D1384" s="307" t="s">
        <v>7942</v>
      </c>
      <c r="E1384" s="307" t="s">
        <v>3905</v>
      </c>
      <c r="F1384" s="307" t="s">
        <v>3906</v>
      </c>
      <c r="G1384" s="307" t="s">
        <v>3907</v>
      </c>
    </row>
    <row r="1385" spans="1:7" ht="13.5">
      <c r="A1385" s="307" t="s">
        <v>7943</v>
      </c>
      <c r="B1385" s="307" t="s">
        <v>7944</v>
      </c>
      <c r="C1385" s="307" t="s">
        <v>5814</v>
      </c>
      <c r="D1385" s="307" t="s">
        <v>7945</v>
      </c>
      <c r="E1385" s="307" t="s">
        <v>4021</v>
      </c>
      <c r="F1385" s="307" t="s">
        <v>3906</v>
      </c>
      <c r="G1385" s="307" t="s">
        <v>3907</v>
      </c>
    </row>
    <row r="1386" spans="1:7" ht="13.5">
      <c r="A1386" s="307" t="s">
        <v>7946</v>
      </c>
      <c r="B1386" s="307" t="s">
        <v>7947</v>
      </c>
      <c r="C1386" s="307" t="s">
        <v>5814</v>
      </c>
      <c r="D1386" s="307" t="s">
        <v>7948</v>
      </c>
      <c r="E1386" s="307" t="s">
        <v>3905</v>
      </c>
      <c r="F1386" s="307" t="s">
        <v>3906</v>
      </c>
      <c r="G1386" s="307" t="s">
        <v>3907</v>
      </c>
    </row>
    <row r="1387" spans="1:7" ht="13.5">
      <c r="A1387" s="307" t="s">
        <v>7949</v>
      </c>
      <c r="B1387" s="307" t="s">
        <v>7950</v>
      </c>
      <c r="C1387" s="307" t="s">
        <v>5814</v>
      </c>
      <c r="D1387" s="307" t="s">
        <v>1728</v>
      </c>
      <c r="E1387" s="307" t="s">
        <v>3905</v>
      </c>
      <c r="F1387" s="307" t="s">
        <v>3906</v>
      </c>
      <c r="G1387" s="307" t="s">
        <v>3907</v>
      </c>
    </row>
    <row r="1388" spans="1:7" ht="13.5">
      <c r="A1388" s="307" t="s">
        <v>7951</v>
      </c>
      <c r="B1388" s="307" t="s">
        <v>7952</v>
      </c>
      <c r="C1388" s="307" t="s">
        <v>5814</v>
      </c>
      <c r="D1388" s="307" t="s">
        <v>7953</v>
      </c>
      <c r="E1388" s="307" t="s">
        <v>3905</v>
      </c>
      <c r="F1388" s="307" t="s">
        <v>3906</v>
      </c>
      <c r="G1388" s="307" t="s">
        <v>3907</v>
      </c>
    </row>
    <row r="1389" spans="1:7" ht="13.5">
      <c r="A1389" s="307" t="s">
        <v>7954</v>
      </c>
      <c r="B1389" s="307" t="s">
        <v>7955</v>
      </c>
      <c r="C1389" s="307" t="s">
        <v>5814</v>
      </c>
      <c r="D1389" s="307" t="s">
        <v>7956</v>
      </c>
      <c r="E1389" s="307" t="s">
        <v>3905</v>
      </c>
      <c r="F1389" s="307" t="s">
        <v>3906</v>
      </c>
      <c r="G1389" s="307" t="s">
        <v>3907</v>
      </c>
    </row>
    <row r="1390" spans="1:7" ht="13.5">
      <c r="A1390" s="307" t="s">
        <v>7957</v>
      </c>
      <c r="B1390" s="307" t="s">
        <v>7958</v>
      </c>
      <c r="C1390" s="307" t="s">
        <v>5814</v>
      </c>
      <c r="D1390" s="307" t="s">
        <v>7959</v>
      </c>
      <c r="E1390" s="307" t="s">
        <v>3905</v>
      </c>
      <c r="F1390" s="307" t="s">
        <v>3906</v>
      </c>
      <c r="G1390" s="307" t="s">
        <v>3907</v>
      </c>
    </row>
    <row r="1391" spans="1:7" ht="13.5">
      <c r="A1391" s="307" t="s">
        <v>7960</v>
      </c>
      <c r="B1391" s="307" t="s">
        <v>7961</v>
      </c>
      <c r="C1391" s="307" t="s">
        <v>5814</v>
      </c>
      <c r="D1391" s="307" t="s">
        <v>7962</v>
      </c>
      <c r="E1391" s="307" t="s">
        <v>3905</v>
      </c>
      <c r="F1391" s="307" t="s">
        <v>3906</v>
      </c>
      <c r="G1391" s="307" t="s">
        <v>3907</v>
      </c>
    </row>
    <row r="1392" spans="1:7" ht="13.5">
      <c r="A1392" s="307" t="s">
        <v>7963</v>
      </c>
      <c r="B1392" s="307" t="s">
        <v>7964</v>
      </c>
      <c r="C1392" s="307" t="s">
        <v>5814</v>
      </c>
      <c r="D1392" s="307" t="s">
        <v>7965</v>
      </c>
      <c r="E1392" s="307" t="s">
        <v>3905</v>
      </c>
      <c r="F1392" s="307" t="s">
        <v>3906</v>
      </c>
      <c r="G1392" s="307" t="s">
        <v>3907</v>
      </c>
    </row>
    <row r="1393" spans="1:7" ht="13.5">
      <c r="A1393" s="307" t="s">
        <v>7966</v>
      </c>
      <c r="B1393" s="307" t="s">
        <v>7967</v>
      </c>
      <c r="C1393" s="307" t="s">
        <v>5814</v>
      </c>
      <c r="D1393" s="307" t="s">
        <v>7968</v>
      </c>
      <c r="E1393" s="307" t="s">
        <v>3905</v>
      </c>
      <c r="F1393" s="307" t="s">
        <v>3906</v>
      </c>
      <c r="G1393" s="307" t="s">
        <v>3907</v>
      </c>
    </row>
    <row r="1394" spans="1:7" ht="13.5">
      <c r="A1394" s="307" t="s">
        <v>7969</v>
      </c>
      <c r="B1394" s="307" t="s">
        <v>7970</v>
      </c>
      <c r="C1394" s="307" t="s">
        <v>5814</v>
      </c>
      <c r="D1394" s="307" t="s">
        <v>7971</v>
      </c>
      <c r="E1394" s="307" t="s">
        <v>3905</v>
      </c>
      <c r="F1394" s="307" t="s">
        <v>3906</v>
      </c>
      <c r="G1394" s="307" t="s">
        <v>3907</v>
      </c>
    </row>
    <row r="1395" spans="1:7" ht="13.5">
      <c r="A1395" s="307" t="s">
        <v>7972</v>
      </c>
      <c r="B1395" s="307" t="s">
        <v>7973</v>
      </c>
      <c r="C1395" s="307" t="s">
        <v>5814</v>
      </c>
      <c r="D1395" s="307" t="s">
        <v>7974</v>
      </c>
      <c r="E1395" s="307" t="s">
        <v>4021</v>
      </c>
      <c r="F1395" s="307" t="s">
        <v>3906</v>
      </c>
      <c r="G1395" s="307" t="s">
        <v>3907</v>
      </c>
    </row>
    <row r="1396" spans="1:7" ht="13.5">
      <c r="A1396" s="307" t="s">
        <v>7975</v>
      </c>
      <c r="B1396" s="307" t="s">
        <v>7976</v>
      </c>
      <c r="C1396" s="307" t="s">
        <v>5814</v>
      </c>
      <c r="D1396" s="307" t="s">
        <v>7977</v>
      </c>
      <c r="E1396" s="307" t="s">
        <v>3905</v>
      </c>
      <c r="F1396" s="307" t="s">
        <v>3906</v>
      </c>
      <c r="G1396" s="307" t="s">
        <v>3907</v>
      </c>
    </row>
    <row r="1397" spans="1:7" ht="13.5">
      <c r="A1397" s="307" t="s">
        <v>7978</v>
      </c>
      <c r="B1397" s="307" t="s">
        <v>7979</v>
      </c>
      <c r="C1397" s="307" t="s">
        <v>5814</v>
      </c>
      <c r="D1397" s="307" t="s">
        <v>7980</v>
      </c>
      <c r="E1397" s="307" t="s">
        <v>3905</v>
      </c>
      <c r="F1397" s="307" t="s">
        <v>3906</v>
      </c>
      <c r="G1397" s="307" t="s">
        <v>3907</v>
      </c>
    </row>
    <row r="1398" spans="1:7" ht="13.5">
      <c r="A1398" s="307" t="s">
        <v>7981</v>
      </c>
      <c r="B1398" s="307" t="s">
        <v>7982</v>
      </c>
      <c r="C1398" s="307" t="s">
        <v>5814</v>
      </c>
      <c r="D1398" s="307" t="s">
        <v>7983</v>
      </c>
      <c r="E1398" s="307" t="s">
        <v>3905</v>
      </c>
      <c r="F1398" s="307" t="s">
        <v>3906</v>
      </c>
      <c r="G1398" s="307" t="s">
        <v>3907</v>
      </c>
    </row>
    <row r="1399" spans="1:7" ht="13.5">
      <c r="A1399" s="307" t="s">
        <v>7984</v>
      </c>
      <c r="B1399" s="307" t="s">
        <v>7985</v>
      </c>
      <c r="C1399" s="307" t="s">
        <v>5814</v>
      </c>
      <c r="D1399" s="307" t="s">
        <v>7986</v>
      </c>
      <c r="E1399" s="307" t="s">
        <v>3905</v>
      </c>
      <c r="F1399" s="307" t="s">
        <v>3906</v>
      </c>
      <c r="G1399" s="307" t="s">
        <v>3907</v>
      </c>
    </row>
    <row r="1400" spans="1:7" ht="13.5">
      <c r="A1400" s="307" t="s">
        <v>7987</v>
      </c>
      <c r="B1400" s="307" t="s">
        <v>7988</v>
      </c>
      <c r="C1400" s="307" t="s">
        <v>5814</v>
      </c>
      <c r="D1400" s="307" t="s">
        <v>7989</v>
      </c>
      <c r="E1400" s="307" t="s">
        <v>3905</v>
      </c>
      <c r="F1400" s="307" t="s">
        <v>3906</v>
      </c>
      <c r="G1400" s="307" t="s">
        <v>3907</v>
      </c>
    </row>
    <row r="1401" spans="1:7" ht="13.5">
      <c r="A1401" s="307" t="s">
        <v>7990</v>
      </c>
      <c r="B1401" s="307" t="s">
        <v>7991</v>
      </c>
      <c r="C1401" s="307" t="s">
        <v>5814</v>
      </c>
      <c r="D1401" s="307" t="s">
        <v>7992</v>
      </c>
      <c r="E1401" s="307" t="s">
        <v>3905</v>
      </c>
      <c r="F1401" s="307" t="s">
        <v>3906</v>
      </c>
      <c r="G1401" s="307" t="s">
        <v>3907</v>
      </c>
    </row>
    <row r="1402" spans="1:7" ht="13.5">
      <c r="A1402" s="307" t="s">
        <v>7993</v>
      </c>
      <c r="B1402" s="307" t="s">
        <v>7994</v>
      </c>
      <c r="C1402" s="307" t="s">
        <v>5814</v>
      </c>
      <c r="D1402" s="307" t="s">
        <v>7995</v>
      </c>
      <c r="E1402" s="307" t="s">
        <v>3905</v>
      </c>
      <c r="F1402" s="307" t="s">
        <v>3906</v>
      </c>
      <c r="G1402" s="307" t="s">
        <v>3907</v>
      </c>
    </row>
    <row r="1403" spans="1:7" ht="13.5">
      <c r="A1403" s="307" t="s">
        <v>7996</v>
      </c>
      <c r="B1403" s="307" t="s">
        <v>7997</v>
      </c>
      <c r="C1403" s="307" t="s">
        <v>5814</v>
      </c>
      <c r="D1403" s="307" t="s">
        <v>7998</v>
      </c>
      <c r="E1403" s="307" t="s">
        <v>3905</v>
      </c>
      <c r="F1403" s="307" t="s">
        <v>3906</v>
      </c>
      <c r="G1403" s="307" t="s">
        <v>3907</v>
      </c>
    </row>
    <row r="1404" spans="1:7" ht="13.5">
      <c r="A1404" s="307" t="s">
        <v>7999</v>
      </c>
      <c r="B1404" s="307" t="s">
        <v>8000</v>
      </c>
      <c r="C1404" s="307" t="s">
        <v>5814</v>
      </c>
      <c r="D1404" s="307" t="s">
        <v>8001</v>
      </c>
      <c r="E1404" s="307" t="s">
        <v>3905</v>
      </c>
      <c r="F1404" s="307" t="s">
        <v>3906</v>
      </c>
      <c r="G1404" s="307" t="s">
        <v>3907</v>
      </c>
    </row>
    <row r="1405" spans="1:7" ht="13.5">
      <c r="A1405" s="307" t="s">
        <v>8002</v>
      </c>
      <c r="B1405" s="307" t="s">
        <v>8003</v>
      </c>
      <c r="C1405" s="307" t="s">
        <v>5814</v>
      </c>
      <c r="D1405" s="307" t="s">
        <v>8004</v>
      </c>
      <c r="E1405" s="307" t="s">
        <v>3905</v>
      </c>
      <c r="F1405" s="307" t="s">
        <v>3906</v>
      </c>
      <c r="G1405" s="307" t="s">
        <v>3907</v>
      </c>
    </row>
    <row r="1406" spans="1:7" ht="13.5">
      <c r="A1406" s="307" t="s">
        <v>8005</v>
      </c>
      <c r="B1406" s="307" t="s">
        <v>8006</v>
      </c>
      <c r="C1406" s="307" t="s">
        <v>5814</v>
      </c>
      <c r="D1406" s="307" t="s">
        <v>8007</v>
      </c>
      <c r="E1406" s="307" t="s">
        <v>4021</v>
      </c>
      <c r="F1406" s="307" t="s">
        <v>3906</v>
      </c>
      <c r="G1406" s="307" t="s">
        <v>3907</v>
      </c>
    </row>
    <row r="1407" spans="1:7" ht="13.5">
      <c r="A1407" s="307" t="s">
        <v>8008</v>
      </c>
      <c r="B1407" s="307" t="s">
        <v>8009</v>
      </c>
      <c r="C1407" s="307" t="s">
        <v>5814</v>
      </c>
      <c r="D1407" s="307" t="s">
        <v>8010</v>
      </c>
      <c r="E1407" s="307" t="s">
        <v>3905</v>
      </c>
      <c r="F1407" s="307" t="s">
        <v>3906</v>
      </c>
      <c r="G1407" s="307" t="s">
        <v>3907</v>
      </c>
    </row>
    <row r="1408" spans="1:7" ht="13.5">
      <c r="A1408" s="307" t="s">
        <v>8011</v>
      </c>
      <c r="B1408" s="307" t="s">
        <v>8012</v>
      </c>
      <c r="C1408" s="307" t="s">
        <v>5814</v>
      </c>
      <c r="D1408" s="307" t="s">
        <v>8013</v>
      </c>
      <c r="E1408" s="307" t="s">
        <v>3905</v>
      </c>
      <c r="F1408" s="307" t="s">
        <v>3906</v>
      </c>
      <c r="G1408" s="307" t="s">
        <v>3907</v>
      </c>
    </row>
    <row r="1409" spans="1:7" ht="13.5">
      <c r="A1409" s="307" t="s">
        <v>8014</v>
      </c>
      <c r="B1409" s="307" t="s">
        <v>8015</v>
      </c>
      <c r="C1409" s="307" t="s">
        <v>5814</v>
      </c>
      <c r="D1409" s="307" t="s">
        <v>8016</v>
      </c>
      <c r="E1409" s="307" t="s">
        <v>3905</v>
      </c>
      <c r="F1409" s="307" t="s">
        <v>3906</v>
      </c>
      <c r="G1409" s="307" t="s">
        <v>3907</v>
      </c>
    </row>
    <row r="1410" spans="1:7" ht="13.5">
      <c r="A1410" s="307" t="s">
        <v>8017</v>
      </c>
      <c r="B1410" s="307" t="s">
        <v>8018</v>
      </c>
      <c r="C1410" s="307" t="s">
        <v>5814</v>
      </c>
      <c r="D1410" s="307" t="s">
        <v>8019</v>
      </c>
      <c r="E1410" s="307" t="s">
        <v>3905</v>
      </c>
      <c r="F1410" s="307" t="s">
        <v>3906</v>
      </c>
      <c r="G1410" s="307" t="s">
        <v>3907</v>
      </c>
    </row>
    <row r="1411" spans="1:7" ht="13.5">
      <c r="A1411" s="307" t="s">
        <v>8020</v>
      </c>
      <c r="B1411" s="307" t="s">
        <v>8021</v>
      </c>
      <c r="C1411" s="307" t="s">
        <v>5814</v>
      </c>
      <c r="D1411" s="307" t="s">
        <v>8022</v>
      </c>
      <c r="E1411" s="307" t="s">
        <v>3905</v>
      </c>
      <c r="F1411" s="307" t="s">
        <v>3906</v>
      </c>
      <c r="G1411" s="307" t="s">
        <v>3907</v>
      </c>
    </row>
    <row r="1412" spans="1:7" ht="13.5">
      <c r="A1412" s="307" t="s">
        <v>8023</v>
      </c>
      <c r="B1412" s="307" t="s">
        <v>8024</v>
      </c>
      <c r="C1412" s="307" t="s">
        <v>5814</v>
      </c>
      <c r="D1412" s="307" t="s">
        <v>8025</v>
      </c>
      <c r="E1412" s="307" t="s">
        <v>3905</v>
      </c>
      <c r="F1412" s="307" t="s">
        <v>3906</v>
      </c>
      <c r="G1412" s="307" t="s">
        <v>3907</v>
      </c>
    </row>
    <row r="1413" spans="1:7" ht="13.5">
      <c r="A1413" s="307" t="s">
        <v>8026</v>
      </c>
      <c r="B1413" s="307" t="s">
        <v>8027</v>
      </c>
      <c r="C1413" s="307" t="s">
        <v>5814</v>
      </c>
      <c r="D1413" s="307" t="s">
        <v>8028</v>
      </c>
      <c r="E1413" s="307" t="s">
        <v>3905</v>
      </c>
      <c r="F1413" s="307" t="s">
        <v>3906</v>
      </c>
      <c r="G1413" s="307" t="s">
        <v>3907</v>
      </c>
    </row>
    <row r="1414" spans="1:7" ht="13.5">
      <c r="A1414" s="307" t="s">
        <v>8029</v>
      </c>
      <c r="B1414" s="307" t="s">
        <v>8030</v>
      </c>
      <c r="C1414" s="307" t="s">
        <v>5814</v>
      </c>
      <c r="D1414" s="307" t="s">
        <v>8031</v>
      </c>
      <c r="E1414" s="307" t="s">
        <v>3905</v>
      </c>
      <c r="F1414" s="307" t="s">
        <v>3906</v>
      </c>
      <c r="G1414" s="307" t="s">
        <v>3907</v>
      </c>
    </row>
    <row r="1415" spans="1:7" ht="13.5">
      <c r="A1415" s="307" t="s">
        <v>8032</v>
      </c>
      <c r="B1415" s="307" t="s">
        <v>8033</v>
      </c>
      <c r="C1415" s="307" t="s">
        <v>5814</v>
      </c>
      <c r="D1415" s="307" t="s">
        <v>8034</v>
      </c>
      <c r="E1415" s="307" t="s">
        <v>3905</v>
      </c>
      <c r="F1415" s="307" t="s">
        <v>3906</v>
      </c>
      <c r="G1415" s="307" t="s">
        <v>3907</v>
      </c>
    </row>
    <row r="1416" spans="1:7" ht="13.5">
      <c r="A1416" s="307" t="s">
        <v>8035</v>
      </c>
      <c r="B1416" s="307" t="s">
        <v>8036</v>
      </c>
      <c r="C1416" s="307" t="s">
        <v>5814</v>
      </c>
      <c r="D1416" s="307" t="s">
        <v>8037</v>
      </c>
      <c r="E1416" s="307" t="s">
        <v>3905</v>
      </c>
      <c r="F1416" s="307" t="s">
        <v>3906</v>
      </c>
      <c r="G1416" s="307" t="s">
        <v>3907</v>
      </c>
    </row>
    <row r="1417" spans="1:7" ht="13.5">
      <c r="A1417" s="307" t="s">
        <v>8038</v>
      </c>
      <c r="B1417" s="307" t="s">
        <v>8039</v>
      </c>
      <c r="C1417" s="307" t="s">
        <v>5814</v>
      </c>
      <c r="D1417" s="307" t="s">
        <v>8040</v>
      </c>
      <c r="E1417" s="307" t="s">
        <v>3905</v>
      </c>
      <c r="F1417" s="307" t="s">
        <v>3906</v>
      </c>
      <c r="G1417" s="307" t="s">
        <v>3907</v>
      </c>
    </row>
    <row r="1418" spans="1:7" ht="13.5">
      <c r="A1418" s="307" t="s">
        <v>8041</v>
      </c>
      <c r="B1418" s="307" t="s">
        <v>8042</v>
      </c>
      <c r="C1418" s="307" t="s">
        <v>5814</v>
      </c>
      <c r="D1418" s="307" t="s">
        <v>3482</v>
      </c>
      <c r="E1418" s="307" t="s">
        <v>3905</v>
      </c>
      <c r="F1418" s="307" t="s">
        <v>3906</v>
      </c>
      <c r="G1418" s="307" t="s">
        <v>3907</v>
      </c>
    </row>
    <row r="1419" spans="1:7" ht="13.5">
      <c r="A1419" s="307" t="s">
        <v>8043</v>
      </c>
      <c r="B1419" s="307" t="s">
        <v>8044</v>
      </c>
      <c r="C1419" s="307" t="s">
        <v>5814</v>
      </c>
      <c r="D1419" s="307" t="s">
        <v>8045</v>
      </c>
      <c r="E1419" s="307" t="s">
        <v>3905</v>
      </c>
      <c r="F1419" s="307" t="s">
        <v>3906</v>
      </c>
      <c r="G1419" s="307" t="s">
        <v>3907</v>
      </c>
    </row>
    <row r="1420" spans="1:7" ht="13.5">
      <c r="A1420" s="307" t="s">
        <v>8046</v>
      </c>
      <c r="B1420" s="307" t="s">
        <v>8047</v>
      </c>
      <c r="C1420" s="307" t="s">
        <v>5814</v>
      </c>
      <c r="D1420" s="307" t="s">
        <v>8048</v>
      </c>
      <c r="E1420" s="307" t="s">
        <v>3905</v>
      </c>
      <c r="F1420" s="307" t="s">
        <v>3906</v>
      </c>
      <c r="G1420" s="307" t="s">
        <v>3907</v>
      </c>
    </row>
    <row r="1421" spans="1:7" ht="13.5">
      <c r="A1421" s="307" t="s">
        <v>8049</v>
      </c>
      <c r="B1421" s="307" t="s">
        <v>8050</v>
      </c>
      <c r="C1421" s="307" t="s">
        <v>5814</v>
      </c>
      <c r="D1421" s="307" t="s">
        <v>8051</v>
      </c>
      <c r="E1421" s="307" t="s">
        <v>3905</v>
      </c>
      <c r="F1421" s="307" t="s">
        <v>3906</v>
      </c>
      <c r="G1421" s="307" t="s">
        <v>3907</v>
      </c>
    </row>
    <row r="1422" spans="1:7" ht="13.5">
      <c r="A1422" s="307" t="s">
        <v>8052</v>
      </c>
      <c r="B1422" s="307" t="s">
        <v>8053</v>
      </c>
      <c r="C1422" s="307" t="s">
        <v>5814</v>
      </c>
      <c r="D1422" s="307" t="s">
        <v>8051</v>
      </c>
      <c r="E1422" s="307" t="s">
        <v>3905</v>
      </c>
      <c r="F1422" s="307" t="s">
        <v>3906</v>
      </c>
      <c r="G1422" s="307" t="s">
        <v>3907</v>
      </c>
    </row>
    <row r="1423" spans="1:7" ht="13.5">
      <c r="A1423" s="307" t="s">
        <v>8054</v>
      </c>
      <c r="B1423" s="307" t="s">
        <v>8055</v>
      </c>
      <c r="C1423" s="307" t="s">
        <v>5814</v>
      </c>
      <c r="D1423" s="307" t="s">
        <v>8056</v>
      </c>
      <c r="E1423" s="307" t="s">
        <v>3905</v>
      </c>
      <c r="F1423" s="307" t="s">
        <v>3906</v>
      </c>
      <c r="G1423" s="307" t="s">
        <v>3907</v>
      </c>
    </row>
    <row r="1424" spans="1:7" ht="13.5">
      <c r="A1424" s="307" t="s">
        <v>8057</v>
      </c>
      <c r="B1424" s="307" t="s">
        <v>8058</v>
      </c>
      <c r="C1424" s="307" t="s">
        <v>5814</v>
      </c>
      <c r="D1424" s="307" t="s">
        <v>8059</v>
      </c>
      <c r="E1424" s="307" t="s">
        <v>3905</v>
      </c>
      <c r="F1424" s="307" t="s">
        <v>3906</v>
      </c>
      <c r="G1424" s="307" t="s">
        <v>3907</v>
      </c>
    </row>
    <row r="1425" spans="1:7" ht="13.5">
      <c r="A1425" s="307" t="s">
        <v>8060</v>
      </c>
      <c r="B1425" s="307" t="s">
        <v>8061</v>
      </c>
      <c r="C1425" s="307" t="s">
        <v>5814</v>
      </c>
      <c r="D1425" s="307" t="s">
        <v>8062</v>
      </c>
      <c r="E1425" s="307" t="s">
        <v>3905</v>
      </c>
      <c r="F1425" s="307" t="s">
        <v>3906</v>
      </c>
      <c r="G1425" s="307" t="s">
        <v>3907</v>
      </c>
    </row>
    <row r="1426" spans="1:7" ht="13.5">
      <c r="A1426" s="307" t="s">
        <v>8063</v>
      </c>
      <c r="B1426" s="307" t="s">
        <v>8064</v>
      </c>
      <c r="C1426" s="307" t="s">
        <v>5814</v>
      </c>
      <c r="D1426" s="307" t="s">
        <v>8065</v>
      </c>
      <c r="E1426" s="307" t="s">
        <v>3905</v>
      </c>
      <c r="F1426" s="307" t="s">
        <v>3906</v>
      </c>
      <c r="G1426" s="307" t="s">
        <v>3907</v>
      </c>
    </row>
    <row r="1427" spans="1:7" ht="13.5">
      <c r="A1427" s="307" t="s">
        <v>8066</v>
      </c>
      <c r="B1427" s="307" t="s">
        <v>8067</v>
      </c>
      <c r="C1427" s="307" t="s">
        <v>5814</v>
      </c>
      <c r="D1427" s="307" t="s">
        <v>8068</v>
      </c>
      <c r="E1427" s="307" t="s">
        <v>3905</v>
      </c>
      <c r="F1427" s="307" t="s">
        <v>3906</v>
      </c>
      <c r="G1427" s="307" t="s">
        <v>3907</v>
      </c>
    </row>
    <row r="1428" spans="1:7" ht="13.5">
      <c r="A1428" s="307" t="s">
        <v>8069</v>
      </c>
      <c r="B1428" s="307" t="s">
        <v>8070</v>
      </c>
      <c r="C1428" s="307" t="s">
        <v>5814</v>
      </c>
      <c r="D1428" s="307" t="s">
        <v>8071</v>
      </c>
      <c r="E1428" s="307" t="s">
        <v>3905</v>
      </c>
      <c r="F1428" s="307" t="s">
        <v>3906</v>
      </c>
      <c r="G1428" s="307" t="s">
        <v>3907</v>
      </c>
    </row>
    <row r="1429" spans="1:7" ht="13.5">
      <c r="A1429" s="307" t="s">
        <v>8072</v>
      </c>
      <c r="B1429" s="307" t="s">
        <v>8073</v>
      </c>
      <c r="C1429" s="307" t="s">
        <v>5814</v>
      </c>
      <c r="D1429" s="307" t="s">
        <v>8074</v>
      </c>
      <c r="E1429" s="307" t="s">
        <v>3905</v>
      </c>
      <c r="F1429" s="307" t="s">
        <v>3906</v>
      </c>
      <c r="G1429" s="307" t="s">
        <v>3907</v>
      </c>
    </row>
    <row r="1430" spans="1:7" ht="13.5">
      <c r="A1430" s="307" t="s">
        <v>8075</v>
      </c>
      <c r="B1430" s="307" t="s">
        <v>8076</v>
      </c>
      <c r="C1430" s="307" t="s">
        <v>5814</v>
      </c>
      <c r="D1430" s="307" t="s">
        <v>8077</v>
      </c>
      <c r="E1430" s="307" t="s">
        <v>3905</v>
      </c>
      <c r="F1430" s="307" t="s">
        <v>3906</v>
      </c>
      <c r="G1430" s="307" t="s">
        <v>3907</v>
      </c>
    </row>
    <row r="1431" spans="1:7" ht="13.5">
      <c r="A1431" s="307" t="s">
        <v>8078</v>
      </c>
      <c r="B1431" s="307" t="s">
        <v>8079</v>
      </c>
      <c r="C1431" s="307" t="s">
        <v>5814</v>
      </c>
      <c r="D1431" s="307" t="s">
        <v>8080</v>
      </c>
      <c r="E1431" s="307" t="s">
        <v>3905</v>
      </c>
      <c r="F1431" s="307" t="s">
        <v>3906</v>
      </c>
      <c r="G1431" s="307" t="s">
        <v>3907</v>
      </c>
    </row>
    <row r="1432" spans="1:7" ht="13.5">
      <c r="A1432" s="307" t="s">
        <v>8081</v>
      </c>
      <c r="B1432" s="307" t="s">
        <v>2936</v>
      </c>
      <c r="C1432" s="307" t="s">
        <v>5814</v>
      </c>
      <c r="D1432" s="307" t="s">
        <v>2937</v>
      </c>
      <c r="E1432" s="307" t="s">
        <v>3905</v>
      </c>
      <c r="F1432" s="307" t="s">
        <v>3906</v>
      </c>
      <c r="G1432" s="307" t="s">
        <v>3907</v>
      </c>
    </row>
    <row r="1433" spans="1:7" ht="13.5">
      <c r="A1433" s="307" t="s">
        <v>8082</v>
      </c>
      <c r="B1433" s="307" t="s">
        <v>8083</v>
      </c>
      <c r="C1433" s="307" t="s">
        <v>5814</v>
      </c>
      <c r="D1433" s="307" t="s">
        <v>8084</v>
      </c>
      <c r="E1433" s="307" t="s">
        <v>3905</v>
      </c>
      <c r="F1433" s="307" t="s">
        <v>3906</v>
      </c>
      <c r="G1433" s="307" t="s">
        <v>3907</v>
      </c>
    </row>
    <row r="1434" spans="1:7" ht="13.5">
      <c r="A1434" s="307" t="s">
        <v>8085</v>
      </c>
      <c r="B1434" s="307" t="s">
        <v>8086</v>
      </c>
      <c r="C1434" s="307" t="s">
        <v>5814</v>
      </c>
      <c r="D1434" s="307" t="s">
        <v>8087</v>
      </c>
      <c r="E1434" s="307" t="s">
        <v>3905</v>
      </c>
      <c r="F1434" s="307" t="s">
        <v>3906</v>
      </c>
      <c r="G1434" s="307" t="s">
        <v>3907</v>
      </c>
    </row>
    <row r="1435" spans="1:7" ht="13.5">
      <c r="A1435" s="307" t="s">
        <v>8088</v>
      </c>
      <c r="B1435" s="307" t="s">
        <v>8089</v>
      </c>
      <c r="C1435" s="307" t="s">
        <v>5814</v>
      </c>
      <c r="D1435" s="307" t="s">
        <v>8090</v>
      </c>
      <c r="E1435" s="307" t="s">
        <v>3905</v>
      </c>
      <c r="F1435" s="307" t="s">
        <v>3906</v>
      </c>
      <c r="G1435" s="307" t="s">
        <v>3907</v>
      </c>
    </row>
    <row r="1436" spans="1:7" ht="13.5">
      <c r="A1436" s="307" t="s">
        <v>8091</v>
      </c>
      <c r="B1436" s="307" t="s">
        <v>8092</v>
      </c>
      <c r="C1436" s="307" t="s">
        <v>5814</v>
      </c>
      <c r="D1436" s="307" t="s">
        <v>8093</v>
      </c>
      <c r="E1436" s="307" t="s">
        <v>3905</v>
      </c>
      <c r="F1436" s="307" t="s">
        <v>3906</v>
      </c>
      <c r="G1436" s="307" t="s">
        <v>3907</v>
      </c>
    </row>
    <row r="1437" spans="1:7" ht="13.5">
      <c r="A1437" s="307" t="s">
        <v>8094</v>
      </c>
      <c r="B1437" s="307" t="s">
        <v>8095</v>
      </c>
      <c r="C1437" s="307" t="s">
        <v>5814</v>
      </c>
      <c r="D1437" s="307" t="s">
        <v>8096</v>
      </c>
      <c r="E1437" s="307" t="s">
        <v>3905</v>
      </c>
      <c r="F1437" s="307" t="s">
        <v>3906</v>
      </c>
      <c r="G1437" s="307" t="s">
        <v>3907</v>
      </c>
    </row>
    <row r="1438" spans="1:7" ht="13.5">
      <c r="A1438" s="307" t="s">
        <v>8097</v>
      </c>
      <c r="B1438" s="307" t="s">
        <v>8098</v>
      </c>
      <c r="C1438" s="307" t="s">
        <v>5814</v>
      </c>
      <c r="D1438" s="307" t="s">
        <v>8099</v>
      </c>
      <c r="E1438" s="307" t="s">
        <v>3905</v>
      </c>
      <c r="F1438" s="307" t="s">
        <v>3906</v>
      </c>
      <c r="G1438" s="307" t="s">
        <v>3907</v>
      </c>
    </row>
    <row r="1439" spans="1:7" ht="13.5">
      <c r="A1439" s="307" t="s">
        <v>8100</v>
      </c>
      <c r="B1439" s="307" t="s">
        <v>8101</v>
      </c>
      <c r="C1439" s="307" t="s">
        <v>5814</v>
      </c>
      <c r="D1439" s="307" t="s">
        <v>8102</v>
      </c>
      <c r="E1439" s="307" t="s">
        <v>3905</v>
      </c>
      <c r="F1439" s="307" t="s">
        <v>3906</v>
      </c>
      <c r="G1439" s="307" t="s">
        <v>3907</v>
      </c>
    </row>
    <row r="1440" spans="1:7" ht="13.5">
      <c r="A1440" s="307" t="s">
        <v>8103</v>
      </c>
      <c r="B1440" s="307" t="s">
        <v>8104</v>
      </c>
      <c r="C1440" s="307" t="s">
        <v>5814</v>
      </c>
      <c r="D1440" s="307" t="s">
        <v>8105</v>
      </c>
      <c r="E1440" s="307" t="s">
        <v>3905</v>
      </c>
      <c r="F1440" s="307" t="s">
        <v>3906</v>
      </c>
      <c r="G1440" s="307" t="s">
        <v>3907</v>
      </c>
    </row>
    <row r="1441" spans="1:7" ht="13.5">
      <c r="A1441" s="307" t="s">
        <v>8106</v>
      </c>
      <c r="B1441" s="307" t="s">
        <v>8107</v>
      </c>
      <c r="C1441" s="307" t="s">
        <v>5814</v>
      </c>
      <c r="D1441" s="307" t="s">
        <v>8108</v>
      </c>
      <c r="E1441" s="307" t="s">
        <v>3905</v>
      </c>
      <c r="F1441" s="307" t="s">
        <v>3906</v>
      </c>
      <c r="G1441" s="307" t="s">
        <v>3907</v>
      </c>
    </row>
    <row r="1442" spans="1:7" ht="13.5">
      <c r="A1442" s="307" t="s">
        <v>8109</v>
      </c>
      <c r="B1442" s="307" t="s">
        <v>8110</v>
      </c>
      <c r="C1442" s="307" t="s">
        <v>5814</v>
      </c>
      <c r="D1442" s="307" t="s">
        <v>8111</v>
      </c>
      <c r="E1442" s="307" t="s">
        <v>3905</v>
      </c>
      <c r="F1442" s="307" t="s">
        <v>3906</v>
      </c>
      <c r="G1442" s="307" t="s">
        <v>3907</v>
      </c>
    </row>
    <row r="1443" spans="1:7" ht="13.5">
      <c r="A1443" s="307" t="s">
        <v>8112</v>
      </c>
      <c r="B1443" s="307" t="s">
        <v>8113</v>
      </c>
      <c r="C1443" s="307" t="s">
        <v>5814</v>
      </c>
      <c r="D1443" s="307" t="s">
        <v>2157</v>
      </c>
      <c r="E1443" s="307" t="s">
        <v>3905</v>
      </c>
      <c r="F1443" s="307" t="s">
        <v>3906</v>
      </c>
      <c r="G1443" s="307" t="s">
        <v>3907</v>
      </c>
    </row>
    <row r="1444" spans="1:7" ht="13.5">
      <c r="A1444" s="307" t="s">
        <v>8114</v>
      </c>
      <c r="B1444" s="307" t="s">
        <v>8115</v>
      </c>
      <c r="C1444" s="307" t="s">
        <v>5814</v>
      </c>
      <c r="D1444" s="307" t="s">
        <v>8116</v>
      </c>
      <c r="E1444" s="307" t="s">
        <v>3905</v>
      </c>
      <c r="F1444" s="307" t="s">
        <v>3906</v>
      </c>
      <c r="G1444" s="307" t="s">
        <v>3907</v>
      </c>
    </row>
    <row r="1445" spans="1:7" ht="13.5">
      <c r="A1445" s="307" t="s">
        <v>8117</v>
      </c>
      <c r="B1445" s="307" t="s">
        <v>8118</v>
      </c>
      <c r="C1445" s="307" t="s">
        <v>5814</v>
      </c>
      <c r="D1445" s="307" t="s">
        <v>8119</v>
      </c>
      <c r="E1445" s="307" t="s">
        <v>3905</v>
      </c>
      <c r="F1445" s="307" t="s">
        <v>3906</v>
      </c>
      <c r="G1445" s="307" t="s">
        <v>3907</v>
      </c>
    </row>
    <row r="1446" spans="1:7" ht="13.5">
      <c r="A1446" s="307" t="s">
        <v>8120</v>
      </c>
      <c r="B1446" s="307" t="s">
        <v>8121</v>
      </c>
      <c r="C1446" s="307" t="s">
        <v>5814</v>
      </c>
      <c r="D1446" s="307" t="s">
        <v>3161</v>
      </c>
      <c r="E1446" s="307" t="s">
        <v>3905</v>
      </c>
      <c r="F1446" s="307" t="s">
        <v>3906</v>
      </c>
      <c r="G1446" s="307" t="s">
        <v>3907</v>
      </c>
    </row>
    <row r="1447" spans="1:7" ht="13.5">
      <c r="A1447" s="307" t="s">
        <v>8122</v>
      </c>
      <c r="B1447" s="307" t="s">
        <v>8123</v>
      </c>
      <c r="C1447" s="307" t="s">
        <v>5814</v>
      </c>
      <c r="D1447" s="307" t="s">
        <v>8124</v>
      </c>
      <c r="E1447" s="307" t="s">
        <v>3905</v>
      </c>
      <c r="F1447" s="307" t="s">
        <v>3906</v>
      </c>
      <c r="G1447" s="307" t="s">
        <v>3907</v>
      </c>
    </row>
    <row r="1448" spans="1:7" ht="13.5">
      <c r="A1448" s="307" t="s">
        <v>8125</v>
      </c>
      <c r="B1448" s="307" t="s">
        <v>8126</v>
      </c>
      <c r="C1448" s="307" t="s">
        <v>5814</v>
      </c>
      <c r="D1448" s="307" t="s">
        <v>8127</v>
      </c>
      <c r="E1448" s="307" t="s">
        <v>3905</v>
      </c>
      <c r="F1448" s="307" t="s">
        <v>3906</v>
      </c>
      <c r="G1448" s="307" t="s">
        <v>3907</v>
      </c>
    </row>
    <row r="1449" spans="1:7" ht="13.5">
      <c r="A1449" s="307" t="s">
        <v>8128</v>
      </c>
      <c r="B1449" s="307" t="s">
        <v>8129</v>
      </c>
      <c r="C1449" s="307" t="s">
        <v>5814</v>
      </c>
      <c r="D1449" s="307" t="s">
        <v>8130</v>
      </c>
      <c r="E1449" s="307" t="s">
        <v>3905</v>
      </c>
      <c r="F1449" s="307" t="s">
        <v>3906</v>
      </c>
      <c r="G1449" s="307" t="s">
        <v>3907</v>
      </c>
    </row>
    <row r="1450" spans="1:7" ht="13.5">
      <c r="A1450" s="307" t="s">
        <v>8131</v>
      </c>
      <c r="B1450" s="307" t="s">
        <v>8132</v>
      </c>
      <c r="C1450" s="307" t="s">
        <v>5814</v>
      </c>
      <c r="D1450" s="307" t="s">
        <v>8133</v>
      </c>
      <c r="E1450" s="307" t="s">
        <v>3905</v>
      </c>
      <c r="F1450" s="307" t="s">
        <v>3906</v>
      </c>
      <c r="G1450" s="307" t="s">
        <v>3907</v>
      </c>
    </row>
    <row r="1451" spans="1:7" ht="13.5">
      <c r="A1451" s="307" t="s">
        <v>8134</v>
      </c>
      <c r="B1451" s="307" t="s">
        <v>8135</v>
      </c>
      <c r="C1451" s="307" t="s">
        <v>5814</v>
      </c>
      <c r="D1451" s="307" t="s">
        <v>8136</v>
      </c>
      <c r="E1451" s="307" t="s">
        <v>3905</v>
      </c>
      <c r="F1451" s="307" t="s">
        <v>3906</v>
      </c>
      <c r="G1451" s="307" t="s">
        <v>3907</v>
      </c>
    </row>
    <row r="1452" spans="1:7" ht="13.5">
      <c r="A1452" s="307" t="s">
        <v>8137</v>
      </c>
      <c r="B1452" s="307" t="s">
        <v>8138</v>
      </c>
      <c r="C1452" s="307" t="s">
        <v>5814</v>
      </c>
      <c r="D1452" s="307" t="s">
        <v>8139</v>
      </c>
      <c r="E1452" s="307" t="s">
        <v>3905</v>
      </c>
      <c r="F1452" s="307" t="s">
        <v>3906</v>
      </c>
      <c r="G1452" s="307" t="s">
        <v>3907</v>
      </c>
    </row>
    <row r="1453" spans="1:7" ht="13.5">
      <c r="A1453" s="307" t="s">
        <v>8140</v>
      </c>
      <c r="B1453" s="307" t="s">
        <v>8141</v>
      </c>
      <c r="C1453" s="307" t="s">
        <v>5814</v>
      </c>
      <c r="D1453" s="307" t="s">
        <v>8142</v>
      </c>
      <c r="E1453" s="307" t="s">
        <v>3905</v>
      </c>
      <c r="F1453" s="307" t="s">
        <v>3906</v>
      </c>
      <c r="G1453" s="307" t="s">
        <v>3907</v>
      </c>
    </row>
    <row r="1454" spans="1:7" ht="13.5">
      <c r="A1454" s="307" t="s">
        <v>8143</v>
      </c>
      <c r="B1454" s="307" t="s">
        <v>8144</v>
      </c>
      <c r="C1454" s="307" t="s">
        <v>5814</v>
      </c>
      <c r="D1454" s="307" t="s">
        <v>8145</v>
      </c>
      <c r="E1454" s="307" t="s">
        <v>3905</v>
      </c>
      <c r="F1454" s="307" t="s">
        <v>3906</v>
      </c>
      <c r="G1454" s="307" t="s">
        <v>3907</v>
      </c>
    </row>
    <row r="1455" spans="1:7" ht="13.5">
      <c r="A1455" s="307" t="s">
        <v>8146</v>
      </c>
      <c r="B1455" s="307" t="s">
        <v>8147</v>
      </c>
      <c r="C1455" s="307" t="s">
        <v>5814</v>
      </c>
      <c r="D1455" s="307" t="s">
        <v>8148</v>
      </c>
      <c r="E1455" s="307" t="s">
        <v>3905</v>
      </c>
      <c r="F1455" s="307" t="s">
        <v>3906</v>
      </c>
      <c r="G1455" s="307" t="s">
        <v>3907</v>
      </c>
    </row>
    <row r="1456" spans="1:7" ht="13.5">
      <c r="A1456" s="307" t="s">
        <v>8149</v>
      </c>
      <c r="B1456" s="307" t="s">
        <v>8150</v>
      </c>
      <c r="C1456" s="307" t="s">
        <v>5814</v>
      </c>
      <c r="D1456" s="307" t="s">
        <v>8151</v>
      </c>
      <c r="E1456" s="307" t="s">
        <v>3905</v>
      </c>
      <c r="F1456" s="307" t="s">
        <v>3906</v>
      </c>
      <c r="G1456" s="307" t="s">
        <v>3907</v>
      </c>
    </row>
    <row r="1457" spans="1:7" ht="13.5">
      <c r="A1457" s="307" t="s">
        <v>8152</v>
      </c>
      <c r="B1457" s="307" t="s">
        <v>8153</v>
      </c>
      <c r="C1457" s="307" t="s">
        <v>5814</v>
      </c>
      <c r="D1457" s="307" t="s">
        <v>8154</v>
      </c>
      <c r="E1457" s="307" t="s">
        <v>3905</v>
      </c>
      <c r="F1457" s="307" t="s">
        <v>3906</v>
      </c>
      <c r="G1457" s="307" t="s">
        <v>3907</v>
      </c>
    </row>
    <row r="1458" spans="1:7" ht="13.5">
      <c r="A1458" s="307" t="s">
        <v>8155</v>
      </c>
      <c r="B1458" s="307" t="s">
        <v>8156</v>
      </c>
      <c r="C1458" s="307" t="s">
        <v>5814</v>
      </c>
      <c r="D1458" s="307" t="s">
        <v>8157</v>
      </c>
      <c r="E1458" s="307" t="s">
        <v>4021</v>
      </c>
      <c r="F1458" s="307" t="s">
        <v>3906</v>
      </c>
      <c r="G1458" s="307" t="s">
        <v>3907</v>
      </c>
    </row>
    <row r="1459" spans="1:7" ht="13.5">
      <c r="A1459" s="307" t="s">
        <v>8158</v>
      </c>
      <c r="B1459" s="307" t="s">
        <v>8159</v>
      </c>
      <c r="C1459" s="307" t="s">
        <v>5814</v>
      </c>
      <c r="D1459" s="307" t="s">
        <v>8160</v>
      </c>
      <c r="E1459" s="307" t="s">
        <v>3905</v>
      </c>
      <c r="F1459" s="307" t="s">
        <v>3906</v>
      </c>
      <c r="G1459" s="307" t="s">
        <v>3907</v>
      </c>
    </row>
    <row r="1460" spans="1:7" ht="13.5">
      <c r="A1460" s="307" t="s">
        <v>8161</v>
      </c>
      <c r="B1460" s="307" t="s">
        <v>8162</v>
      </c>
      <c r="C1460" s="307" t="s">
        <v>5814</v>
      </c>
      <c r="D1460" s="307" t="s">
        <v>8163</v>
      </c>
      <c r="E1460" s="307" t="s">
        <v>3905</v>
      </c>
      <c r="F1460" s="307" t="s">
        <v>3906</v>
      </c>
      <c r="G1460" s="307" t="s">
        <v>3907</v>
      </c>
    </row>
    <row r="1461" spans="1:7" ht="13.5">
      <c r="A1461" s="307" t="s">
        <v>8164</v>
      </c>
      <c r="B1461" s="307" t="s">
        <v>8165</v>
      </c>
      <c r="C1461" s="307" t="s">
        <v>5814</v>
      </c>
      <c r="D1461" s="307" t="s">
        <v>8166</v>
      </c>
      <c r="E1461" s="307" t="s">
        <v>3905</v>
      </c>
      <c r="F1461" s="307" t="s">
        <v>3906</v>
      </c>
      <c r="G1461" s="307" t="s">
        <v>3907</v>
      </c>
    </row>
    <row r="1462" spans="1:7" ht="13.5">
      <c r="A1462" s="307" t="s">
        <v>8167</v>
      </c>
      <c r="B1462" s="307" t="s">
        <v>8168</v>
      </c>
      <c r="C1462" s="307" t="s">
        <v>5814</v>
      </c>
      <c r="D1462" s="307" t="s">
        <v>8169</v>
      </c>
      <c r="E1462" s="307" t="s">
        <v>3905</v>
      </c>
      <c r="F1462" s="307" t="s">
        <v>3906</v>
      </c>
      <c r="G1462" s="307" t="s">
        <v>3907</v>
      </c>
    </row>
    <row r="1463" spans="1:7" ht="13.5">
      <c r="A1463" s="307" t="s">
        <v>8170</v>
      </c>
      <c r="B1463" s="307" t="s">
        <v>8171</v>
      </c>
      <c r="C1463" s="307" t="s">
        <v>5814</v>
      </c>
      <c r="D1463" s="307" t="s">
        <v>8172</v>
      </c>
      <c r="E1463" s="307" t="s">
        <v>3905</v>
      </c>
      <c r="F1463" s="307" t="s">
        <v>3906</v>
      </c>
      <c r="G1463" s="307" t="s">
        <v>3907</v>
      </c>
    </row>
    <row r="1464" spans="1:7" ht="13.5">
      <c r="A1464" s="307" t="s">
        <v>8173</v>
      </c>
      <c r="B1464" s="307" t="s">
        <v>8174</v>
      </c>
      <c r="C1464" s="307" t="s">
        <v>5814</v>
      </c>
      <c r="D1464" s="307" t="s">
        <v>8175</v>
      </c>
      <c r="E1464" s="307" t="s">
        <v>3905</v>
      </c>
      <c r="F1464" s="307" t="s">
        <v>3906</v>
      </c>
      <c r="G1464" s="307" t="s">
        <v>3907</v>
      </c>
    </row>
    <row r="1465" spans="1:7" ht="13.5">
      <c r="A1465" s="307" t="s">
        <v>8176</v>
      </c>
      <c r="B1465" s="307" t="s">
        <v>8177</v>
      </c>
      <c r="C1465" s="307" t="s">
        <v>5814</v>
      </c>
      <c r="D1465" s="307" t="s">
        <v>8178</v>
      </c>
      <c r="E1465" s="307" t="s">
        <v>3905</v>
      </c>
      <c r="F1465" s="307" t="s">
        <v>3906</v>
      </c>
      <c r="G1465" s="307" t="s">
        <v>3907</v>
      </c>
    </row>
    <row r="1466" spans="1:7" ht="13.5">
      <c r="A1466" s="307" t="s">
        <v>8179</v>
      </c>
      <c r="B1466" s="307" t="s">
        <v>8180</v>
      </c>
      <c r="C1466" s="307" t="s">
        <v>5814</v>
      </c>
      <c r="D1466" s="307" t="s">
        <v>8181</v>
      </c>
      <c r="E1466" s="307" t="s">
        <v>3905</v>
      </c>
      <c r="F1466" s="307" t="s">
        <v>3906</v>
      </c>
      <c r="G1466" s="307" t="s">
        <v>3907</v>
      </c>
    </row>
    <row r="1467" spans="1:7" ht="13.5">
      <c r="A1467" s="307" t="s">
        <v>8182</v>
      </c>
      <c r="B1467" s="307" t="s">
        <v>8183</v>
      </c>
      <c r="C1467" s="307" t="s">
        <v>5814</v>
      </c>
      <c r="D1467" s="307" t="s">
        <v>8184</v>
      </c>
      <c r="E1467" s="307" t="s">
        <v>3905</v>
      </c>
      <c r="F1467" s="307" t="s">
        <v>3906</v>
      </c>
      <c r="G1467" s="307" t="s">
        <v>3907</v>
      </c>
    </row>
    <row r="1468" spans="1:7" ht="13.5">
      <c r="A1468" s="307" t="s">
        <v>8185</v>
      </c>
      <c r="B1468" s="307" t="s">
        <v>8186</v>
      </c>
      <c r="C1468" s="307" t="s">
        <v>5814</v>
      </c>
      <c r="D1468" s="307" t="s">
        <v>8187</v>
      </c>
      <c r="E1468" s="307" t="s">
        <v>3905</v>
      </c>
      <c r="F1468" s="307" t="s">
        <v>3906</v>
      </c>
      <c r="G1468" s="307" t="s">
        <v>3907</v>
      </c>
    </row>
    <row r="1469" spans="1:7" ht="13.5">
      <c r="A1469" s="307" t="s">
        <v>8188</v>
      </c>
      <c r="B1469" s="307" t="s">
        <v>8189</v>
      </c>
      <c r="C1469" s="307" t="s">
        <v>5814</v>
      </c>
      <c r="D1469" s="307" t="s">
        <v>8190</v>
      </c>
      <c r="E1469" s="307" t="s">
        <v>3905</v>
      </c>
      <c r="F1469" s="307" t="s">
        <v>3906</v>
      </c>
      <c r="G1469" s="307" t="s">
        <v>3907</v>
      </c>
    </row>
    <row r="1470" spans="1:7" ht="13.5">
      <c r="A1470" s="307" t="s">
        <v>8191</v>
      </c>
      <c r="B1470" s="307" t="s">
        <v>8192</v>
      </c>
      <c r="C1470" s="307" t="s">
        <v>5814</v>
      </c>
      <c r="D1470" s="307" t="s">
        <v>2810</v>
      </c>
      <c r="E1470" s="307" t="s">
        <v>3905</v>
      </c>
      <c r="F1470" s="307" t="s">
        <v>3906</v>
      </c>
      <c r="G1470" s="307" t="s">
        <v>3907</v>
      </c>
    </row>
    <row r="1471" spans="1:7" ht="13.5">
      <c r="A1471" s="307" t="s">
        <v>8193</v>
      </c>
      <c r="B1471" s="307" t="s">
        <v>8194</v>
      </c>
      <c r="C1471" s="307" t="s">
        <v>5814</v>
      </c>
      <c r="D1471" s="307" t="s">
        <v>8195</v>
      </c>
      <c r="E1471" s="307" t="s">
        <v>3905</v>
      </c>
      <c r="F1471" s="307" t="s">
        <v>3906</v>
      </c>
      <c r="G1471" s="307" t="s">
        <v>3907</v>
      </c>
    </row>
    <row r="1472" spans="1:7" ht="13.5">
      <c r="A1472" s="307" t="s">
        <v>8196</v>
      </c>
      <c r="B1472" s="307" t="s">
        <v>8197</v>
      </c>
      <c r="C1472" s="307" t="s">
        <v>5814</v>
      </c>
      <c r="D1472" s="307" t="s">
        <v>8198</v>
      </c>
      <c r="E1472" s="307" t="s">
        <v>4021</v>
      </c>
      <c r="F1472" s="307" t="s">
        <v>3906</v>
      </c>
      <c r="G1472" s="307" t="s">
        <v>3907</v>
      </c>
    </row>
    <row r="1473" spans="1:7" ht="13.5">
      <c r="A1473" s="307" t="s">
        <v>8199</v>
      </c>
      <c r="B1473" s="307" t="s">
        <v>8200</v>
      </c>
      <c r="C1473" s="307" t="s">
        <v>5814</v>
      </c>
      <c r="D1473" s="307" t="s">
        <v>8201</v>
      </c>
      <c r="E1473" s="307" t="s">
        <v>3905</v>
      </c>
      <c r="F1473" s="307" t="s">
        <v>3906</v>
      </c>
      <c r="G1473" s="307" t="s">
        <v>3907</v>
      </c>
    </row>
    <row r="1474" spans="1:7" ht="13.5">
      <c r="A1474" s="307" t="s">
        <v>8202</v>
      </c>
      <c r="B1474" s="307" t="s">
        <v>8203</v>
      </c>
      <c r="C1474" s="307" t="s">
        <v>5814</v>
      </c>
      <c r="D1474" s="307" t="s">
        <v>8204</v>
      </c>
      <c r="E1474" s="307" t="s">
        <v>3905</v>
      </c>
      <c r="F1474" s="307" t="s">
        <v>3906</v>
      </c>
      <c r="G1474" s="307" t="s">
        <v>3907</v>
      </c>
    </row>
    <row r="1475" spans="1:7" ht="13.5">
      <c r="A1475" s="307" t="s">
        <v>8205</v>
      </c>
      <c r="B1475" s="307" t="s">
        <v>8206</v>
      </c>
      <c r="C1475" s="307" t="s">
        <v>5814</v>
      </c>
      <c r="D1475" s="307" t="s">
        <v>8207</v>
      </c>
      <c r="E1475" s="307" t="s">
        <v>3905</v>
      </c>
      <c r="F1475" s="307" t="s">
        <v>3906</v>
      </c>
      <c r="G1475" s="307" t="s">
        <v>3907</v>
      </c>
    </row>
    <row r="1476" spans="1:7" ht="13.5">
      <c r="A1476" s="307" t="s">
        <v>8208</v>
      </c>
      <c r="B1476" s="307" t="s">
        <v>8209</v>
      </c>
      <c r="C1476" s="307" t="s">
        <v>5814</v>
      </c>
      <c r="D1476" s="307" t="s">
        <v>8210</v>
      </c>
      <c r="E1476" s="307" t="s">
        <v>3905</v>
      </c>
      <c r="F1476" s="307" t="s">
        <v>3906</v>
      </c>
      <c r="G1476" s="307" t="s">
        <v>3907</v>
      </c>
    </row>
    <row r="1477" spans="1:7" ht="13.5">
      <c r="A1477" s="307" t="s">
        <v>8211</v>
      </c>
      <c r="B1477" s="307" t="s">
        <v>8212</v>
      </c>
      <c r="C1477" s="307" t="s">
        <v>5814</v>
      </c>
      <c r="D1477" s="307" t="s">
        <v>8213</v>
      </c>
      <c r="E1477" s="307" t="s">
        <v>3905</v>
      </c>
      <c r="F1477" s="307" t="s">
        <v>3906</v>
      </c>
      <c r="G1477" s="307" t="s">
        <v>3907</v>
      </c>
    </row>
    <row r="1478" spans="1:7" ht="13.5">
      <c r="A1478" s="307" t="s">
        <v>8214</v>
      </c>
      <c r="B1478" s="307" t="s">
        <v>8215</v>
      </c>
      <c r="C1478" s="307" t="s">
        <v>5814</v>
      </c>
      <c r="D1478" s="307" t="s">
        <v>8216</v>
      </c>
      <c r="E1478" s="307" t="s">
        <v>3905</v>
      </c>
      <c r="F1478" s="307" t="s">
        <v>3906</v>
      </c>
      <c r="G1478" s="307" t="s">
        <v>3907</v>
      </c>
    </row>
    <row r="1479" spans="1:7" ht="13.5">
      <c r="A1479" s="307" t="s">
        <v>8217</v>
      </c>
      <c r="B1479" s="307" t="s">
        <v>8218</v>
      </c>
      <c r="C1479" s="307" t="s">
        <v>5814</v>
      </c>
      <c r="D1479" s="307" t="s">
        <v>8219</v>
      </c>
      <c r="E1479" s="307" t="s">
        <v>3905</v>
      </c>
      <c r="F1479" s="307" t="s">
        <v>3906</v>
      </c>
      <c r="G1479" s="307" t="s">
        <v>3907</v>
      </c>
    </row>
    <row r="1480" spans="1:7" ht="13.5">
      <c r="A1480" s="307" t="s">
        <v>8220</v>
      </c>
      <c r="B1480" s="307" t="s">
        <v>8221</v>
      </c>
      <c r="C1480" s="307" t="s">
        <v>5814</v>
      </c>
      <c r="D1480" s="307" t="s">
        <v>8222</v>
      </c>
      <c r="E1480" s="307" t="s">
        <v>3905</v>
      </c>
      <c r="F1480" s="307" t="s">
        <v>3906</v>
      </c>
      <c r="G1480" s="307" t="s">
        <v>3907</v>
      </c>
    </row>
    <row r="1481" spans="1:7" ht="13.5">
      <c r="A1481" s="307" t="s">
        <v>8223</v>
      </c>
      <c r="B1481" s="307" t="s">
        <v>8224</v>
      </c>
      <c r="C1481" s="307" t="s">
        <v>5814</v>
      </c>
      <c r="D1481" s="307" t="s">
        <v>8225</v>
      </c>
      <c r="E1481" s="307" t="s">
        <v>3905</v>
      </c>
      <c r="F1481" s="307" t="s">
        <v>3906</v>
      </c>
      <c r="G1481" s="307" t="s">
        <v>3907</v>
      </c>
    </row>
    <row r="1482" spans="1:7" ht="13.5">
      <c r="A1482" s="307" t="s">
        <v>8226</v>
      </c>
      <c r="B1482" s="307" t="s">
        <v>8227</v>
      </c>
      <c r="C1482" s="307" t="s">
        <v>5814</v>
      </c>
      <c r="D1482" s="307" t="s">
        <v>8228</v>
      </c>
      <c r="E1482" s="307" t="s">
        <v>3905</v>
      </c>
      <c r="F1482" s="307" t="s">
        <v>3906</v>
      </c>
      <c r="G1482" s="307" t="s">
        <v>3907</v>
      </c>
    </row>
    <row r="1483" spans="1:7" ht="13.5">
      <c r="A1483" s="307" t="s">
        <v>8229</v>
      </c>
      <c r="B1483" s="307" t="s">
        <v>8230</v>
      </c>
      <c r="C1483" s="307" t="s">
        <v>5814</v>
      </c>
      <c r="D1483" s="307" t="s">
        <v>8231</v>
      </c>
      <c r="E1483" s="307" t="s">
        <v>3905</v>
      </c>
      <c r="F1483" s="307" t="s">
        <v>3906</v>
      </c>
      <c r="G1483" s="307" t="s">
        <v>3907</v>
      </c>
    </row>
    <row r="1484" spans="1:7" ht="13.5">
      <c r="A1484" s="307" t="s">
        <v>8232</v>
      </c>
      <c r="B1484" s="307" t="s">
        <v>8233</v>
      </c>
      <c r="C1484" s="307" t="s">
        <v>5814</v>
      </c>
      <c r="D1484" s="307" t="s">
        <v>8234</v>
      </c>
      <c r="E1484" s="307" t="s">
        <v>3905</v>
      </c>
      <c r="F1484" s="307" t="s">
        <v>3906</v>
      </c>
      <c r="G1484" s="307" t="s">
        <v>3907</v>
      </c>
    </row>
    <row r="1485" spans="1:7" ht="13.5">
      <c r="A1485" s="307" t="s">
        <v>8235</v>
      </c>
      <c r="B1485" s="307" t="s">
        <v>8236</v>
      </c>
      <c r="C1485" s="307" t="s">
        <v>5814</v>
      </c>
      <c r="D1485" s="307" t="s">
        <v>8237</v>
      </c>
      <c r="E1485" s="307" t="s">
        <v>3905</v>
      </c>
      <c r="F1485" s="307" t="s">
        <v>3906</v>
      </c>
      <c r="G1485" s="307" t="s">
        <v>3907</v>
      </c>
    </row>
    <row r="1486" spans="1:7" ht="13.5">
      <c r="A1486" s="307" t="s">
        <v>8238</v>
      </c>
      <c r="B1486" s="307" t="s">
        <v>8239</v>
      </c>
      <c r="C1486" s="307" t="s">
        <v>5814</v>
      </c>
      <c r="D1486" s="307" t="s">
        <v>8240</v>
      </c>
      <c r="E1486" s="307" t="s">
        <v>3905</v>
      </c>
      <c r="F1486" s="307" t="s">
        <v>3906</v>
      </c>
      <c r="G1486" s="307" t="s">
        <v>3907</v>
      </c>
    </row>
    <row r="1487" spans="1:7" ht="13.5">
      <c r="A1487" s="307" t="s">
        <v>8241</v>
      </c>
      <c r="B1487" s="307" t="s">
        <v>8242</v>
      </c>
      <c r="C1487" s="307" t="s">
        <v>5814</v>
      </c>
      <c r="D1487" s="307" t="s">
        <v>8243</v>
      </c>
      <c r="E1487" s="307" t="s">
        <v>3905</v>
      </c>
      <c r="F1487" s="307" t="s">
        <v>3906</v>
      </c>
      <c r="G1487" s="307" t="s">
        <v>3907</v>
      </c>
    </row>
    <row r="1488" spans="1:7" ht="13.5">
      <c r="A1488" s="307" t="s">
        <v>8244</v>
      </c>
      <c r="B1488" s="307" t="s">
        <v>8245</v>
      </c>
      <c r="C1488" s="307" t="s">
        <v>5814</v>
      </c>
      <c r="D1488" s="307" t="s">
        <v>8246</v>
      </c>
      <c r="E1488" s="307" t="s">
        <v>3905</v>
      </c>
      <c r="F1488" s="307" t="s">
        <v>3906</v>
      </c>
      <c r="G1488" s="307" t="s">
        <v>3907</v>
      </c>
    </row>
    <row r="1489" spans="1:7" ht="13.5">
      <c r="A1489" s="307" t="s">
        <v>8247</v>
      </c>
      <c r="B1489" s="307" t="s">
        <v>8248</v>
      </c>
      <c r="C1489" s="307" t="s">
        <v>5814</v>
      </c>
      <c r="D1489" s="307" t="s">
        <v>8249</v>
      </c>
      <c r="E1489" s="307" t="s">
        <v>3905</v>
      </c>
      <c r="F1489" s="307" t="s">
        <v>3906</v>
      </c>
      <c r="G1489" s="307" t="s">
        <v>3907</v>
      </c>
    </row>
    <row r="1490" spans="1:7" ht="13.5">
      <c r="A1490" s="307" t="s">
        <v>8250</v>
      </c>
      <c r="B1490" s="307" t="s">
        <v>8251</v>
      </c>
      <c r="C1490" s="307" t="s">
        <v>5814</v>
      </c>
      <c r="D1490" s="307" t="s">
        <v>8252</v>
      </c>
      <c r="E1490" s="307" t="s">
        <v>3905</v>
      </c>
      <c r="F1490" s="307" t="s">
        <v>3906</v>
      </c>
      <c r="G1490" s="307" t="s">
        <v>3907</v>
      </c>
    </row>
    <row r="1491" spans="1:7" ht="13.5">
      <c r="A1491" s="307" t="s">
        <v>8253</v>
      </c>
      <c r="B1491" s="307" t="s">
        <v>8254</v>
      </c>
      <c r="C1491" s="307" t="s">
        <v>5814</v>
      </c>
      <c r="D1491" s="307" t="s">
        <v>8255</v>
      </c>
      <c r="E1491" s="307" t="s">
        <v>4021</v>
      </c>
      <c r="F1491" s="307" t="s">
        <v>3906</v>
      </c>
      <c r="G1491" s="307" t="s">
        <v>3907</v>
      </c>
    </row>
    <row r="1492" spans="1:7" ht="13.5">
      <c r="A1492" s="307" t="s">
        <v>8256</v>
      </c>
      <c r="B1492" s="307" t="s">
        <v>8257</v>
      </c>
      <c r="C1492" s="307" t="s">
        <v>5814</v>
      </c>
      <c r="D1492" s="307" t="s">
        <v>8258</v>
      </c>
      <c r="E1492" s="307" t="s">
        <v>3905</v>
      </c>
      <c r="F1492" s="307" t="s">
        <v>3906</v>
      </c>
      <c r="G1492" s="307" t="s">
        <v>3907</v>
      </c>
    </row>
    <row r="1493" spans="1:7" ht="13.5">
      <c r="A1493" s="307" t="s">
        <v>8259</v>
      </c>
      <c r="B1493" s="307" t="s">
        <v>8260</v>
      </c>
      <c r="C1493" s="307" t="s">
        <v>5814</v>
      </c>
      <c r="D1493" s="307" t="s">
        <v>8261</v>
      </c>
      <c r="E1493" s="307" t="s">
        <v>3905</v>
      </c>
      <c r="F1493" s="307" t="s">
        <v>3906</v>
      </c>
      <c r="G1493" s="307" t="s">
        <v>3907</v>
      </c>
    </row>
    <row r="1494" spans="1:7" ht="13.5">
      <c r="A1494" s="307" t="s">
        <v>8262</v>
      </c>
      <c r="B1494" s="307" t="s">
        <v>8263</v>
      </c>
      <c r="C1494" s="307" t="s">
        <v>5814</v>
      </c>
      <c r="D1494" s="307" t="s">
        <v>8264</v>
      </c>
      <c r="E1494" s="307" t="s">
        <v>3905</v>
      </c>
      <c r="F1494" s="307" t="s">
        <v>3906</v>
      </c>
      <c r="G1494" s="307" t="s">
        <v>3907</v>
      </c>
    </row>
    <row r="1495" spans="1:7" ht="13.5">
      <c r="A1495" s="307" t="s">
        <v>8265</v>
      </c>
      <c r="B1495" s="307" t="s">
        <v>8266</v>
      </c>
      <c r="C1495" s="307" t="s">
        <v>5814</v>
      </c>
      <c r="D1495" s="307" t="s">
        <v>8267</v>
      </c>
      <c r="E1495" s="307" t="s">
        <v>3905</v>
      </c>
      <c r="F1495" s="307" t="s">
        <v>3906</v>
      </c>
      <c r="G1495" s="307" t="s">
        <v>3907</v>
      </c>
    </row>
    <row r="1496" spans="1:7" ht="13.5">
      <c r="A1496" s="307" t="s">
        <v>8268</v>
      </c>
      <c r="B1496" s="307" t="s">
        <v>8269</v>
      </c>
      <c r="C1496" s="307" t="s">
        <v>5814</v>
      </c>
      <c r="D1496" s="307" t="s">
        <v>8270</v>
      </c>
      <c r="E1496" s="307" t="s">
        <v>3905</v>
      </c>
      <c r="F1496" s="307" t="s">
        <v>3906</v>
      </c>
      <c r="G1496" s="307" t="s">
        <v>3907</v>
      </c>
    </row>
    <row r="1497" spans="1:7" ht="13.5">
      <c r="A1497" s="307" t="s">
        <v>8271</v>
      </c>
      <c r="B1497" s="307" t="s">
        <v>8272</v>
      </c>
      <c r="C1497" s="307" t="s">
        <v>5814</v>
      </c>
      <c r="D1497" s="307" t="s">
        <v>8273</v>
      </c>
      <c r="E1497" s="307" t="s">
        <v>3905</v>
      </c>
      <c r="F1497" s="307" t="s">
        <v>3906</v>
      </c>
      <c r="G1497" s="307" t="s">
        <v>3907</v>
      </c>
    </row>
    <row r="1498" spans="1:7" ht="13.5">
      <c r="A1498" s="307" t="s">
        <v>8274</v>
      </c>
      <c r="B1498" s="307" t="s">
        <v>8275</v>
      </c>
      <c r="C1498" s="307" t="s">
        <v>5814</v>
      </c>
      <c r="D1498" s="307" t="s">
        <v>8276</v>
      </c>
      <c r="E1498" s="307" t="s">
        <v>3905</v>
      </c>
      <c r="F1498" s="307" t="s">
        <v>3906</v>
      </c>
      <c r="G1498" s="307" t="s">
        <v>3907</v>
      </c>
    </row>
    <row r="1499" spans="1:7" ht="13.5">
      <c r="A1499" s="307" t="s">
        <v>8277</v>
      </c>
      <c r="B1499" s="307" t="s">
        <v>8278</v>
      </c>
      <c r="C1499" s="307" t="s">
        <v>5814</v>
      </c>
      <c r="D1499" s="307" t="s">
        <v>8279</v>
      </c>
      <c r="E1499" s="307" t="s">
        <v>3905</v>
      </c>
      <c r="F1499" s="307" t="s">
        <v>3906</v>
      </c>
      <c r="G1499" s="307" t="s">
        <v>3907</v>
      </c>
    </row>
    <row r="1500" spans="1:7" ht="13.5">
      <c r="A1500" s="307" t="s">
        <v>8280</v>
      </c>
      <c r="B1500" s="307" t="s">
        <v>8281</v>
      </c>
      <c r="C1500" s="307" t="s">
        <v>5814</v>
      </c>
      <c r="D1500" s="307" t="s">
        <v>8282</v>
      </c>
      <c r="E1500" s="307" t="s">
        <v>3905</v>
      </c>
      <c r="F1500" s="307" t="s">
        <v>3906</v>
      </c>
      <c r="G1500" s="307" t="s">
        <v>3907</v>
      </c>
    </row>
    <row r="1501" spans="1:7" ht="13.5">
      <c r="A1501" s="307" t="s">
        <v>8283</v>
      </c>
      <c r="B1501" s="307" t="s">
        <v>8284</v>
      </c>
      <c r="C1501" s="307" t="s">
        <v>5814</v>
      </c>
      <c r="D1501" s="307" t="s">
        <v>8285</v>
      </c>
      <c r="E1501" s="307" t="s">
        <v>3905</v>
      </c>
      <c r="F1501" s="307" t="s">
        <v>3906</v>
      </c>
      <c r="G1501" s="307" t="s">
        <v>3907</v>
      </c>
    </row>
    <row r="1502" spans="1:7" ht="13.5">
      <c r="A1502" s="307" t="s">
        <v>8286</v>
      </c>
      <c r="B1502" s="307" t="s">
        <v>8287</v>
      </c>
      <c r="C1502" s="307" t="s">
        <v>5814</v>
      </c>
      <c r="D1502" s="307" t="s">
        <v>8288</v>
      </c>
      <c r="E1502" s="307" t="s">
        <v>3905</v>
      </c>
      <c r="F1502" s="307" t="s">
        <v>3906</v>
      </c>
      <c r="G1502" s="307" t="s">
        <v>3907</v>
      </c>
    </row>
    <row r="1503" spans="1:7" ht="13.5">
      <c r="A1503" s="307" t="s">
        <v>8289</v>
      </c>
      <c r="B1503" s="307" t="s">
        <v>8290</v>
      </c>
      <c r="C1503" s="307" t="s">
        <v>5814</v>
      </c>
      <c r="D1503" s="307" t="s">
        <v>8291</v>
      </c>
      <c r="E1503" s="307" t="s">
        <v>3905</v>
      </c>
      <c r="F1503" s="307" t="s">
        <v>3906</v>
      </c>
      <c r="G1503" s="307" t="s">
        <v>3907</v>
      </c>
    </row>
    <row r="1504" spans="1:7" ht="13.5">
      <c r="A1504" s="307" t="s">
        <v>8292</v>
      </c>
      <c r="B1504" s="307" t="s">
        <v>8293</v>
      </c>
      <c r="C1504" s="307" t="s">
        <v>5814</v>
      </c>
      <c r="D1504" s="307" t="s">
        <v>8294</v>
      </c>
      <c r="E1504" s="307" t="s">
        <v>3905</v>
      </c>
      <c r="F1504" s="307" t="s">
        <v>3906</v>
      </c>
      <c r="G1504" s="307" t="s">
        <v>3907</v>
      </c>
    </row>
    <row r="1505" spans="1:7" ht="13.5">
      <c r="A1505" s="307" t="s">
        <v>8295</v>
      </c>
      <c r="B1505" s="307" t="s">
        <v>8296</v>
      </c>
      <c r="C1505" s="307" t="s">
        <v>5814</v>
      </c>
      <c r="D1505" s="307" t="s">
        <v>8297</v>
      </c>
      <c r="E1505" s="307" t="s">
        <v>3905</v>
      </c>
      <c r="F1505" s="307" t="s">
        <v>3906</v>
      </c>
      <c r="G1505" s="307" t="s">
        <v>3907</v>
      </c>
    </row>
    <row r="1506" spans="1:7" ht="13.5">
      <c r="A1506" s="307" t="s">
        <v>8298</v>
      </c>
      <c r="B1506" s="307" t="s">
        <v>8299</v>
      </c>
      <c r="C1506" s="307" t="s">
        <v>5814</v>
      </c>
      <c r="D1506" s="307" t="s">
        <v>8300</v>
      </c>
      <c r="E1506" s="307" t="s">
        <v>3905</v>
      </c>
      <c r="F1506" s="307" t="s">
        <v>3906</v>
      </c>
      <c r="G1506" s="307" t="s">
        <v>3907</v>
      </c>
    </row>
    <row r="1507" spans="1:7" ht="13.5">
      <c r="A1507" s="307" t="s">
        <v>8301</v>
      </c>
      <c r="B1507" s="307" t="s">
        <v>8302</v>
      </c>
      <c r="C1507" s="307" t="s">
        <v>5814</v>
      </c>
      <c r="D1507" s="307" t="s">
        <v>8303</v>
      </c>
      <c r="E1507" s="307" t="s">
        <v>3905</v>
      </c>
      <c r="F1507" s="307" t="s">
        <v>3906</v>
      </c>
      <c r="G1507" s="307" t="s">
        <v>3907</v>
      </c>
    </row>
    <row r="1508" spans="1:7" ht="13.5">
      <c r="A1508" s="307" t="s">
        <v>8304</v>
      </c>
      <c r="B1508" s="307" t="s">
        <v>8305</v>
      </c>
      <c r="C1508" s="307" t="s">
        <v>5814</v>
      </c>
      <c r="D1508" s="307" t="s">
        <v>8306</v>
      </c>
      <c r="E1508" s="307" t="s">
        <v>3905</v>
      </c>
      <c r="F1508" s="307" t="s">
        <v>3906</v>
      </c>
      <c r="G1508" s="307" t="s">
        <v>3907</v>
      </c>
    </row>
    <row r="1509" spans="1:7" ht="13.5">
      <c r="A1509" s="307" t="s">
        <v>8307</v>
      </c>
      <c r="B1509" s="307" t="s">
        <v>8308</v>
      </c>
      <c r="C1509" s="307" t="s">
        <v>5814</v>
      </c>
      <c r="D1509" s="307" t="s">
        <v>8309</v>
      </c>
      <c r="E1509" s="307" t="s">
        <v>3905</v>
      </c>
      <c r="F1509" s="307" t="s">
        <v>3906</v>
      </c>
      <c r="G1509" s="307" t="s">
        <v>3907</v>
      </c>
    </row>
    <row r="1510" spans="1:7" ht="13.5">
      <c r="A1510" s="307" t="s">
        <v>8310</v>
      </c>
      <c r="B1510" s="307" t="s">
        <v>8311</v>
      </c>
      <c r="C1510" s="307" t="s">
        <v>5814</v>
      </c>
      <c r="D1510" s="307" t="s">
        <v>8312</v>
      </c>
      <c r="E1510" s="307" t="s">
        <v>3905</v>
      </c>
      <c r="F1510" s="307" t="s">
        <v>3906</v>
      </c>
      <c r="G1510" s="307" t="s">
        <v>3907</v>
      </c>
    </row>
    <row r="1511" spans="1:7" ht="13.5">
      <c r="A1511" s="307" t="s">
        <v>8313</v>
      </c>
      <c r="B1511" s="307" t="s">
        <v>8314</v>
      </c>
      <c r="C1511" s="307" t="s">
        <v>5814</v>
      </c>
      <c r="D1511" s="307" t="s">
        <v>8315</v>
      </c>
      <c r="E1511" s="307" t="s">
        <v>3905</v>
      </c>
      <c r="F1511" s="307" t="s">
        <v>3906</v>
      </c>
      <c r="G1511" s="307" t="s">
        <v>3907</v>
      </c>
    </row>
    <row r="1512" spans="1:7" ht="13.5">
      <c r="A1512" s="307" t="s">
        <v>8316</v>
      </c>
      <c r="B1512" s="307" t="s">
        <v>8317</v>
      </c>
      <c r="C1512" s="307" t="s">
        <v>5814</v>
      </c>
      <c r="D1512" s="307" t="s">
        <v>8318</v>
      </c>
      <c r="E1512" s="307" t="s">
        <v>3905</v>
      </c>
      <c r="F1512" s="307" t="s">
        <v>3906</v>
      </c>
      <c r="G1512" s="307" t="s">
        <v>3907</v>
      </c>
    </row>
    <row r="1513" spans="1:7" ht="13.5">
      <c r="A1513" s="307" t="s">
        <v>8319</v>
      </c>
      <c r="B1513" s="307" t="s">
        <v>8320</v>
      </c>
      <c r="C1513" s="307" t="s">
        <v>5814</v>
      </c>
      <c r="D1513" s="307" t="s">
        <v>8321</v>
      </c>
      <c r="E1513" s="307" t="s">
        <v>3905</v>
      </c>
      <c r="F1513" s="307" t="s">
        <v>3906</v>
      </c>
      <c r="G1513" s="307" t="s">
        <v>3907</v>
      </c>
    </row>
    <row r="1514" spans="1:7" ht="13.5">
      <c r="A1514" s="307" t="s">
        <v>8322</v>
      </c>
      <c r="B1514" s="307" t="s">
        <v>8323</v>
      </c>
      <c r="C1514" s="307" t="s">
        <v>5814</v>
      </c>
      <c r="D1514" s="307" t="s">
        <v>8324</v>
      </c>
      <c r="E1514" s="307" t="s">
        <v>3905</v>
      </c>
      <c r="F1514" s="307" t="s">
        <v>3906</v>
      </c>
      <c r="G1514" s="307" t="s">
        <v>3907</v>
      </c>
    </row>
    <row r="1515" spans="1:7" ht="13.5">
      <c r="A1515" s="307" t="s">
        <v>8325</v>
      </c>
      <c r="B1515" s="307" t="s">
        <v>8326</v>
      </c>
      <c r="C1515" s="307" t="s">
        <v>5814</v>
      </c>
      <c r="D1515" s="307" t="s">
        <v>1763</v>
      </c>
      <c r="E1515" s="307" t="s">
        <v>3905</v>
      </c>
      <c r="F1515" s="307" t="s">
        <v>3906</v>
      </c>
      <c r="G1515" s="307" t="s">
        <v>3907</v>
      </c>
    </row>
    <row r="1516" spans="1:7" ht="13.5">
      <c r="A1516" s="307" t="s">
        <v>8327</v>
      </c>
      <c r="B1516" s="307" t="s">
        <v>8328</v>
      </c>
      <c r="C1516" s="307" t="s">
        <v>5814</v>
      </c>
      <c r="D1516" s="307" t="s">
        <v>8329</v>
      </c>
      <c r="E1516" s="307" t="s">
        <v>3905</v>
      </c>
      <c r="F1516" s="307" t="s">
        <v>3906</v>
      </c>
      <c r="G1516" s="307" t="s">
        <v>3907</v>
      </c>
    </row>
    <row r="1517" spans="1:7" ht="13.5">
      <c r="A1517" s="307" t="s">
        <v>8330</v>
      </c>
      <c r="B1517" s="307" t="s">
        <v>8331</v>
      </c>
      <c r="C1517" s="307" t="s">
        <v>5814</v>
      </c>
      <c r="D1517" s="307" t="s">
        <v>8332</v>
      </c>
      <c r="E1517" s="307" t="s">
        <v>3905</v>
      </c>
      <c r="F1517" s="307" t="s">
        <v>3906</v>
      </c>
      <c r="G1517" s="307" t="s">
        <v>3907</v>
      </c>
    </row>
    <row r="1518" spans="1:7" ht="13.5">
      <c r="A1518" s="307" t="s">
        <v>8333</v>
      </c>
      <c r="B1518" s="307" t="s">
        <v>8334</v>
      </c>
      <c r="C1518" s="307" t="s">
        <v>5814</v>
      </c>
      <c r="D1518" s="307" t="s">
        <v>8335</v>
      </c>
      <c r="E1518" s="307" t="s">
        <v>3905</v>
      </c>
      <c r="F1518" s="307" t="s">
        <v>3906</v>
      </c>
      <c r="G1518" s="307" t="s">
        <v>3907</v>
      </c>
    </row>
    <row r="1519" spans="1:7" ht="13.5">
      <c r="A1519" s="307" t="s">
        <v>8336</v>
      </c>
      <c r="B1519" s="307" t="s">
        <v>8337</v>
      </c>
      <c r="C1519" s="307" t="s">
        <v>5814</v>
      </c>
      <c r="D1519" s="307" t="s">
        <v>4878</v>
      </c>
      <c r="E1519" s="307" t="s">
        <v>3905</v>
      </c>
      <c r="F1519" s="307" t="s">
        <v>3906</v>
      </c>
      <c r="G1519" s="307" t="s">
        <v>3907</v>
      </c>
    </row>
    <row r="1520" spans="1:7" ht="13.5">
      <c r="A1520" s="307" t="s">
        <v>8338</v>
      </c>
      <c r="B1520" s="307" t="s">
        <v>8339</v>
      </c>
      <c r="C1520" s="307" t="s">
        <v>5814</v>
      </c>
      <c r="D1520" s="307" t="s">
        <v>8340</v>
      </c>
      <c r="E1520" s="307" t="s">
        <v>3905</v>
      </c>
      <c r="F1520" s="307" t="s">
        <v>3906</v>
      </c>
      <c r="G1520" s="307" t="s">
        <v>3907</v>
      </c>
    </row>
    <row r="1521" spans="1:7" ht="13.5">
      <c r="A1521" s="307" t="s">
        <v>8341</v>
      </c>
      <c r="B1521" s="307" t="s">
        <v>8342</v>
      </c>
      <c r="C1521" s="307" t="s">
        <v>5814</v>
      </c>
      <c r="D1521" s="307" t="s">
        <v>8343</v>
      </c>
      <c r="E1521" s="307" t="s">
        <v>3905</v>
      </c>
      <c r="F1521" s="307" t="s">
        <v>3906</v>
      </c>
      <c r="G1521" s="307" t="s">
        <v>3907</v>
      </c>
    </row>
    <row r="1522" spans="1:7" ht="13.5">
      <c r="A1522" s="307" t="s">
        <v>8344</v>
      </c>
      <c r="B1522" s="307" t="s">
        <v>8345</v>
      </c>
      <c r="C1522" s="307" t="s">
        <v>5814</v>
      </c>
      <c r="D1522" s="307" t="s">
        <v>8346</v>
      </c>
      <c r="E1522" s="307" t="s">
        <v>3905</v>
      </c>
      <c r="F1522" s="307" t="s">
        <v>3906</v>
      </c>
      <c r="G1522" s="307" t="s">
        <v>3907</v>
      </c>
    </row>
    <row r="1523" spans="1:7" ht="13.5">
      <c r="A1523" s="307" t="s">
        <v>8347</v>
      </c>
      <c r="B1523" s="307" t="s">
        <v>8348</v>
      </c>
      <c r="C1523" s="307" t="s">
        <v>5814</v>
      </c>
      <c r="D1523" s="307" t="s">
        <v>8349</v>
      </c>
      <c r="E1523" s="307" t="s">
        <v>3905</v>
      </c>
      <c r="F1523" s="307" t="s">
        <v>3906</v>
      </c>
      <c r="G1523" s="307" t="s">
        <v>3907</v>
      </c>
    </row>
    <row r="1524" spans="1:7" ht="13.5">
      <c r="A1524" s="307" t="s">
        <v>8350</v>
      </c>
      <c r="B1524" s="307" t="s">
        <v>8351</v>
      </c>
      <c r="C1524" s="307" t="s">
        <v>5814</v>
      </c>
      <c r="D1524" s="307" t="s">
        <v>8352</v>
      </c>
      <c r="E1524" s="307" t="s">
        <v>3905</v>
      </c>
      <c r="F1524" s="307" t="s">
        <v>3906</v>
      </c>
      <c r="G1524" s="307" t="s">
        <v>3907</v>
      </c>
    </row>
    <row r="1525" spans="1:7" ht="13.5">
      <c r="A1525" s="307" t="s">
        <v>8353</v>
      </c>
      <c r="B1525" s="307" t="s">
        <v>8354</v>
      </c>
      <c r="C1525" s="307" t="s">
        <v>5814</v>
      </c>
      <c r="D1525" s="307" t="s">
        <v>8355</v>
      </c>
      <c r="E1525" s="307" t="s">
        <v>3905</v>
      </c>
      <c r="F1525" s="307" t="s">
        <v>3906</v>
      </c>
      <c r="G1525" s="307" t="s">
        <v>3907</v>
      </c>
    </row>
    <row r="1526" spans="1:7" ht="13.5">
      <c r="A1526" s="307" t="s">
        <v>8356</v>
      </c>
      <c r="B1526" s="307" t="s">
        <v>8357</v>
      </c>
      <c r="C1526" s="307" t="s">
        <v>5814</v>
      </c>
      <c r="D1526" s="307" t="s">
        <v>2045</v>
      </c>
      <c r="E1526" s="307" t="s">
        <v>3905</v>
      </c>
      <c r="F1526" s="307" t="s">
        <v>3906</v>
      </c>
      <c r="G1526" s="307" t="s">
        <v>3907</v>
      </c>
    </row>
    <row r="1527" spans="1:7" ht="13.5">
      <c r="A1527" s="307" t="s">
        <v>8358</v>
      </c>
      <c r="B1527" s="307" t="s">
        <v>8359</v>
      </c>
      <c r="C1527" s="307" t="s">
        <v>5814</v>
      </c>
      <c r="D1527" s="307" t="s">
        <v>8360</v>
      </c>
      <c r="E1527" s="307" t="s">
        <v>3905</v>
      </c>
      <c r="F1527" s="307" t="s">
        <v>3906</v>
      </c>
      <c r="G1527" s="307" t="s">
        <v>3907</v>
      </c>
    </row>
    <row r="1528" spans="1:7" ht="13.5">
      <c r="A1528" s="307" t="s">
        <v>8361</v>
      </c>
      <c r="B1528" s="307" t="s">
        <v>8362</v>
      </c>
      <c r="C1528" s="307" t="s">
        <v>5814</v>
      </c>
      <c r="D1528" s="307" t="s">
        <v>2804</v>
      </c>
      <c r="E1528" s="307" t="s">
        <v>3905</v>
      </c>
      <c r="F1528" s="307" t="s">
        <v>3906</v>
      </c>
      <c r="G1528" s="307" t="s">
        <v>3907</v>
      </c>
    </row>
    <row r="1529" spans="1:7" ht="13.5">
      <c r="A1529" s="307" t="s">
        <v>8363</v>
      </c>
      <c r="B1529" s="307" t="s">
        <v>8364</v>
      </c>
      <c r="C1529" s="307" t="s">
        <v>5814</v>
      </c>
      <c r="D1529" s="307" t="s">
        <v>8365</v>
      </c>
      <c r="E1529" s="307" t="s">
        <v>3905</v>
      </c>
      <c r="F1529" s="307" t="s">
        <v>3906</v>
      </c>
      <c r="G1529" s="307" t="s">
        <v>3907</v>
      </c>
    </row>
    <row r="1530" spans="1:7" ht="13.5">
      <c r="A1530" s="307" t="s">
        <v>8366</v>
      </c>
      <c r="B1530" s="307" t="s">
        <v>8367</v>
      </c>
      <c r="C1530" s="307" t="s">
        <v>5814</v>
      </c>
      <c r="D1530" s="307" t="s">
        <v>4886</v>
      </c>
      <c r="E1530" s="307" t="s">
        <v>3905</v>
      </c>
      <c r="F1530" s="307" t="s">
        <v>3906</v>
      </c>
      <c r="G1530" s="307" t="s">
        <v>3907</v>
      </c>
    </row>
    <row r="1531" spans="1:7" ht="13.5">
      <c r="A1531" s="307" t="s">
        <v>8368</v>
      </c>
      <c r="B1531" s="307" t="s">
        <v>8369</v>
      </c>
      <c r="C1531" s="307" t="s">
        <v>5814</v>
      </c>
      <c r="D1531" s="307" t="s">
        <v>8370</v>
      </c>
      <c r="E1531" s="307" t="s">
        <v>3905</v>
      </c>
      <c r="F1531" s="307" t="s">
        <v>3906</v>
      </c>
      <c r="G1531" s="307" t="s">
        <v>3907</v>
      </c>
    </row>
    <row r="1532" spans="1:7" ht="13.5">
      <c r="A1532" s="307" t="s">
        <v>8371</v>
      </c>
      <c r="B1532" s="307" t="s">
        <v>8372</v>
      </c>
      <c r="C1532" s="307" t="s">
        <v>5814</v>
      </c>
      <c r="D1532" s="307" t="s">
        <v>8370</v>
      </c>
      <c r="E1532" s="307" t="s">
        <v>3905</v>
      </c>
      <c r="F1532" s="307" t="s">
        <v>3906</v>
      </c>
      <c r="G1532" s="307" t="s">
        <v>3907</v>
      </c>
    </row>
    <row r="1533" spans="1:7" ht="13.5">
      <c r="A1533" s="307" t="s">
        <v>8373</v>
      </c>
      <c r="B1533" s="307" t="s">
        <v>8374</v>
      </c>
      <c r="C1533" s="307" t="s">
        <v>5814</v>
      </c>
      <c r="D1533" s="307" t="s">
        <v>8375</v>
      </c>
      <c r="E1533" s="307" t="s">
        <v>3905</v>
      </c>
      <c r="F1533" s="307" t="s">
        <v>3906</v>
      </c>
      <c r="G1533" s="307" t="s">
        <v>3907</v>
      </c>
    </row>
    <row r="1534" spans="1:7" ht="13.5">
      <c r="A1534" s="307" t="s">
        <v>8376</v>
      </c>
      <c r="B1534" s="307" t="s">
        <v>8377</v>
      </c>
      <c r="C1534" s="307" t="s">
        <v>5814</v>
      </c>
      <c r="D1534" s="307" t="s">
        <v>4891</v>
      </c>
      <c r="E1534" s="307" t="s">
        <v>3905</v>
      </c>
      <c r="F1534" s="307" t="s">
        <v>3906</v>
      </c>
      <c r="G1534" s="307" t="s">
        <v>3907</v>
      </c>
    </row>
    <row r="1535" spans="1:7" ht="13.5">
      <c r="A1535" s="307" t="s">
        <v>8378</v>
      </c>
      <c r="B1535" s="307" t="s">
        <v>8379</v>
      </c>
      <c r="C1535" s="307" t="s">
        <v>5814</v>
      </c>
      <c r="D1535" s="307" t="s">
        <v>4891</v>
      </c>
      <c r="E1535" s="307" t="s">
        <v>3905</v>
      </c>
      <c r="F1535" s="307" t="s">
        <v>3906</v>
      </c>
      <c r="G1535" s="307" t="s">
        <v>3907</v>
      </c>
    </row>
    <row r="1536" spans="1:7" ht="13.5">
      <c r="A1536" s="307" t="s">
        <v>8380</v>
      </c>
      <c r="B1536" s="307" t="s">
        <v>8381</v>
      </c>
      <c r="C1536" s="307" t="s">
        <v>5814</v>
      </c>
      <c r="D1536" s="307" t="s">
        <v>8382</v>
      </c>
      <c r="E1536" s="307" t="s">
        <v>3905</v>
      </c>
      <c r="F1536" s="307" t="s">
        <v>3906</v>
      </c>
      <c r="G1536" s="307" t="s">
        <v>3907</v>
      </c>
    </row>
    <row r="1537" spans="1:7" ht="13.5">
      <c r="A1537" s="307" t="s">
        <v>8383</v>
      </c>
      <c r="B1537" s="307" t="s">
        <v>8384</v>
      </c>
      <c r="C1537" s="307" t="s">
        <v>5814</v>
      </c>
      <c r="D1537" s="307" t="s">
        <v>8385</v>
      </c>
      <c r="E1537" s="307" t="s">
        <v>3905</v>
      </c>
      <c r="F1537" s="307" t="s">
        <v>3906</v>
      </c>
      <c r="G1537" s="307" t="s">
        <v>3907</v>
      </c>
    </row>
    <row r="1538" spans="1:7" ht="13.5">
      <c r="A1538" s="307" t="s">
        <v>8386</v>
      </c>
      <c r="B1538" s="307" t="s">
        <v>8387</v>
      </c>
      <c r="C1538" s="307" t="s">
        <v>5814</v>
      </c>
      <c r="D1538" s="307" t="s">
        <v>8385</v>
      </c>
      <c r="E1538" s="307" t="s">
        <v>3905</v>
      </c>
      <c r="F1538" s="307" t="s">
        <v>3906</v>
      </c>
      <c r="G1538" s="307" t="s">
        <v>3907</v>
      </c>
    </row>
    <row r="1539" spans="1:7" ht="13.5">
      <c r="A1539" s="307" t="s">
        <v>8388</v>
      </c>
      <c r="B1539" s="307" t="s">
        <v>8389</v>
      </c>
      <c r="C1539" s="307" t="s">
        <v>5814</v>
      </c>
      <c r="D1539" s="307" t="s">
        <v>8390</v>
      </c>
      <c r="E1539" s="307" t="s">
        <v>3905</v>
      </c>
      <c r="F1539" s="307" t="s">
        <v>3906</v>
      </c>
      <c r="G1539" s="307" t="s">
        <v>3907</v>
      </c>
    </row>
    <row r="1540" spans="1:7" ht="13.5">
      <c r="A1540" s="307" t="s">
        <v>8391</v>
      </c>
      <c r="B1540" s="307" t="s">
        <v>8392</v>
      </c>
      <c r="C1540" s="307" t="s">
        <v>5814</v>
      </c>
      <c r="D1540" s="307" t="s">
        <v>8393</v>
      </c>
      <c r="E1540" s="307" t="s">
        <v>3905</v>
      </c>
      <c r="F1540" s="307" t="s">
        <v>3906</v>
      </c>
      <c r="G1540" s="307" t="s">
        <v>3907</v>
      </c>
    </row>
    <row r="1541" spans="1:7" ht="13.5">
      <c r="A1541" s="307" t="s">
        <v>8394</v>
      </c>
      <c r="B1541" s="307" t="s">
        <v>8395</v>
      </c>
      <c r="C1541" s="307" t="s">
        <v>5814</v>
      </c>
      <c r="D1541" s="307" t="s">
        <v>8396</v>
      </c>
      <c r="E1541" s="307" t="s">
        <v>3905</v>
      </c>
      <c r="F1541" s="307" t="s">
        <v>3906</v>
      </c>
      <c r="G1541" s="307" t="s">
        <v>3907</v>
      </c>
    </row>
    <row r="1542" spans="1:7" ht="13.5">
      <c r="A1542" s="307" t="s">
        <v>8397</v>
      </c>
      <c r="B1542" s="307" t="s">
        <v>8398</v>
      </c>
      <c r="C1542" s="307" t="s">
        <v>5814</v>
      </c>
      <c r="D1542" s="307" t="s">
        <v>8399</v>
      </c>
      <c r="E1542" s="307" t="s">
        <v>3905</v>
      </c>
      <c r="F1542" s="307" t="s">
        <v>3906</v>
      </c>
      <c r="G1542" s="307" t="s">
        <v>3907</v>
      </c>
    </row>
    <row r="1543" spans="1:7" ht="13.5">
      <c r="A1543" s="307" t="s">
        <v>8400</v>
      </c>
      <c r="B1543" s="307" t="s">
        <v>8401</v>
      </c>
      <c r="C1543" s="307" t="s">
        <v>5814</v>
      </c>
      <c r="D1543" s="307" t="s">
        <v>8402</v>
      </c>
      <c r="E1543" s="307" t="s">
        <v>3905</v>
      </c>
      <c r="F1543" s="307" t="s">
        <v>3906</v>
      </c>
      <c r="G1543" s="307" t="s">
        <v>3907</v>
      </c>
    </row>
    <row r="1544" spans="1:7" ht="13.5">
      <c r="A1544" s="307" t="s">
        <v>8403</v>
      </c>
      <c r="B1544" s="307" t="s">
        <v>8404</v>
      </c>
      <c r="C1544" s="307" t="s">
        <v>5814</v>
      </c>
      <c r="D1544" s="307" t="s">
        <v>8405</v>
      </c>
      <c r="E1544" s="307" t="s">
        <v>3905</v>
      </c>
      <c r="F1544" s="307" t="s">
        <v>3906</v>
      </c>
      <c r="G1544" s="307" t="s">
        <v>3907</v>
      </c>
    </row>
    <row r="1545" spans="1:7" ht="13.5">
      <c r="A1545" s="307" t="s">
        <v>8406</v>
      </c>
      <c r="B1545" s="307" t="s">
        <v>8407</v>
      </c>
      <c r="C1545" s="307" t="s">
        <v>5814</v>
      </c>
      <c r="D1545" s="307" t="s">
        <v>8408</v>
      </c>
      <c r="E1545" s="307" t="s">
        <v>3905</v>
      </c>
      <c r="F1545" s="307" t="s">
        <v>3906</v>
      </c>
      <c r="G1545" s="307" t="s">
        <v>3907</v>
      </c>
    </row>
    <row r="1546" spans="1:7" ht="13.5">
      <c r="A1546" s="307" t="s">
        <v>8409</v>
      </c>
      <c r="B1546" s="307" t="s">
        <v>8410</v>
      </c>
      <c r="C1546" s="307" t="s">
        <v>5814</v>
      </c>
      <c r="D1546" s="307" t="s">
        <v>8411</v>
      </c>
      <c r="E1546" s="307" t="s">
        <v>3905</v>
      </c>
      <c r="F1546" s="307" t="s">
        <v>3906</v>
      </c>
      <c r="G1546" s="307" t="s">
        <v>3907</v>
      </c>
    </row>
    <row r="1547" spans="1:7" ht="13.5">
      <c r="A1547" s="307" t="s">
        <v>8412</v>
      </c>
      <c r="B1547" s="307" t="s">
        <v>8413</v>
      </c>
      <c r="C1547" s="307" t="s">
        <v>5814</v>
      </c>
      <c r="D1547" s="307" t="s">
        <v>8414</v>
      </c>
      <c r="E1547" s="307" t="s">
        <v>3905</v>
      </c>
      <c r="F1547" s="307" t="s">
        <v>3906</v>
      </c>
      <c r="G1547" s="307" t="s">
        <v>3907</v>
      </c>
    </row>
    <row r="1548" spans="1:7" ht="13.5">
      <c r="A1548" s="307" t="s">
        <v>8415</v>
      </c>
      <c r="B1548" s="307" t="s">
        <v>8416</v>
      </c>
      <c r="C1548" s="307" t="s">
        <v>5814</v>
      </c>
      <c r="D1548" s="307" t="s">
        <v>8417</v>
      </c>
      <c r="E1548" s="307" t="s">
        <v>3905</v>
      </c>
      <c r="F1548" s="307" t="s">
        <v>3906</v>
      </c>
      <c r="G1548" s="307" t="s">
        <v>3907</v>
      </c>
    </row>
    <row r="1549" spans="1:7" ht="13.5">
      <c r="A1549" s="307" t="s">
        <v>8418</v>
      </c>
      <c r="B1549" s="307" t="s">
        <v>8419</v>
      </c>
      <c r="C1549" s="307" t="s">
        <v>5814</v>
      </c>
      <c r="D1549" s="307" t="s">
        <v>8420</v>
      </c>
      <c r="E1549" s="307" t="s">
        <v>3905</v>
      </c>
      <c r="F1549" s="307" t="s">
        <v>3906</v>
      </c>
      <c r="G1549" s="307" t="s">
        <v>3907</v>
      </c>
    </row>
    <row r="1550" spans="1:7" ht="13.5">
      <c r="A1550" s="307" t="s">
        <v>8421</v>
      </c>
      <c r="B1550" s="307" t="s">
        <v>8422</v>
      </c>
      <c r="C1550" s="307" t="s">
        <v>5814</v>
      </c>
      <c r="D1550" s="307" t="s">
        <v>8423</v>
      </c>
      <c r="E1550" s="307" t="s">
        <v>3905</v>
      </c>
      <c r="F1550" s="307" t="s">
        <v>3906</v>
      </c>
      <c r="G1550" s="307" t="s">
        <v>3907</v>
      </c>
    </row>
    <row r="1551" spans="1:7" ht="13.5">
      <c r="A1551" s="307" t="s">
        <v>8424</v>
      </c>
      <c r="B1551" s="307" t="s">
        <v>8425</v>
      </c>
      <c r="C1551" s="307" t="s">
        <v>5814</v>
      </c>
      <c r="D1551" s="307" t="s">
        <v>8426</v>
      </c>
      <c r="E1551" s="307" t="s">
        <v>3905</v>
      </c>
      <c r="F1551" s="307" t="s">
        <v>3906</v>
      </c>
      <c r="G1551" s="307" t="s">
        <v>3907</v>
      </c>
    </row>
    <row r="1552" spans="1:7" ht="13.5">
      <c r="A1552" s="307" t="s">
        <v>8427</v>
      </c>
      <c r="B1552" s="307" t="s">
        <v>8428</v>
      </c>
      <c r="C1552" s="307" t="s">
        <v>5814</v>
      </c>
      <c r="D1552" s="307" t="s">
        <v>8429</v>
      </c>
      <c r="E1552" s="307" t="s">
        <v>3905</v>
      </c>
      <c r="F1552" s="307" t="s">
        <v>3906</v>
      </c>
      <c r="G1552" s="307" t="s">
        <v>3907</v>
      </c>
    </row>
    <row r="1553" spans="1:7" ht="13.5">
      <c r="A1553" s="307" t="s">
        <v>8430</v>
      </c>
      <c r="B1553" s="307" t="s">
        <v>8431</v>
      </c>
      <c r="C1553" s="307" t="s">
        <v>5814</v>
      </c>
      <c r="D1553" s="307" t="s">
        <v>8432</v>
      </c>
      <c r="E1553" s="307" t="s">
        <v>3905</v>
      </c>
      <c r="F1553" s="307" t="s">
        <v>3906</v>
      </c>
      <c r="G1553" s="307" t="s">
        <v>3907</v>
      </c>
    </row>
    <row r="1554" spans="1:7" ht="13.5">
      <c r="A1554" s="307" t="s">
        <v>8433</v>
      </c>
      <c r="B1554" s="307" t="s">
        <v>8434</v>
      </c>
      <c r="C1554" s="307" t="s">
        <v>5814</v>
      </c>
      <c r="D1554" s="307" t="s">
        <v>8435</v>
      </c>
      <c r="E1554" s="307" t="s">
        <v>3905</v>
      </c>
      <c r="F1554" s="307" t="s">
        <v>3906</v>
      </c>
      <c r="G1554" s="307" t="s">
        <v>3907</v>
      </c>
    </row>
    <row r="1555" spans="1:7" ht="13.5">
      <c r="A1555" s="307" t="s">
        <v>8436</v>
      </c>
      <c r="B1555" s="307" t="s">
        <v>8437</v>
      </c>
      <c r="C1555" s="307" t="s">
        <v>5814</v>
      </c>
      <c r="D1555" s="307" t="s">
        <v>8438</v>
      </c>
      <c r="E1555" s="307" t="s">
        <v>3905</v>
      </c>
      <c r="F1555" s="307" t="s">
        <v>3906</v>
      </c>
      <c r="G1555" s="307" t="s">
        <v>3907</v>
      </c>
    </row>
    <row r="1556" spans="1:7" ht="13.5">
      <c r="A1556" s="307" t="s">
        <v>8439</v>
      </c>
      <c r="B1556" s="307" t="s">
        <v>8440</v>
      </c>
      <c r="C1556" s="307" t="s">
        <v>5814</v>
      </c>
      <c r="D1556" s="307" t="s">
        <v>8441</v>
      </c>
      <c r="E1556" s="307" t="s">
        <v>3905</v>
      </c>
      <c r="F1556" s="307" t="s">
        <v>3906</v>
      </c>
      <c r="G1556" s="307" t="s">
        <v>3907</v>
      </c>
    </row>
    <row r="1557" spans="1:7" ht="13.5">
      <c r="A1557" s="307" t="s">
        <v>8442</v>
      </c>
      <c r="B1557" s="307" t="s">
        <v>8443</v>
      </c>
      <c r="C1557" s="307" t="s">
        <v>5814</v>
      </c>
      <c r="D1557" s="307" t="s">
        <v>8444</v>
      </c>
      <c r="E1557" s="307" t="s">
        <v>3905</v>
      </c>
      <c r="F1557" s="307" t="s">
        <v>3906</v>
      </c>
      <c r="G1557" s="307" t="s">
        <v>3907</v>
      </c>
    </row>
    <row r="1558" spans="1:7" ht="13.5">
      <c r="A1558" s="307" t="s">
        <v>8445</v>
      </c>
      <c r="B1558" s="307" t="s">
        <v>8446</v>
      </c>
      <c r="C1558" s="307" t="s">
        <v>5814</v>
      </c>
      <c r="D1558" s="307" t="s">
        <v>8447</v>
      </c>
      <c r="E1558" s="307" t="s">
        <v>3905</v>
      </c>
      <c r="F1558" s="307" t="s">
        <v>3906</v>
      </c>
      <c r="G1558" s="307" t="s">
        <v>3907</v>
      </c>
    </row>
    <row r="1559" spans="1:7" ht="13.5">
      <c r="A1559" s="307" t="s">
        <v>8448</v>
      </c>
      <c r="B1559" s="307" t="s">
        <v>8449</v>
      </c>
      <c r="C1559" s="307" t="s">
        <v>5814</v>
      </c>
      <c r="D1559" s="307" t="s">
        <v>8450</v>
      </c>
      <c r="E1559" s="307" t="s">
        <v>3905</v>
      </c>
      <c r="F1559" s="307" t="s">
        <v>3906</v>
      </c>
      <c r="G1559" s="307" t="s">
        <v>3907</v>
      </c>
    </row>
    <row r="1560" spans="1:7" ht="13.5">
      <c r="A1560" s="307" t="s">
        <v>8451</v>
      </c>
      <c r="B1560" s="307" t="s">
        <v>8452</v>
      </c>
      <c r="C1560" s="307" t="s">
        <v>5814</v>
      </c>
      <c r="D1560" s="307" t="s">
        <v>8453</v>
      </c>
      <c r="E1560" s="307" t="s">
        <v>3905</v>
      </c>
      <c r="F1560" s="307" t="s">
        <v>3906</v>
      </c>
      <c r="G1560" s="307" t="s">
        <v>3907</v>
      </c>
    </row>
    <row r="1561" spans="1:7" ht="13.5">
      <c r="A1561" s="307" t="s">
        <v>8454</v>
      </c>
      <c r="B1561" s="307" t="s">
        <v>8455</v>
      </c>
      <c r="C1561" s="307" t="s">
        <v>5814</v>
      </c>
      <c r="D1561" s="307" t="s">
        <v>8456</v>
      </c>
      <c r="E1561" s="307" t="s">
        <v>3905</v>
      </c>
      <c r="F1561" s="307" t="s">
        <v>3906</v>
      </c>
      <c r="G1561" s="307" t="s">
        <v>3907</v>
      </c>
    </row>
    <row r="1562" spans="1:7" ht="13.5">
      <c r="A1562" s="307" t="s">
        <v>8457</v>
      </c>
      <c r="B1562" s="307" t="s">
        <v>8458</v>
      </c>
      <c r="C1562" s="307" t="s">
        <v>5814</v>
      </c>
      <c r="D1562" s="307" t="s">
        <v>8459</v>
      </c>
      <c r="E1562" s="307" t="s">
        <v>3905</v>
      </c>
      <c r="F1562" s="307" t="s">
        <v>3906</v>
      </c>
      <c r="G1562" s="307" t="s">
        <v>3907</v>
      </c>
    </row>
    <row r="1563" spans="1:7" ht="13.5">
      <c r="A1563" s="307" t="s">
        <v>8460</v>
      </c>
      <c r="B1563" s="307" t="s">
        <v>8461</v>
      </c>
      <c r="C1563" s="307" t="s">
        <v>5814</v>
      </c>
      <c r="D1563" s="307" t="s">
        <v>8462</v>
      </c>
      <c r="E1563" s="307" t="s">
        <v>3905</v>
      </c>
      <c r="F1563" s="307" t="s">
        <v>3906</v>
      </c>
      <c r="G1563" s="307" t="s">
        <v>3907</v>
      </c>
    </row>
    <row r="1564" spans="1:7" ht="13.5">
      <c r="A1564" s="307" t="s">
        <v>8463</v>
      </c>
      <c r="B1564" s="307" t="s">
        <v>8464</v>
      </c>
      <c r="C1564" s="307" t="s">
        <v>5814</v>
      </c>
      <c r="D1564" s="307" t="s">
        <v>8465</v>
      </c>
      <c r="E1564" s="307" t="s">
        <v>3905</v>
      </c>
      <c r="F1564" s="307" t="s">
        <v>3906</v>
      </c>
      <c r="G1564" s="307" t="s">
        <v>3907</v>
      </c>
    </row>
    <row r="1565" spans="1:7" ht="13.5">
      <c r="A1565" s="307" t="s">
        <v>8466</v>
      </c>
      <c r="B1565" s="307" t="s">
        <v>8467</v>
      </c>
      <c r="C1565" s="307" t="s">
        <v>5814</v>
      </c>
      <c r="D1565" s="307" t="s">
        <v>8468</v>
      </c>
      <c r="E1565" s="307" t="s">
        <v>3905</v>
      </c>
      <c r="F1565" s="307" t="s">
        <v>3906</v>
      </c>
      <c r="G1565" s="307" t="s">
        <v>3907</v>
      </c>
    </row>
    <row r="1566" spans="1:7" ht="13.5">
      <c r="A1566" s="307" t="s">
        <v>8469</v>
      </c>
      <c r="B1566" s="307" t="s">
        <v>8470</v>
      </c>
      <c r="C1566" s="307" t="s">
        <v>5814</v>
      </c>
      <c r="D1566" s="307" t="s">
        <v>8471</v>
      </c>
      <c r="E1566" s="307" t="s">
        <v>3905</v>
      </c>
      <c r="F1566" s="307" t="s">
        <v>3906</v>
      </c>
      <c r="G1566" s="307" t="s">
        <v>3907</v>
      </c>
    </row>
    <row r="1567" spans="1:7" ht="13.5">
      <c r="A1567" s="307" t="s">
        <v>8472</v>
      </c>
      <c r="B1567" s="307" t="s">
        <v>8473</v>
      </c>
      <c r="C1567" s="307" t="s">
        <v>5814</v>
      </c>
      <c r="D1567" s="307" t="s">
        <v>8474</v>
      </c>
      <c r="E1567" s="307" t="s">
        <v>3905</v>
      </c>
      <c r="F1567" s="307" t="s">
        <v>3906</v>
      </c>
      <c r="G1567" s="307" t="s">
        <v>3907</v>
      </c>
    </row>
    <row r="1568" spans="1:7" ht="13.5">
      <c r="A1568" s="307" t="s">
        <v>8475</v>
      </c>
      <c r="B1568" s="307" t="s">
        <v>8476</v>
      </c>
      <c r="C1568" s="307" t="s">
        <v>5814</v>
      </c>
      <c r="D1568" s="307" t="s">
        <v>8477</v>
      </c>
      <c r="E1568" s="307" t="s">
        <v>3905</v>
      </c>
      <c r="F1568" s="307" t="s">
        <v>3906</v>
      </c>
      <c r="G1568" s="307" t="s">
        <v>3907</v>
      </c>
    </row>
    <row r="1569" spans="1:7" ht="13.5">
      <c r="A1569" s="307" t="s">
        <v>8478</v>
      </c>
      <c r="B1569" s="307" t="s">
        <v>8479</v>
      </c>
      <c r="C1569" s="307" t="s">
        <v>5814</v>
      </c>
      <c r="D1569" s="307" t="s">
        <v>8480</v>
      </c>
      <c r="E1569" s="307" t="s">
        <v>3905</v>
      </c>
      <c r="F1569" s="307" t="s">
        <v>3906</v>
      </c>
      <c r="G1569" s="307" t="s">
        <v>3907</v>
      </c>
    </row>
    <row r="1570" spans="1:7" ht="13.5">
      <c r="A1570" s="307" t="s">
        <v>8481</v>
      </c>
      <c r="B1570" s="307" t="s">
        <v>8482</v>
      </c>
      <c r="C1570" s="307" t="s">
        <v>5814</v>
      </c>
      <c r="D1570" s="307" t="s">
        <v>8483</v>
      </c>
      <c r="E1570" s="307" t="s">
        <v>3905</v>
      </c>
      <c r="F1570" s="307" t="s">
        <v>3906</v>
      </c>
      <c r="G1570" s="307" t="s">
        <v>3907</v>
      </c>
    </row>
    <row r="1571" spans="1:7" ht="13.5">
      <c r="A1571" s="307" t="s">
        <v>8484</v>
      </c>
      <c r="B1571" s="307" t="s">
        <v>8485</v>
      </c>
      <c r="C1571" s="307" t="s">
        <v>5814</v>
      </c>
      <c r="D1571" s="307" t="s">
        <v>8486</v>
      </c>
      <c r="E1571" s="307" t="s">
        <v>3905</v>
      </c>
      <c r="F1571" s="307" t="s">
        <v>3906</v>
      </c>
      <c r="G1571" s="307" t="s">
        <v>3907</v>
      </c>
    </row>
    <row r="1572" spans="1:7" ht="13.5">
      <c r="A1572" s="307" t="s">
        <v>8487</v>
      </c>
      <c r="B1572" s="307" t="s">
        <v>8488</v>
      </c>
      <c r="C1572" s="307" t="s">
        <v>5814</v>
      </c>
      <c r="D1572" s="307" t="s">
        <v>8489</v>
      </c>
      <c r="E1572" s="307" t="s">
        <v>3905</v>
      </c>
      <c r="F1572" s="307" t="s">
        <v>3906</v>
      </c>
      <c r="G1572" s="307" t="s">
        <v>3907</v>
      </c>
    </row>
    <row r="1573" spans="1:7" ht="13.5">
      <c r="A1573" s="307" t="s">
        <v>8490</v>
      </c>
      <c r="B1573" s="307" t="s">
        <v>8491</v>
      </c>
      <c r="C1573" s="307" t="s">
        <v>5814</v>
      </c>
      <c r="D1573" s="307" t="s">
        <v>8492</v>
      </c>
      <c r="E1573" s="307" t="s">
        <v>3905</v>
      </c>
      <c r="F1573" s="307" t="s">
        <v>3906</v>
      </c>
      <c r="G1573" s="307" t="s">
        <v>3907</v>
      </c>
    </row>
    <row r="1574" spans="1:7" ht="13.5">
      <c r="A1574" s="307" t="s">
        <v>8493</v>
      </c>
      <c r="B1574" s="307" t="s">
        <v>8494</v>
      </c>
      <c r="C1574" s="307" t="s">
        <v>5814</v>
      </c>
      <c r="D1574" s="307" t="s">
        <v>8495</v>
      </c>
      <c r="E1574" s="307" t="s">
        <v>3905</v>
      </c>
      <c r="F1574" s="307" t="s">
        <v>3906</v>
      </c>
      <c r="G1574" s="307" t="s">
        <v>3907</v>
      </c>
    </row>
    <row r="1575" spans="1:7" ht="13.5">
      <c r="A1575" s="307" t="s">
        <v>8496</v>
      </c>
      <c r="B1575" s="307" t="s">
        <v>8497</v>
      </c>
      <c r="C1575" s="307" t="s">
        <v>5814</v>
      </c>
      <c r="D1575" s="307" t="s">
        <v>8498</v>
      </c>
      <c r="E1575" s="307" t="s">
        <v>3905</v>
      </c>
      <c r="F1575" s="307" t="s">
        <v>3906</v>
      </c>
      <c r="G1575" s="307" t="s">
        <v>3907</v>
      </c>
    </row>
    <row r="1576" spans="1:7" ht="13.5">
      <c r="A1576" s="307" t="s">
        <v>8499</v>
      </c>
      <c r="B1576" s="307" t="s">
        <v>8500</v>
      </c>
      <c r="C1576" s="307" t="s">
        <v>5814</v>
      </c>
      <c r="D1576" s="307" t="s">
        <v>8501</v>
      </c>
      <c r="E1576" s="307" t="s">
        <v>3905</v>
      </c>
      <c r="F1576" s="307" t="s">
        <v>3906</v>
      </c>
      <c r="G1576" s="307" t="s">
        <v>3907</v>
      </c>
    </row>
    <row r="1577" spans="1:7" ht="13.5">
      <c r="A1577" s="307" t="s">
        <v>8502</v>
      </c>
      <c r="B1577" s="307" t="s">
        <v>8503</v>
      </c>
      <c r="C1577" s="307" t="s">
        <v>5814</v>
      </c>
      <c r="D1577" s="307" t="s">
        <v>8504</v>
      </c>
      <c r="E1577" s="307" t="s">
        <v>3905</v>
      </c>
      <c r="F1577" s="307" t="s">
        <v>3906</v>
      </c>
      <c r="G1577" s="307" t="s">
        <v>3907</v>
      </c>
    </row>
    <row r="1578" spans="1:7" ht="13.5">
      <c r="A1578" s="307" t="s">
        <v>8505</v>
      </c>
      <c r="B1578" s="307" t="s">
        <v>8506</v>
      </c>
      <c r="C1578" s="307" t="s">
        <v>5814</v>
      </c>
      <c r="D1578" s="307" t="s">
        <v>8507</v>
      </c>
      <c r="E1578" s="307" t="s">
        <v>3905</v>
      </c>
      <c r="F1578" s="307" t="s">
        <v>3906</v>
      </c>
      <c r="G1578" s="307" t="s">
        <v>3907</v>
      </c>
    </row>
    <row r="1579" spans="1:7" ht="13.5">
      <c r="A1579" s="307" t="s">
        <v>8508</v>
      </c>
      <c r="B1579" s="307" t="s">
        <v>8509</v>
      </c>
      <c r="C1579" s="307" t="s">
        <v>5814</v>
      </c>
      <c r="D1579" s="307" t="s">
        <v>8510</v>
      </c>
      <c r="E1579" s="307" t="s">
        <v>3905</v>
      </c>
      <c r="F1579" s="307" t="s">
        <v>3906</v>
      </c>
      <c r="G1579" s="307" t="s">
        <v>3907</v>
      </c>
    </row>
    <row r="1580" spans="1:7" ht="13.5">
      <c r="A1580" s="307" t="s">
        <v>8511</v>
      </c>
      <c r="B1580" s="307" t="s">
        <v>8512</v>
      </c>
      <c r="C1580" s="307" t="s">
        <v>5814</v>
      </c>
      <c r="D1580" s="307" t="s">
        <v>8513</v>
      </c>
      <c r="E1580" s="307" t="s">
        <v>3905</v>
      </c>
      <c r="F1580" s="307" t="s">
        <v>3906</v>
      </c>
      <c r="G1580" s="307" t="s">
        <v>3907</v>
      </c>
    </row>
    <row r="1581" spans="1:7" ht="13.5">
      <c r="A1581" s="307" t="s">
        <v>8514</v>
      </c>
      <c r="B1581" s="307" t="s">
        <v>8515</v>
      </c>
      <c r="C1581" s="307" t="s">
        <v>5814</v>
      </c>
      <c r="D1581" s="307" t="s">
        <v>8516</v>
      </c>
      <c r="E1581" s="307" t="s">
        <v>3905</v>
      </c>
      <c r="F1581" s="307" t="s">
        <v>3906</v>
      </c>
      <c r="G1581" s="307" t="s">
        <v>3907</v>
      </c>
    </row>
    <row r="1582" spans="1:7" ht="13.5">
      <c r="A1582" s="307" t="s">
        <v>8517</v>
      </c>
      <c r="B1582" s="307" t="s">
        <v>8518</v>
      </c>
      <c r="C1582" s="307" t="s">
        <v>5814</v>
      </c>
      <c r="D1582" s="307" t="s">
        <v>8519</v>
      </c>
      <c r="E1582" s="307" t="s">
        <v>3905</v>
      </c>
      <c r="F1582" s="307" t="s">
        <v>3906</v>
      </c>
      <c r="G1582" s="307" t="s">
        <v>3907</v>
      </c>
    </row>
    <row r="1583" spans="1:7" ht="13.5">
      <c r="A1583" s="307" t="s">
        <v>8520</v>
      </c>
      <c r="B1583" s="307" t="s">
        <v>8521</v>
      </c>
      <c r="C1583" s="307" t="s">
        <v>5814</v>
      </c>
      <c r="D1583" s="307" t="s">
        <v>8522</v>
      </c>
      <c r="E1583" s="307" t="s">
        <v>4021</v>
      </c>
      <c r="F1583" s="307" t="s">
        <v>3906</v>
      </c>
      <c r="G1583" s="307" t="s">
        <v>3907</v>
      </c>
    </row>
    <row r="1584" spans="1:7" ht="13.5">
      <c r="A1584" s="307" t="s">
        <v>8523</v>
      </c>
      <c r="B1584" s="307" t="s">
        <v>8524</v>
      </c>
      <c r="C1584" s="307" t="s">
        <v>5814</v>
      </c>
      <c r="D1584" s="307" t="s">
        <v>8525</v>
      </c>
      <c r="E1584" s="307" t="s">
        <v>3905</v>
      </c>
      <c r="F1584" s="307" t="s">
        <v>3906</v>
      </c>
      <c r="G1584" s="307" t="s">
        <v>3907</v>
      </c>
    </row>
    <row r="1585" spans="1:7" ht="13.5">
      <c r="A1585" s="307" t="s">
        <v>8526</v>
      </c>
      <c r="B1585" s="307" t="s">
        <v>8527</v>
      </c>
      <c r="C1585" s="307" t="s">
        <v>5814</v>
      </c>
      <c r="D1585" s="307" t="s">
        <v>8528</v>
      </c>
      <c r="E1585" s="307" t="s">
        <v>3905</v>
      </c>
      <c r="F1585" s="307" t="s">
        <v>3906</v>
      </c>
      <c r="G1585" s="307" t="s">
        <v>3907</v>
      </c>
    </row>
    <row r="1586" spans="1:7" ht="13.5">
      <c r="A1586" s="307" t="s">
        <v>8529</v>
      </c>
      <c r="B1586" s="307" t="s">
        <v>8530</v>
      </c>
      <c r="C1586" s="307" t="s">
        <v>5814</v>
      </c>
      <c r="D1586" s="307" t="s">
        <v>8531</v>
      </c>
      <c r="E1586" s="307" t="s">
        <v>3905</v>
      </c>
      <c r="F1586" s="307" t="s">
        <v>3906</v>
      </c>
      <c r="G1586" s="307" t="s">
        <v>3907</v>
      </c>
    </row>
    <row r="1587" spans="1:7" ht="13.5">
      <c r="A1587" s="307" t="s">
        <v>8532</v>
      </c>
      <c r="B1587" s="307" t="s">
        <v>8533</v>
      </c>
      <c r="C1587" s="307" t="s">
        <v>5814</v>
      </c>
      <c r="D1587" s="307" t="s">
        <v>8534</v>
      </c>
      <c r="E1587" s="307" t="s">
        <v>3905</v>
      </c>
      <c r="F1587" s="307" t="s">
        <v>3906</v>
      </c>
      <c r="G1587" s="307" t="s">
        <v>3907</v>
      </c>
    </row>
    <row r="1588" spans="1:7" ht="13.5">
      <c r="A1588" s="307" t="s">
        <v>8535</v>
      </c>
      <c r="B1588" s="307" t="s">
        <v>8536</v>
      </c>
      <c r="C1588" s="307" t="s">
        <v>5814</v>
      </c>
      <c r="D1588" s="307" t="s">
        <v>8537</v>
      </c>
      <c r="E1588" s="307" t="s">
        <v>3905</v>
      </c>
      <c r="F1588" s="307" t="s">
        <v>3906</v>
      </c>
      <c r="G1588" s="307" t="s">
        <v>3907</v>
      </c>
    </row>
    <row r="1589" spans="1:7" ht="13.5">
      <c r="A1589" s="307" t="s">
        <v>8538</v>
      </c>
      <c r="B1589" s="307" t="s">
        <v>8539</v>
      </c>
      <c r="C1589" s="307" t="s">
        <v>5814</v>
      </c>
      <c r="D1589" s="307" t="s">
        <v>8540</v>
      </c>
      <c r="E1589" s="307" t="s">
        <v>3905</v>
      </c>
      <c r="F1589" s="307" t="s">
        <v>3906</v>
      </c>
      <c r="G1589" s="307" t="s">
        <v>3907</v>
      </c>
    </row>
    <row r="1590" spans="1:7" ht="13.5">
      <c r="A1590" s="307" t="s">
        <v>8541</v>
      </c>
      <c r="B1590" s="307" t="s">
        <v>8542</v>
      </c>
      <c r="C1590" s="307" t="s">
        <v>5814</v>
      </c>
      <c r="D1590" s="307" t="s">
        <v>8543</v>
      </c>
      <c r="E1590" s="307" t="s">
        <v>3905</v>
      </c>
      <c r="F1590" s="307" t="s">
        <v>3906</v>
      </c>
      <c r="G1590" s="307" t="s">
        <v>3907</v>
      </c>
    </row>
    <row r="1591" spans="1:7" ht="13.5">
      <c r="A1591" s="307" t="s">
        <v>8544</v>
      </c>
      <c r="B1591" s="307" t="s">
        <v>8545</v>
      </c>
      <c r="C1591" s="307" t="s">
        <v>5814</v>
      </c>
      <c r="D1591" s="307" t="s">
        <v>8546</v>
      </c>
      <c r="E1591" s="307" t="s">
        <v>3905</v>
      </c>
      <c r="F1591" s="307" t="s">
        <v>3906</v>
      </c>
      <c r="G1591" s="307" t="s">
        <v>3907</v>
      </c>
    </row>
    <row r="1592" spans="1:7" ht="13.5">
      <c r="A1592" s="307" t="s">
        <v>8547</v>
      </c>
      <c r="B1592" s="307" t="s">
        <v>8548</v>
      </c>
      <c r="C1592" s="307" t="s">
        <v>5814</v>
      </c>
      <c r="D1592" s="307" t="s">
        <v>8549</v>
      </c>
      <c r="E1592" s="307" t="s">
        <v>3905</v>
      </c>
      <c r="F1592" s="307" t="s">
        <v>3906</v>
      </c>
      <c r="G1592" s="307" t="s">
        <v>3907</v>
      </c>
    </row>
    <row r="1593" spans="1:7" ht="13.5">
      <c r="A1593" s="307" t="s">
        <v>8550</v>
      </c>
      <c r="B1593" s="307" t="s">
        <v>8551</v>
      </c>
      <c r="C1593" s="307" t="s">
        <v>5814</v>
      </c>
      <c r="D1593" s="307" t="s">
        <v>8552</v>
      </c>
      <c r="E1593" s="307" t="s">
        <v>3905</v>
      </c>
      <c r="F1593" s="307" t="s">
        <v>3906</v>
      </c>
      <c r="G1593" s="307" t="s">
        <v>3907</v>
      </c>
    </row>
    <row r="1594" spans="1:7" ht="13.5">
      <c r="A1594" s="307" t="s">
        <v>8553</v>
      </c>
      <c r="B1594" s="307" t="s">
        <v>8554</v>
      </c>
      <c r="C1594" s="307" t="s">
        <v>5814</v>
      </c>
      <c r="D1594" s="307" t="s">
        <v>8555</v>
      </c>
      <c r="E1594" s="307" t="s">
        <v>3905</v>
      </c>
      <c r="F1594" s="307" t="s">
        <v>3906</v>
      </c>
      <c r="G1594" s="307" t="s">
        <v>3907</v>
      </c>
    </row>
    <row r="1595" spans="1:7" ht="13.5">
      <c r="A1595" s="307" t="s">
        <v>8556</v>
      </c>
      <c r="B1595" s="307" t="s">
        <v>8557</v>
      </c>
      <c r="C1595" s="307" t="s">
        <v>5814</v>
      </c>
      <c r="D1595" s="307" t="s">
        <v>8558</v>
      </c>
      <c r="E1595" s="307" t="s">
        <v>3905</v>
      </c>
      <c r="F1595" s="307" t="s">
        <v>3906</v>
      </c>
      <c r="G1595" s="307" t="s">
        <v>3907</v>
      </c>
    </row>
    <row r="1596" spans="1:7" ht="13.5">
      <c r="A1596" s="307" t="s">
        <v>8559</v>
      </c>
      <c r="B1596" s="307" t="s">
        <v>8560</v>
      </c>
      <c r="C1596" s="307" t="s">
        <v>5814</v>
      </c>
      <c r="D1596" s="307" t="s">
        <v>8561</v>
      </c>
      <c r="E1596" s="307" t="s">
        <v>3905</v>
      </c>
      <c r="F1596" s="307" t="s">
        <v>3906</v>
      </c>
      <c r="G1596" s="307" t="s">
        <v>3907</v>
      </c>
    </row>
    <row r="1597" spans="1:7" ht="13.5">
      <c r="A1597" s="307" t="s">
        <v>8562</v>
      </c>
      <c r="B1597" s="307" t="s">
        <v>8563</v>
      </c>
      <c r="C1597" s="307" t="s">
        <v>5814</v>
      </c>
      <c r="D1597" s="307" t="s">
        <v>8564</v>
      </c>
      <c r="E1597" s="307" t="s">
        <v>3905</v>
      </c>
      <c r="F1597" s="307" t="s">
        <v>3906</v>
      </c>
      <c r="G1597" s="307" t="s">
        <v>3907</v>
      </c>
    </row>
    <row r="1598" spans="1:7" ht="13.5">
      <c r="A1598" s="307" t="s">
        <v>8565</v>
      </c>
      <c r="B1598" s="307" t="s">
        <v>8566</v>
      </c>
      <c r="C1598" s="307" t="s">
        <v>5814</v>
      </c>
      <c r="D1598" s="307" t="s">
        <v>8567</v>
      </c>
      <c r="E1598" s="307" t="s">
        <v>3905</v>
      </c>
      <c r="F1598" s="307" t="s">
        <v>3906</v>
      </c>
      <c r="G1598" s="307" t="s">
        <v>3907</v>
      </c>
    </row>
    <row r="1599" spans="1:7" ht="13.5">
      <c r="A1599" s="307" t="s">
        <v>8568</v>
      </c>
      <c r="B1599" s="307" t="s">
        <v>8569</v>
      </c>
      <c r="C1599" s="307" t="s">
        <v>5814</v>
      </c>
      <c r="D1599" s="307" t="s">
        <v>8570</v>
      </c>
      <c r="E1599" s="307" t="s">
        <v>3905</v>
      </c>
      <c r="F1599" s="307" t="s">
        <v>3906</v>
      </c>
      <c r="G1599" s="307" t="s">
        <v>3907</v>
      </c>
    </row>
    <row r="1600" spans="1:7" ht="13.5">
      <c r="A1600" s="307" t="s">
        <v>8571</v>
      </c>
      <c r="B1600" s="307" t="s">
        <v>8572</v>
      </c>
      <c r="C1600" s="307" t="s">
        <v>5814</v>
      </c>
      <c r="D1600" s="307" t="s">
        <v>8573</v>
      </c>
      <c r="E1600" s="307" t="s">
        <v>3905</v>
      </c>
      <c r="F1600" s="307" t="s">
        <v>3906</v>
      </c>
      <c r="G1600" s="307" t="s">
        <v>3907</v>
      </c>
    </row>
    <row r="1601" spans="1:7" ht="13.5">
      <c r="A1601" s="307" t="s">
        <v>8574</v>
      </c>
      <c r="B1601" s="307" t="s">
        <v>8575</v>
      </c>
      <c r="C1601" s="307" t="s">
        <v>5814</v>
      </c>
      <c r="D1601" s="307" t="s">
        <v>8576</v>
      </c>
      <c r="E1601" s="307" t="s">
        <v>3905</v>
      </c>
      <c r="F1601" s="307" t="s">
        <v>3906</v>
      </c>
      <c r="G1601" s="307" t="s">
        <v>3907</v>
      </c>
    </row>
    <row r="1602" spans="1:7" ht="13.5">
      <c r="A1602" s="307" t="s">
        <v>8577</v>
      </c>
      <c r="B1602" s="307" t="s">
        <v>8578</v>
      </c>
      <c r="C1602" s="307" t="s">
        <v>5814</v>
      </c>
      <c r="D1602" s="307" t="s">
        <v>8579</v>
      </c>
      <c r="E1602" s="307" t="s">
        <v>3905</v>
      </c>
      <c r="F1602" s="307" t="s">
        <v>3906</v>
      </c>
      <c r="G1602" s="307" t="s">
        <v>3907</v>
      </c>
    </row>
    <row r="1603" spans="1:7" ht="13.5">
      <c r="A1603" s="307" t="s">
        <v>8580</v>
      </c>
      <c r="B1603" s="307" t="s">
        <v>8581</v>
      </c>
      <c r="C1603" s="307" t="s">
        <v>5814</v>
      </c>
      <c r="D1603" s="307" t="s">
        <v>8582</v>
      </c>
      <c r="E1603" s="307" t="s">
        <v>3905</v>
      </c>
      <c r="F1603" s="307" t="s">
        <v>3906</v>
      </c>
      <c r="G1603" s="307" t="s">
        <v>3907</v>
      </c>
    </row>
    <row r="1604" spans="1:7" ht="13.5">
      <c r="A1604" s="307" t="s">
        <v>8583</v>
      </c>
      <c r="B1604" s="307" t="s">
        <v>8584</v>
      </c>
      <c r="C1604" s="307" t="s">
        <v>5814</v>
      </c>
      <c r="D1604" s="307" t="s">
        <v>8585</v>
      </c>
      <c r="E1604" s="307" t="s">
        <v>3905</v>
      </c>
      <c r="F1604" s="307" t="s">
        <v>3906</v>
      </c>
      <c r="G1604" s="307" t="s">
        <v>3907</v>
      </c>
    </row>
    <row r="1605" spans="1:7" ht="13.5">
      <c r="A1605" s="307" t="s">
        <v>8586</v>
      </c>
      <c r="B1605" s="307" t="s">
        <v>8587</v>
      </c>
      <c r="C1605" s="307" t="s">
        <v>5814</v>
      </c>
      <c r="D1605" s="307" t="s">
        <v>8588</v>
      </c>
      <c r="E1605" s="307" t="s">
        <v>3905</v>
      </c>
      <c r="F1605" s="307" t="s">
        <v>3906</v>
      </c>
      <c r="G1605" s="307" t="s">
        <v>3907</v>
      </c>
    </row>
    <row r="1606" spans="1:7" ht="13.5">
      <c r="A1606" s="307" t="s">
        <v>8589</v>
      </c>
      <c r="B1606" s="307" t="s">
        <v>8590</v>
      </c>
      <c r="C1606" s="307" t="s">
        <v>5814</v>
      </c>
      <c r="D1606" s="307" t="s">
        <v>8591</v>
      </c>
      <c r="E1606" s="307" t="s">
        <v>3905</v>
      </c>
      <c r="F1606" s="307" t="s">
        <v>3906</v>
      </c>
      <c r="G1606" s="307" t="s">
        <v>3907</v>
      </c>
    </row>
    <row r="1607" spans="1:7" ht="13.5">
      <c r="A1607" s="307" t="s">
        <v>8592</v>
      </c>
      <c r="B1607" s="307" t="s">
        <v>8593</v>
      </c>
      <c r="C1607" s="307" t="s">
        <v>5814</v>
      </c>
      <c r="D1607" s="307" t="s">
        <v>8594</v>
      </c>
      <c r="E1607" s="307" t="s">
        <v>3905</v>
      </c>
      <c r="F1607" s="307" t="s">
        <v>3906</v>
      </c>
      <c r="G1607" s="307" t="s">
        <v>3907</v>
      </c>
    </row>
    <row r="1608" spans="1:7" ht="13.5">
      <c r="A1608" s="307" t="s">
        <v>8595</v>
      </c>
      <c r="B1608" s="307" t="s">
        <v>8596</v>
      </c>
      <c r="C1608" s="307" t="s">
        <v>5814</v>
      </c>
      <c r="D1608" s="307" t="s">
        <v>8597</v>
      </c>
      <c r="E1608" s="307" t="s">
        <v>3905</v>
      </c>
      <c r="F1608" s="307" t="s">
        <v>3906</v>
      </c>
      <c r="G1608" s="307" t="s">
        <v>3907</v>
      </c>
    </row>
    <row r="1609" spans="1:7" ht="13.5">
      <c r="A1609" s="307" t="s">
        <v>8598</v>
      </c>
      <c r="B1609" s="307" t="s">
        <v>8599</v>
      </c>
      <c r="C1609" s="307" t="s">
        <v>5814</v>
      </c>
      <c r="D1609" s="307" t="s">
        <v>8600</v>
      </c>
      <c r="E1609" s="307" t="s">
        <v>3905</v>
      </c>
      <c r="F1609" s="307" t="s">
        <v>3906</v>
      </c>
      <c r="G1609" s="307" t="s">
        <v>3907</v>
      </c>
    </row>
    <row r="1610" spans="1:7" ht="13.5">
      <c r="A1610" s="307" t="s">
        <v>8601</v>
      </c>
      <c r="B1610" s="307" t="s">
        <v>8602</v>
      </c>
      <c r="C1610" s="307" t="s">
        <v>5814</v>
      </c>
      <c r="D1610" s="307" t="s">
        <v>8603</v>
      </c>
      <c r="E1610" s="307" t="s">
        <v>3905</v>
      </c>
      <c r="F1610" s="307" t="s">
        <v>3906</v>
      </c>
      <c r="G1610" s="307" t="s">
        <v>3907</v>
      </c>
    </row>
    <row r="1611" spans="1:7" ht="13.5">
      <c r="A1611" s="307" t="s">
        <v>8604</v>
      </c>
      <c r="B1611" s="307" t="s">
        <v>8605</v>
      </c>
      <c r="C1611" s="307" t="s">
        <v>5814</v>
      </c>
      <c r="D1611" s="307" t="s">
        <v>4958</v>
      </c>
      <c r="E1611" s="307" t="s">
        <v>3905</v>
      </c>
      <c r="F1611" s="307" t="s">
        <v>3906</v>
      </c>
      <c r="G1611" s="307" t="s">
        <v>3907</v>
      </c>
    </row>
    <row r="1612" spans="1:7" ht="13.5">
      <c r="A1612" s="307" t="s">
        <v>8606</v>
      </c>
      <c r="B1612" s="307" t="s">
        <v>8607</v>
      </c>
      <c r="C1612" s="307" t="s">
        <v>5814</v>
      </c>
      <c r="D1612" s="307" t="s">
        <v>8608</v>
      </c>
      <c r="E1612" s="307" t="s">
        <v>3905</v>
      </c>
      <c r="F1612" s="307" t="s">
        <v>3906</v>
      </c>
      <c r="G1612" s="307" t="s">
        <v>3907</v>
      </c>
    </row>
    <row r="1613" spans="1:7" ht="13.5">
      <c r="A1613" s="307" t="s">
        <v>8609</v>
      </c>
      <c r="B1613" s="307" t="s">
        <v>8610</v>
      </c>
      <c r="C1613" s="307" t="s">
        <v>5814</v>
      </c>
      <c r="D1613" s="307" t="s">
        <v>8611</v>
      </c>
      <c r="E1613" s="307" t="s">
        <v>3905</v>
      </c>
      <c r="F1613" s="307" t="s">
        <v>3906</v>
      </c>
      <c r="G1613" s="307" t="s">
        <v>3907</v>
      </c>
    </row>
    <row r="1614" spans="1:7" ht="13.5">
      <c r="A1614" s="307" t="s">
        <v>8612</v>
      </c>
      <c r="B1614" s="307" t="s">
        <v>8613</v>
      </c>
      <c r="C1614" s="307" t="s">
        <v>5814</v>
      </c>
      <c r="D1614" s="307" t="s">
        <v>8614</v>
      </c>
      <c r="E1614" s="307" t="s">
        <v>3905</v>
      </c>
      <c r="F1614" s="307" t="s">
        <v>3906</v>
      </c>
      <c r="G1614" s="307" t="s">
        <v>3907</v>
      </c>
    </row>
    <row r="1615" spans="1:7" ht="13.5">
      <c r="A1615" s="307" t="s">
        <v>8615</v>
      </c>
      <c r="B1615" s="307" t="s">
        <v>8616</v>
      </c>
      <c r="C1615" s="307" t="s">
        <v>5814</v>
      </c>
      <c r="D1615" s="307" t="s">
        <v>8617</v>
      </c>
      <c r="E1615" s="307" t="s">
        <v>3905</v>
      </c>
      <c r="F1615" s="307" t="s">
        <v>3906</v>
      </c>
      <c r="G1615" s="307" t="s">
        <v>3907</v>
      </c>
    </row>
    <row r="1616" spans="1:7" ht="13.5">
      <c r="A1616" s="307" t="s">
        <v>8618</v>
      </c>
      <c r="B1616" s="307" t="s">
        <v>8619</v>
      </c>
      <c r="C1616" s="307" t="s">
        <v>5814</v>
      </c>
      <c r="D1616" s="307" t="s">
        <v>8620</v>
      </c>
      <c r="E1616" s="307" t="s">
        <v>3905</v>
      </c>
      <c r="F1616" s="307" t="s">
        <v>3906</v>
      </c>
      <c r="G1616" s="307" t="s">
        <v>3907</v>
      </c>
    </row>
    <row r="1617" spans="1:7" ht="13.5">
      <c r="A1617" s="307" t="s">
        <v>8621</v>
      </c>
      <c r="B1617" s="307" t="s">
        <v>8622</v>
      </c>
      <c r="C1617" s="307" t="s">
        <v>5814</v>
      </c>
      <c r="D1617" s="307" t="s">
        <v>8620</v>
      </c>
      <c r="E1617" s="307" t="s">
        <v>3905</v>
      </c>
      <c r="F1617" s="307" t="s">
        <v>3906</v>
      </c>
      <c r="G1617" s="307" t="s">
        <v>3907</v>
      </c>
    </row>
    <row r="1618" spans="1:7" ht="13.5">
      <c r="A1618" s="307" t="s">
        <v>8623</v>
      </c>
      <c r="B1618" s="307" t="s">
        <v>8624</v>
      </c>
      <c r="C1618" s="307" t="s">
        <v>5814</v>
      </c>
      <c r="D1618" s="307" t="s">
        <v>8625</v>
      </c>
      <c r="E1618" s="307" t="s">
        <v>3905</v>
      </c>
      <c r="F1618" s="307" t="s">
        <v>3906</v>
      </c>
      <c r="G1618" s="307" t="s">
        <v>3907</v>
      </c>
    </row>
    <row r="1619" spans="1:7" ht="13.5">
      <c r="A1619" s="307" t="s">
        <v>8626</v>
      </c>
      <c r="B1619" s="307" t="s">
        <v>8627</v>
      </c>
      <c r="C1619" s="307" t="s">
        <v>5814</v>
      </c>
      <c r="D1619" s="307" t="s">
        <v>8628</v>
      </c>
      <c r="E1619" s="307" t="s">
        <v>3905</v>
      </c>
      <c r="F1619" s="307" t="s">
        <v>3906</v>
      </c>
      <c r="G1619" s="307" t="s">
        <v>3907</v>
      </c>
    </row>
    <row r="1620" spans="1:7" ht="13.5">
      <c r="A1620" s="307" t="s">
        <v>8629</v>
      </c>
      <c r="B1620" s="307" t="s">
        <v>8630</v>
      </c>
      <c r="C1620" s="307" t="s">
        <v>5814</v>
      </c>
      <c r="D1620" s="307" t="s">
        <v>8631</v>
      </c>
      <c r="E1620" s="307" t="s">
        <v>3905</v>
      </c>
      <c r="F1620" s="307" t="s">
        <v>3906</v>
      </c>
      <c r="G1620" s="307" t="s">
        <v>3907</v>
      </c>
    </row>
    <row r="1621" spans="1:7" ht="13.5">
      <c r="A1621" s="307" t="s">
        <v>8632</v>
      </c>
      <c r="B1621" s="307" t="s">
        <v>8633</v>
      </c>
      <c r="C1621" s="307" t="s">
        <v>5814</v>
      </c>
      <c r="D1621" s="307" t="s">
        <v>8634</v>
      </c>
      <c r="E1621" s="307" t="s">
        <v>3905</v>
      </c>
      <c r="F1621" s="307" t="s">
        <v>3906</v>
      </c>
      <c r="G1621" s="307" t="s">
        <v>3907</v>
      </c>
    </row>
    <row r="1622" spans="1:7" ht="13.5">
      <c r="A1622" s="307" t="s">
        <v>8635</v>
      </c>
      <c r="B1622" s="307" t="s">
        <v>8636</v>
      </c>
      <c r="C1622" s="307" t="s">
        <v>5814</v>
      </c>
      <c r="D1622" s="307" t="s">
        <v>8637</v>
      </c>
      <c r="E1622" s="307" t="s">
        <v>3905</v>
      </c>
      <c r="F1622" s="307" t="s">
        <v>3906</v>
      </c>
      <c r="G1622" s="307" t="s">
        <v>3907</v>
      </c>
    </row>
    <row r="1623" spans="1:7" ht="13.5">
      <c r="A1623" s="307" t="s">
        <v>8638</v>
      </c>
      <c r="B1623" s="307" t="s">
        <v>8639</v>
      </c>
      <c r="C1623" s="307" t="s">
        <v>5814</v>
      </c>
      <c r="D1623" s="307" t="s">
        <v>8640</v>
      </c>
      <c r="E1623" s="307" t="s">
        <v>3905</v>
      </c>
      <c r="F1623" s="307" t="s">
        <v>3906</v>
      </c>
      <c r="G1623" s="307" t="s">
        <v>3907</v>
      </c>
    </row>
    <row r="1624" spans="1:7" ht="13.5">
      <c r="A1624" s="307" t="s">
        <v>8641</v>
      </c>
      <c r="B1624" s="307" t="s">
        <v>8642</v>
      </c>
      <c r="C1624" s="307" t="s">
        <v>5814</v>
      </c>
      <c r="D1624" s="307" t="s">
        <v>8643</v>
      </c>
      <c r="E1624" s="307" t="s">
        <v>3905</v>
      </c>
      <c r="F1624" s="307" t="s">
        <v>3906</v>
      </c>
      <c r="G1624" s="307" t="s">
        <v>3907</v>
      </c>
    </row>
    <row r="1625" spans="1:7" ht="13.5">
      <c r="A1625" s="307" t="s">
        <v>8644</v>
      </c>
      <c r="B1625" s="307" t="s">
        <v>8645</v>
      </c>
      <c r="C1625" s="307" t="s">
        <v>5814</v>
      </c>
      <c r="D1625" s="307" t="s">
        <v>8646</v>
      </c>
      <c r="E1625" s="307" t="s">
        <v>3905</v>
      </c>
      <c r="F1625" s="307" t="s">
        <v>3906</v>
      </c>
      <c r="G1625" s="307" t="s">
        <v>3907</v>
      </c>
    </row>
    <row r="1626" spans="1:7" ht="13.5">
      <c r="A1626" s="307" t="s">
        <v>8647</v>
      </c>
      <c r="B1626" s="307" t="s">
        <v>8648</v>
      </c>
      <c r="C1626" s="307" t="s">
        <v>5814</v>
      </c>
      <c r="D1626" s="307" t="s">
        <v>8649</v>
      </c>
      <c r="E1626" s="307" t="s">
        <v>3905</v>
      </c>
      <c r="F1626" s="307" t="s">
        <v>3906</v>
      </c>
      <c r="G1626" s="307" t="s">
        <v>3907</v>
      </c>
    </row>
    <row r="1627" spans="1:7" ht="13.5">
      <c r="A1627" s="307" t="s">
        <v>8650</v>
      </c>
      <c r="B1627" s="307" t="s">
        <v>8651</v>
      </c>
      <c r="C1627" s="307" t="s">
        <v>5814</v>
      </c>
      <c r="D1627" s="307" t="s">
        <v>8652</v>
      </c>
      <c r="E1627" s="307" t="s">
        <v>3905</v>
      </c>
      <c r="F1627" s="307" t="s">
        <v>3906</v>
      </c>
      <c r="G1627" s="307" t="s">
        <v>3907</v>
      </c>
    </row>
    <row r="1628" spans="1:7" ht="13.5">
      <c r="A1628" s="307" t="s">
        <v>8653</v>
      </c>
      <c r="B1628" s="307" t="s">
        <v>8654</v>
      </c>
      <c r="C1628" s="307" t="s">
        <v>5814</v>
      </c>
      <c r="D1628" s="307" t="s">
        <v>8655</v>
      </c>
      <c r="E1628" s="307" t="s">
        <v>3905</v>
      </c>
      <c r="F1628" s="307" t="s">
        <v>3906</v>
      </c>
      <c r="G1628" s="307" t="s">
        <v>3907</v>
      </c>
    </row>
    <row r="1629" spans="1:7" ht="13.5">
      <c r="A1629" s="307" t="s">
        <v>8656</v>
      </c>
      <c r="B1629" s="307" t="s">
        <v>8657</v>
      </c>
      <c r="C1629" s="307" t="s">
        <v>5814</v>
      </c>
      <c r="D1629" s="307" t="s">
        <v>8658</v>
      </c>
      <c r="E1629" s="307" t="s">
        <v>3905</v>
      </c>
      <c r="F1629" s="307" t="s">
        <v>3906</v>
      </c>
      <c r="G1629" s="307" t="s">
        <v>3907</v>
      </c>
    </row>
    <row r="1630" spans="1:7" ht="13.5">
      <c r="A1630" s="307" t="s">
        <v>8659</v>
      </c>
      <c r="B1630" s="307" t="s">
        <v>8660</v>
      </c>
      <c r="C1630" s="307" t="s">
        <v>5814</v>
      </c>
      <c r="D1630" s="307" t="s">
        <v>8661</v>
      </c>
      <c r="E1630" s="307" t="s">
        <v>3905</v>
      </c>
      <c r="F1630" s="307" t="s">
        <v>3906</v>
      </c>
      <c r="G1630" s="307" t="s">
        <v>3907</v>
      </c>
    </row>
    <row r="1631" spans="1:7" ht="13.5">
      <c r="A1631" s="307" t="s">
        <v>8662</v>
      </c>
      <c r="B1631" s="307" t="s">
        <v>8663</v>
      </c>
      <c r="C1631" s="307" t="s">
        <v>5814</v>
      </c>
      <c r="D1631" s="307" t="s">
        <v>8664</v>
      </c>
      <c r="E1631" s="307" t="s">
        <v>3905</v>
      </c>
      <c r="F1631" s="307" t="s">
        <v>3906</v>
      </c>
      <c r="G1631" s="307" t="s">
        <v>3907</v>
      </c>
    </row>
    <row r="1632" spans="1:7" ht="13.5">
      <c r="A1632" s="307" t="s">
        <v>8665</v>
      </c>
      <c r="B1632" s="307" t="s">
        <v>8666</v>
      </c>
      <c r="C1632" s="307" t="s">
        <v>5814</v>
      </c>
      <c r="D1632" s="307" t="s">
        <v>8667</v>
      </c>
      <c r="E1632" s="307" t="s">
        <v>3905</v>
      </c>
      <c r="F1632" s="307" t="s">
        <v>3906</v>
      </c>
      <c r="G1632" s="307" t="s">
        <v>3907</v>
      </c>
    </row>
    <row r="1633" spans="1:7" ht="13.5">
      <c r="A1633" s="307" t="s">
        <v>8668</v>
      </c>
      <c r="B1633" s="307" t="s">
        <v>8669</v>
      </c>
      <c r="C1633" s="307" t="s">
        <v>5814</v>
      </c>
      <c r="D1633" s="307" t="s">
        <v>8670</v>
      </c>
      <c r="E1633" s="307" t="s">
        <v>3905</v>
      </c>
      <c r="F1633" s="307" t="s">
        <v>3906</v>
      </c>
      <c r="G1633" s="307" t="s">
        <v>3907</v>
      </c>
    </row>
    <row r="1634" spans="1:7" ht="13.5">
      <c r="A1634" s="307" t="s">
        <v>8671</v>
      </c>
      <c r="B1634" s="307" t="s">
        <v>8672</v>
      </c>
      <c r="C1634" s="307" t="s">
        <v>5814</v>
      </c>
      <c r="D1634" s="307" t="s">
        <v>8673</v>
      </c>
      <c r="E1634" s="307" t="s">
        <v>3905</v>
      </c>
      <c r="F1634" s="307" t="s">
        <v>3906</v>
      </c>
      <c r="G1634" s="307" t="s">
        <v>3907</v>
      </c>
    </row>
    <row r="1635" spans="1:7" ht="13.5">
      <c r="A1635" s="307" t="s">
        <v>8674</v>
      </c>
      <c r="B1635" s="307" t="s">
        <v>8675</v>
      </c>
      <c r="C1635" s="307" t="s">
        <v>5814</v>
      </c>
      <c r="D1635" s="307" t="s">
        <v>8676</v>
      </c>
      <c r="E1635" s="307" t="s">
        <v>3905</v>
      </c>
      <c r="F1635" s="307" t="s">
        <v>3906</v>
      </c>
      <c r="G1635" s="307" t="s">
        <v>3907</v>
      </c>
    </row>
    <row r="1636" spans="1:7" ht="13.5">
      <c r="A1636" s="307" t="s">
        <v>8677</v>
      </c>
      <c r="B1636" s="307" t="s">
        <v>8678</v>
      </c>
      <c r="C1636" s="307" t="s">
        <v>5814</v>
      </c>
      <c r="D1636" s="307" t="s">
        <v>8679</v>
      </c>
      <c r="E1636" s="307" t="s">
        <v>4021</v>
      </c>
      <c r="F1636" s="307" t="s">
        <v>3906</v>
      </c>
      <c r="G1636" s="307" t="s">
        <v>3907</v>
      </c>
    </row>
    <row r="1637" spans="1:7" ht="13.5">
      <c r="A1637" s="307" t="s">
        <v>8680</v>
      </c>
      <c r="B1637" s="307" t="s">
        <v>8681</v>
      </c>
      <c r="C1637" s="307" t="s">
        <v>5814</v>
      </c>
      <c r="D1637" s="307" t="s">
        <v>8682</v>
      </c>
      <c r="E1637" s="307" t="s">
        <v>3905</v>
      </c>
      <c r="F1637" s="307" t="s">
        <v>3906</v>
      </c>
      <c r="G1637" s="307" t="s">
        <v>3907</v>
      </c>
    </row>
    <row r="1638" spans="1:7" ht="13.5">
      <c r="A1638" s="307" t="s">
        <v>8683</v>
      </c>
      <c r="B1638" s="307" t="s">
        <v>8684</v>
      </c>
      <c r="C1638" s="307" t="s">
        <v>5814</v>
      </c>
      <c r="D1638" s="307" t="s">
        <v>8685</v>
      </c>
      <c r="E1638" s="307" t="s">
        <v>3905</v>
      </c>
      <c r="F1638" s="307" t="s">
        <v>3906</v>
      </c>
      <c r="G1638" s="307" t="s">
        <v>3907</v>
      </c>
    </row>
    <row r="1639" spans="1:7" ht="13.5">
      <c r="A1639" s="307" t="s">
        <v>8686</v>
      </c>
      <c r="B1639" s="307" t="s">
        <v>8687</v>
      </c>
      <c r="C1639" s="307" t="s">
        <v>5814</v>
      </c>
      <c r="D1639" s="307" t="s">
        <v>8688</v>
      </c>
      <c r="E1639" s="307" t="s">
        <v>3905</v>
      </c>
      <c r="F1639" s="307" t="s">
        <v>3906</v>
      </c>
      <c r="G1639" s="307" t="s">
        <v>3907</v>
      </c>
    </row>
    <row r="1640" spans="1:7" ht="13.5">
      <c r="A1640" s="307" t="s">
        <v>8689</v>
      </c>
      <c r="B1640" s="307" t="s">
        <v>8690</v>
      </c>
      <c r="C1640" s="307" t="s">
        <v>5814</v>
      </c>
      <c r="D1640" s="307" t="s">
        <v>8691</v>
      </c>
      <c r="E1640" s="307" t="s">
        <v>4021</v>
      </c>
      <c r="F1640" s="307" t="s">
        <v>3906</v>
      </c>
      <c r="G1640" s="307" t="s">
        <v>3907</v>
      </c>
    </row>
    <row r="1641" spans="1:7" ht="13.5">
      <c r="A1641" s="307" t="s">
        <v>8692</v>
      </c>
      <c r="B1641" s="307" t="s">
        <v>8693</v>
      </c>
      <c r="C1641" s="307" t="s">
        <v>5814</v>
      </c>
      <c r="D1641" s="307" t="s">
        <v>8694</v>
      </c>
      <c r="E1641" s="307" t="s">
        <v>3905</v>
      </c>
      <c r="F1641" s="307" t="s">
        <v>3906</v>
      </c>
      <c r="G1641" s="307" t="s">
        <v>3907</v>
      </c>
    </row>
    <row r="1642" spans="1:7" ht="13.5">
      <c r="A1642" s="307" t="s">
        <v>8695</v>
      </c>
      <c r="B1642" s="307" t="s">
        <v>8696</v>
      </c>
      <c r="C1642" s="307" t="s">
        <v>5814</v>
      </c>
      <c r="D1642" s="307" t="s">
        <v>8697</v>
      </c>
      <c r="E1642" s="307" t="s">
        <v>3905</v>
      </c>
      <c r="F1642" s="307" t="s">
        <v>3906</v>
      </c>
      <c r="G1642" s="307" t="s">
        <v>3907</v>
      </c>
    </row>
    <row r="1643" spans="1:7" ht="13.5">
      <c r="A1643" s="307" t="s">
        <v>8698</v>
      </c>
      <c r="B1643" s="307" t="s">
        <v>8699</v>
      </c>
      <c r="C1643" s="307" t="s">
        <v>5814</v>
      </c>
      <c r="D1643" s="307" t="s">
        <v>8700</v>
      </c>
      <c r="E1643" s="307" t="s">
        <v>3905</v>
      </c>
      <c r="F1643" s="307" t="s">
        <v>3906</v>
      </c>
      <c r="G1643" s="307" t="s">
        <v>3907</v>
      </c>
    </row>
    <row r="1644" spans="1:7" ht="13.5">
      <c r="A1644" s="307" t="s">
        <v>8701</v>
      </c>
      <c r="B1644" s="307" t="s">
        <v>8702</v>
      </c>
      <c r="C1644" s="307" t="s">
        <v>5814</v>
      </c>
      <c r="D1644" s="307" t="s">
        <v>8703</v>
      </c>
      <c r="E1644" s="307" t="s">
        <v>3905</v>
      </c>
      <c r="F1644" s="307" t="s">
        <v>3906</v>
      </c>
      <c r="G1644" s="307" t="s">
        <v>3907</v>
      </c>
    </row>
    <row r="1645" spans="1:7" ht="13.5">
      <c r="A1645" s="307" t="s">
        <v>8704</v>
      </c>
      <c r="B1645" s="307" t="s">
        <v>8705</v>
      </c>
      <c r="C1645" s="307" t="s">
        <v>5814</v>
      </c>
      <c r="D1645" s="307" t="s">
        <v>8706</v>
      </c>
      <c r="E1645" s="307" t="s">
        <v>3905</v>
      </c>
      <c r="F1645" s="307" t="s">
        <v>3906</v>
      </c>
      <c r="G1645" s="307" t="s">
        <v>3907</v>
      </c>
    </row>
    <row r="1646" spans="1:7" ht="13.5">
      <c r="A1646" s="307" t="s">
        <v>8707</v>
      </c>
      <c r="B1646" s="307" t="s">
        <v>8708</v>
      </c>
      <c r="C1646" s="307" t="s">
        <v>5814</v>
      </c>
      <c r="D1646" s="307" t="s">
        <v>8709</v>
      </c>
      <c r="E1646" s="307" t="s">
        <v>3905</v>
      </c>
      <c r="F1646" s="307" t="s">
        <v>3906</v>
      </c>
      <c r="G1646" s="307" t="s">
        <v>3907</v>
      </c>
    </row>
    <row r="1647" spans="1:7" ht="13.5">
      <c r="A1647" s="307" t="s">
        <v>8710</v>
      </c>
      <c r="B1647" s="307" t="s">
        <v>8711</v>
      </c>
      <c r="C1647" s="307" t="s">
        <v>5814</v>
      </c>
      <c r="D1647" s="307" t="s">
        <v>8712</v>
      </c>
      <c r="E1647" s="307" t="s">
        <v>3905</v>
      </c>
      <c r="F1647" s="307" t="s">
        <v>3906</v>
      </c>
      <c r="G1647" s="307" t="s">
        <v>3907</v>
      </c>
    </row>
    <row r="1648" spans="1:7" ht="13.5">
      <c r="A1648" s="307" t="s">
        <v>8713</v>
      </c>
      <c r="B1648" s="307" t="s">
        <v>8714</v>
      </c>
      <c r="C1648" s="307" t="s">
        <v>5814</v>
      </c>
      <c r="D1648" s="307" t="s">
        <v>8715</v>
      </c>
      <c r="E1648" s="307" t="s">
        <v>3905</v>
      </c>
      <c r="F1648" s="307" t="s">
        <v>3906</v>
      </c>
      <c r="G1648" s="307" t="s">
        <v>3907</v>
      </c>
    </row>
    <row r="1649" spans="1:7" ht="13.5">
      <c r="A1649" s="307" t="s">
        <v>8716</v>
      </c>
      <c r="B1649" s="307" t="s">
        <v>8717</v>
      </c>
      <c r="C1649" s="307" t="s">
        <v>5814</v>
      </c>
      <c r="D1649" s="307" t="s">
        <v>8718</v>
      </c>
      <c r="E1649" s="307" t="s">
        <v>3905</v>
      </c>
      <c r="F1649" s="307" t="s">
        <v>3906</v>
      </c>
      <c r="G1649" s="307" t="s">
        <v>3907</v>
      </c>
    </row>
    <row r="1650" spans="1:7" ht="13.5">
      <c r="A1650" s="307" t="s">
        <v>8719</v>
      </c>
      <c r="B1650" s="307" t="s">
        <v>8720</v>
      </c>
      <c r="C1650" s="307" t="s">
        <v>5814</v>
      </c>
      <c r="D1650" s="307" t="s">
        <v>8721</v>
      </c>
      <c r="E1650" s="307" t="s">
        <v>3905</v>
      </c>
      <c r="F1650" s="307" t="s">
        <v>3906</v>
      </c>
      <c r="G1650" s="307" t="s">
        <v>3907</v>
      </c>
    </row>
    <row r="1651" spans="1:7" ht="13.5">
      <c r="A1651" s="307" t="s">
        <v>8722</v>
      </c>
      <c r="B1651" s="307" t="s">
        <v>8723</v>
      </c>
      <c r="C1651" s="307" t="s">
        <v>5814</v>
      </c>
      <c r="D1651" s="307" t="s">
        <v>8724</v>
      </c>
      <c r="E1651" s="307" t="s">
        <v>3905</v>
      </c>
      <c r="F1651" s="307" t="s">
        <v>3906</v>
      </c>
      <c r="G1651" s="307" t="s">
        <v>3907</v>
      </c>
    </row>
    <row r="1652" spans="1:7" ht="13.5">
      <c r="A1652" s="307" t="s">
        <v>8725</v>
      </c>
      <c r="B1652" s="307" t="s">
        <v>8726</v>
      </c>
      <c r="C1652" s="307" t="s">
        <v>5814</v>
      </c>
      <c r="D1652" s="307" t="s">
        <v>8727</v>
      </c>
      <c r="E1652" s="307" t="s">
        <v>3905</v>
      </c>
      <c r="F1652" s="307" t="s">
        <v>3906</v>
      </c>
      <c r="G1652" s="307" t="s">
        <v>3907</v>
      </c>
    </row>
    <row r="1653" spans="1:7" ht="13.5">
      <c r="A1653" s="307" t="s">
        <v>8728</v>
      </c>
      <c r="B1653" s="307" t="s">
        <v>8729</v>
      </c>
      <c r="C1653" s="307" t="s">
        <v>5814</v>
      </c>
      <c r="D1653" s="307" t="s">
        <v>8730</v>
      </c>
      <c r="E1653" s="307" t="s">
        <v>3905</v>
      </c>
      <c r="F1653" s="307" t="s">
        <v>3906</v>
      </c>
      <c r="G1653" s="307" t="s">
        <v>3907</v>
      </c>
    </row>
    <row r="1654" spans="1:7" ht="13.5">
      <c r="A1654" s="307" t="s">
        <v>8731</v>
      </c>
      <c r="B1654" s="307" t="s">
        <v>8732</v>
      </c>
      <c r="C1654" s="307" t="s">
        <v>5814</v>
      </c>
      <c r="D1654" s="307" t="s">
        <v>8733</v>
      </c>
      <c r="E1654" s="307" t="s">
        <v>3905</v>
      </c>
      <c r="F1654" s="307" t="s">
        <v>3906</v>
      </c>
      <c r="G1654" s="307" t="s">
        <v>3907</v>
      </c>
    </row>
    <row r="1655" spans="1:7" ht="13.5">
      <c r="A1655" s="307" t="s">
        <v>8734</v>
      </c>
      <c r="B1655" s="307" t="s">
        <v>8735</v>
      </c>
      <c r="C1655" s="307" t="s">
        <v>5814</v>
      </c>
      <c r="D1655" s="307" t="s">
        <v>8736</v>
      </c>
      <c r="E1655" s="307" t="s">
        <v>3905</v>
      </c>
      <c r="F1655" s="307" t="s">
        <v>3906</v>
      </c>
      <c r="G1655" s="307" t="s">
        <v>3907</v>
      </c>
    </row>
    <row r="1656" spans="1:7" ht="13.5">
      <c r="A1656" s="307" t="s">
        <v>8737</v>
      </c>
      <c r="B1656" s="307" t="s">
        <v>8738</v>
      </c>
      <c r="C1656" s="307" t="s">
        <v>5814</v>
      </c>
      <c r="D1656" s="307" t="s">
        <v>8739</v>
      </c>
      <c r="E1656" s="307" t="s">
        <v>3905</v>
      </c>
      <c r="F1656" s="307" t="s">
        <v>3906</v>
      </c>
      <c r="G1656" s="307" t="s">
        <v>3907</v>
      </c>
    </row>
    <row r="1657" spans="1:7" ht="13.5">
      <c r="A1657" s="307" t="s">
        <v>8740</v>
      </c>
      <c r="B1657" s="307" t="s">
        <v>8741</v>
      </c>
      <c r="C1657" s="307" t="s">
        <v>5814</v>
      </c>
      <c r="D1657" s="307" t="s">
        <v>8742</v>
      </c>
      <c r="E1657" s="307" t="s">
        <v>3905</v>
      </c>
      <c r="F1657" s="307" t="s">
        <v>3906</v>
      </c>
      <c r="G1657" s="307" t="s">
        <v>3907</v>
      </c>
    </row>
    <row r="1658" spans="1:7" ht="13.5">
      <c r="A1658" s="307" t="s">
        <v>8743</v>
      </c>
      <c r="B1658" s="307" t="s">
        <v>8744</v>
      </c>
      <c r="C1658" s="307" t="s">
        <v>5814</v>
      </c>
      <c r="D1658" s="307" t="s">
        <v>8745</v>
      </c>
      <c r="E1658" s="307" t="s">
        <v>3905</v>
      </c>
      <c r="F1658" s="307" t="s">
        <v>3906</v>
      </c>
      <c r="G1658" s="307" t="s">
        <v>3907</v>
      </c>
    </row>
    <row r="1659" spans="1:7" ht="13.5">
      <c r="A1659" s="307" t="s">
        <v>8746</v>
      </c>
      <c r="B1659" s="307" t="s">
        <v>8747</v>
      </c>
      <c r="C1659" s="307" t="s">
        <v>5814</v>
      </c>
      <c r="D1659" s="307" t="s">
        <v>8748</v>
      </c>
      <c r="E1659" s="307" t="s">
        <v>3905</v>
      </c>
      <c r="F1659" s="307" t="s">
        <v>3906</v>
      </c>
      <c r="G1659" s="307" t="s">
        <v>3907</v>
      </c>
    </row>
    <row r="1660" spans="1:7" ht="13.5">
      <c r="A1660" s="307" t="s">
        <v>8749</v>
      </c>
      <c r="B1660" s="307" t="s">
        <v>8750</v>
      </c>
      <c r="C1660" s="307" t="s">
        <v>5814</v>
      </c>
      <c r="D1660" s="307" t="s">
        <v>8751</v>
      </c>
      <c r="E1660" s="307" t="s">
        <v>3905</v>
      </c>
      <c r="F1660" s="307" t="s">
        <v>3906</v>
      </c>
      <c r="G1660" s="307" t="s">
        <v>3907</v>
      </c>
    </row>
    <row r="1661" spans="1:7" ht="13.5">
      <c r="A1661" s="307" t="s">
        <v>8752</v>
      </c>
      <c r="B1661" s="307" t="s">
        <v>8753</v>
      </c>
      <c r="C1661" s="307" t="s">
        <v>5814</v>
      </c>
      <c r="D1661" s="307" t="s">
        <v>8754</v>
      </c>
      <c r="E1661" s="307" t="s">
        <v>3905</v>
      </c>
      <c r="F1661" s="307" t="s">
        <v>3906</v>
      </c>
      <c r="G1661" s="307" t="s">
        <v>3907</v>
      </c>
    </row>
    <row r="1662" spans="1:7" ht="13.5">
      <c r="A1662" s="307" t="s">
        <v>8755</v>
      </c>
      <c r="B1662" s="307" t="s">
        <v>8756</v>
      </c>
      <c r="C1662" s="307" t="s">
        <v>5814</v>
      </c>
      <c r="D1662" s="307" t="s">
        <v>8757</v>
      </c>
      <c r="E1662" s="307" t="s">
        <v>3905</v>
      </c>
      <c r="F1662" s="307" t="s">
        <v>3906</v>
      </c>
      <c r="G1662" s="307" t="s">
        <v>3907</v>
      </c>
    </row>
    <row r="1663" spans="1:7" ht="13.5">
      <c r="A1663" s="307" t="s">
        <v>8758</v>
      </c>
      <c r="B1663" s="307" t="s">
        <v>8759</v>
      </c>
      <c r="C1663" s="307" t="s">
        <v>5814</v>
      </c>
      <c r="D1663" s="307" t="s">
        <v>8760</v>
      </c>
      <c r="E1663" s="307" t="s">
        <v>3905</v>
      </c>
      <c r="F1663" s="307" t="s">
        <v>3906</v>
      </c>
      <c r="G1663" s="307" t="s">
        <v>3907</v>
      </c>
    </row>
    <row r="1664" spans="1:7" ht="13.5">
      <c r="A1664" s="307" t="s">
        <v>8761</v>
      </c>
      <c r="B1664" s="307" t="s">
        <v>8762</v>
      </c>
      <c r="C1664" s="307" t="s">
        <v>5814</v>
      </c>
      <c r="D1664" s="307" t="s">
        <v>8763</v>
      </c>
      <c r="E1664" s="307" t="s">
        <v>3905</v>
      </c>
      <c r="F1664" s="307" t="s">
        <v>3906</v>
      </c>
      <c r="G1664" s="307" t="s">
        <v>3907</v>
      </c>
    </row>
    <row r="1665" spans="1:7" ht="13.5">
      <c r="A1665" s="307" t="s">
        <v>8764</v>
      </c>
      <c r="B1665" s="307" t="s">
        <v>8765</v>
      </c>
      <c r="C1665" s="307" t="s">
        <v>5814</v>
      </c>
      <c r="D1665" s="307" t="s">
        <v>8766</v>
      </c>
      <c r="E1665" s="307" t="s">
        <v>3905</v>
      </c>
      <c r="F1665" s="307" t="s">
        <v>3906</v>
      </c>
      <c r="G1665" s="307" t="s">
        <v>3907</v>
      </c>
    </row>
    <row r="1666" spans="1:7" ht="13.5">
      <c r="A1666" s="307" t="s">
        <v>8767</v>
      </c>
      <c r="B1666" s="307" t="s">
        <v>8768</v>
      </c>
      <c r="C1666" s="307" t="s">
        <v>5814</v>
      </c>
      <c r="D1666" s="307" t="s">
        <v>8769</v>
      </c>
      <c r="E1666" s="307" t="s">
        <v>3905</v>
      </c>
      <c r="F1666" s="307" t="s">
        <v>3906</v>
      </c>
      <c r="G1666" s="307" t="s">
        <v>3907</v>
      </c>
    </row>
    <row r="1667" spans="1:7" ht="13.5">
      <c r="A1667" s="307" t="s">
        <v>8770</v>
      </c>
      <c r="B1667" s="307" t="s">
        <v>8771</v>
      </c>
      <c r="C1667" s="307" t="s">
        <v>5814</v>
      </c>
      <c r="D1667" s="307" t="s">
        <v>8772</v>
      </c>
      <c r="E1667" s="307" t="s">
        <v>3905</v>
      </c>
      <c r="F1667" s="307" t="s">
        <v>3906</v>
      </c>
      <c r="G1667" s="307" t="s">
        <v>3907</v>
      </c>
    </row>
    <row r="1668" spans="1:7" ht="13.5">
      <c r="A1668" s="307" t="s">
        <v>8773</v>
      </c>
      <c r="B1668" s="307" t="s">
        <v>8774</v>
      </c>
      <c r="C1668" s="307" t="s">
        <v>5814</v>
      </c>
      <c r="D1668" s="307" t="s">
        <v>8775</v>
      </c>
      <c r="E1668" s="307" t="s">
        <v>3905</v>
      </c>
      <c r="F1668" s="307" t="s">
        <v>3906</v>
      </c>
      <c r="G1668" s="307" t="s">
        <v>3907</v>
      </c>
    </row>
    <row r="1669" spans="1:7" ht="13.5">
      <c r="A1669" s="307" t="s">
        <v>8776</v>
      </c>
      <c r="B1669" s="307" t="s">
        <v>8777</v>
      </c>
      <c r="C1669" s="307" t="s">
        <v>5814</v>
      </c>
      <c r="D1669" s="307" t="s">
        <v>8778</v>
      </c>
      <c r="E1669" s="307" t="s">
        <v>3905</v>
      </c>
      <c r="F1669" s="307" t="s">
        <v>3906</v>
      </c>
      <c r="G1669" s="307" t="s">
        <v>3907</v>
      </c>
    </row>
    <row r="1670" spans="1:7" ht="13.5">
      <c r="A1670" s="307" t="s">
        <v>8779</v>
      </c>
      <c r="B1670" s="307" t="s">
        <v>8780</v>
      </c>
      <c r="C1670" s="307" t="s">
        <v>5814</v>
      </c>
      <c r="D1670" s="307" t="s">
        <v>8781</v>
      </c>
      <c r="E1670" s="307" t="s">
        <v>3905</v>
      </c>
      <c r="F1670" s="307" t="s">
        <v>3906</v>
      </c>
      <c r="G1670" s="307" t="s">
        <v>3907</v>
      </c>
    </row>
    <row r="1671" spans="1:7" ht="13.5">
      <c r="A1671" s="307" t="s">
        <v>8782</v>
      </c>
      <c r="B1671" s="307" t="s">
        <v>8783</v>
      </c>
      <c r="C1671" s="307" t="s">
        <v>5814</v>
      </c>
      <c r="D1671" s="307" t="s">
        <v>8784</v>
      </c>
      <c r="E1671" s="307" t="s">
        <v>3905</v>
      </c>
      <c r="F1671" s="307" t="s">
        <v>3906</v>
      </c>
      <c r="G1671" s="307" t="s">
        <v>3907</v>
      </c>
    </row>
    <row r="1672" spans="1:7" ht="13.5">
      <c r="A1672" s="307" t="s">
        <v>8785</v>
      </c>
      <c r="B1672" s="307" t="s">
        <v>8786</v>
      </c>
      <c r="C1672" s="307" t="s">
        <v>5814</v>
      </c>
      <c r="D1672" s="307" t="s">
        <v>8787</v>
      </c>
      <c r="E1672" s="307" t="s">
        <v>3905</v>
      </c>
      <c r="F1672" s="307" t="s">
        <v>3906</v>
      </c>
      <c r="G1672" s="307" t="s">
        <v>3907</v>
      </c>
    </row>
    <row r="1673" spans="1:7" ht="13.5">
      <c r="A1673" s="307" t="s">
        <v>8788</v>
      </c>
      <c r="B1673" s="307" t="s">
        <v>8789</v>
      </c>
      <c r="C1673" s="307" t="s">
        <v>5814</v>
      </c>
      <c r="D1673" s="307" t="s">
        <v>8790</v>
      </c>
      <c r="E1673" s="307" t="s">
        <v>3905</v>
      </c>
      <c r="F1673" s="307" t="s">
        <v>3906</v>
      </c>
      <c r="G1673" s="307" t="s">
        <v>3907</v>
      </c>
    </row>
    <row r="1674" spans="1:7" ht="13.5">
      <c r="A1674" s="307" t="s">
        <v>8791</v>
      </c>
      <c r="B1674" s="307" t="s">
        <v>8792</v>
      </c>
      <c r="C1674" s="307" t="s">
        <v>5814</v>
      </c>
      <c r="D1674" s="307" t="s">
        <v>8793</v>
      </c>
      <c r="E1674" s="307" t="s">
        <v>3905</v>
      </c>
      <c r="F1674" s="307" t="s">
        <v>3906</v>
      </c>
      <c r="G1674" s="307" t="s">
        <v>3907</v>
      </c>
    </row>
    <row r="1675" spans="1:7" ht="13.5">
      <c r="A1675" s="307" t="s">
        <v>8794</v>
      </c>
      <c r="B1675" s="307" t="s">
        <v>8795</v>
      </c>
      <c r="C1675" s="307" t="s">
        <v>5814</v>
      </c>
      <c r="D1675" s="307" t="s">
        <v>8796</v>
      </c>
      <c r="E1675" s="307" t="s">
        <v>3905</v>
      </c>
      <c r="F1675" s="307" t="s">
        <v>3906</v>
      </c>
      <c r="G1675" s="307" t="s">
        <v>3907</v>
      </c>
    </row>
    <row r="1676" spans="1:7" ht="13.5">
      <c r="A1676" s="307" t="s">
        <v>8797</v>
      </c>
      <c r="B1676" s="307" t="s">
        <v>2359</v>
      </c>
      <c r="C1676" s="307" t="s">
        <v>5814</v>
      </c>
      <c r="D1676" s="307" t="s">
        <v>8798</v>
      </c>
      <c r="E1676" s="307" t="s">
        <v>3905</v>
      </c>
      <c r="F1676" s="307" t="s">
        <v>3906</v>
      </c>
      <c r="G1676" s="307" t="s">
        <v>3907</v>
      </c>
    </row>
    <row r="1677" spans="1:7" ht="13.5">
      <c r="A1677" s="307" t="s">
        <v>8799</v>
      </c>
      <c r="B1677" s="307" t="s">
        <v>8800</v>
      </c>
      <c r="C1677" s="307" t="s">
        <v>5814</v>
      </c>
      <c r="D1677" s="307" t="s">
        <v>8801</v>
      </c>
      <c r="E1677" s="307" t="s">
        <v>3905</v>
      </c>
      <c r="F1677" s="307" t="s">
        <v>3906</v>
      </c>
      <c r="G1677" s="307" t="s">
        <v>3907</v>
      </c>
    </row>
    <row r="1678" spans="1:7" ht="13.5">
      <c r="A1678" s="307" t="s">
        <v>8802</v>
      </c>
      <c r="B1678" s="307" t="s">
        <v>8803</v>
      </c>
      <c r="C1678" s="307" t="s">
        <v>5814</v>
      </c>
      <c r="D1678" s="307" t="s">
        <v>8804</v>
      </c>
      <c r="E1678" s="307" t="s">
        <v>3905</v>
      </c>
      <c r="F1678" s="307" t="s">
        <v>3906</v>
      </c>
      <c r="G1678" s="307" t="s">
        <v>3907</v>
      </c>
    </row>
    <row r="1679" spans="1:7" ht="13.5">
      <c r="A1679" s="307" t="s">
        <v>8805</v>
      </c>
      <c r="B1679" s="307" t="s">
        <v>8806</v>
      </c>
      <c r="C1679" s="307" t="s">
        <v>5814</v>
      </c>
      <c r="D1679" s="307" t="s">
        <v>8807</v>
      </c>
      <c r="E1679" s="307" t="s">
        <v>3905</v>
      </c>
      <c r="F1679" s="307" t="s">
        <v>3906</v>
      </c>
      <c r="G1679" s="307" t="s">
        <v>3907</v>
      </c>
    </row>
    <row r="1680" spans="1:7" ht="13.5">
      <c r="A1680" s="307" t="s">
        <v>8808</v>
      </c>
      <c r="B1680" s="307" t="s">
        <v>8809</v>
      </c>
      <c r="C1680" s="307" t="s">
        <v>5814</v>
      </c>
      <c r="D1680" s="307" t="s">
        <v>8810</v>
      </c>
      <c r="E1680" s="307" t="s">
        <v>3905</v>
      </c>
      <c r="F1680" s="307" t="s">
        <v>3906</v>
      </c>
      <c r="G1680" s="307" t="s">
        <v>3907</v>
      </c>
    </row>
    <row r="1681" spans="1:7" ht="13.5">
      <c r="A1681" s="307" t="s">
        <v>8811</v>
      </c>
      <c r="B1681" s="307" t="s">
        <v>8812</v>
      </c>
      <c r="C1681" s="307" t="s">
        <v>5814</v>
      </c>
      <c r="D1681" s="307" t="s">
        <v>8813</v>
      </c>
      <c r="E1681" s="307" t="s">
        <v>3905</v>
      </c>
      <c r="F1681" s="307" t="s">
        <v>3906</v>
      </c>
      <c r="G1681" s="307" t="s">
        <v>3907</v>
      </c>
    </row>
    <row r="1682" spans="1:7" ht="13.5">
      <c r="A1682" s="307" t="s">
        <v>8814</v>
      </c>
      <c r="B1682" s="307" t="s">
        <v>8815</v>
      </c>
      <c r="C1682" s="307" t="s">
        <v>5814</v>
      </c>
      <c r="D1682" s="307" t="s">
        <v>8816</v>
      </c>
      <c r="E1682" s="307" t="s">
        <v>3905</v>
      </c>
      <c r="F1682" s="307" t="s">
        <v>3906</v>
      </c>
      <c r="G1682" s="307" t="s">
        <v>3907</v>
      </c>
    </row>
    <row r="1683" spans="1:7" ht="13.5">
      <c r="A1683" s="307" t="s">
        <v>8817</v>
      </c>
      <c r="B1683" s="307" t="s">
        <v>8818</v>
      </c>
      <c r="C1683" s="307" t="s">
        <v>5814</v>
      </c>
      <c r="D1683" s="307" t="s">
        <v>8819</v>
      </c>
      <c r="E1683" s="307" t="s">
        <v>3905</v>
      </c>
      <c r="F1683" s="307" t="s">
        <v>3906</v>
      </c>
      <c r="G1683" s="307" t="s">
        <v>3907</v>
      </c>
    </row>
    <row r="1684" spans="1:7" ht="13.5">
      <c r="A1684" s="307" t="s">
        <v>8820</v>
      </c>
      <c r="B1684" s="307" t="s">
        <v>8821</v>
      </c>
      <c r="C1684" s="307" t="s">
        <v>5814</v>
      </c>
      <c r="D1684" s="307" t="s">
        <v>8822</v>
      </c>
      <c r="E1684" s="307" t="s">
        <v>4021</v>
      </c>
      <c r="F1684" s="307" t="s">
        <v>3906</v>
      </c>
      <c r="G1684" s="307" t="s">
        <v>3907</v>
      </c>
    </row>
    <row r="1685" spans="1:7" ht="13.5">
      <c r="A1685" s="307" t="s">
        <v>8823</v>
      </c>
      <c r="B1685" s="307" t="s">
        <v>8824</v>
      </c>
      <c r="C1685" s="307" t="s">
        <v>5814</v>
      </c>
      <c r="D1685" s="307" t="s">
        <v>8825</v>
      </c>
      <c r="E1685" s="307" t="s">
        <v>3905</v>
      </c>
      <c r="F1685" s="307" t="s">
        <v>3906</v>
      </c>
      <c r="G1685" s="307" t="s">
        <v>3907</v>
      </c>
    </row>
    <row r="1686" spans="1:7" ht="13.5">
      <c r="A1686" s="307" t="s">
        <v>8826</v>
      </c>
      <c r="B1686" s="307" t="s">
        <v>8827</v>
      </c>
      <c r="C1686" s="307" t="s">
        <v>5814</v>
      </c>
      <c r="D1686" s="307" t="s">
        <v>8828</v>
      </c>
      <c r="E1686" s="307" t="s">
        <v>3905</v>
      </c>
      <c r="F1686" s="307" t="s">
        <v>3906</v>
      </c>
      <c r="G1686" s="307" t="s">
        <v>3907</v>
      </c>
    </row>
    <row r="1687" spans="1:7" ht="13.5">
      <c r="A1687" s="307" t="s">
        <v>8829</v>
      </c>
      <c r="B1687" s="307" t="s">
        <v>8830</v>
      </c>
      <c r="C1687" s="307" t="s">
        <v>5814</v>
      </c>
      <c r="D1687" s="307" t="s">
        <v>8831</v>
      </c>
      <c r="E1687" s="307" t="s">
        <v>3905</v>
      </c>
      <c r="F1687" s="307" t="s">
        <v>3906</v>
      </c>
      <c r="G1687" s="307" t="s">
        <v>3907</v>
      </c>
    </row>
    <row r="1688" spans="1:7" ht="13.5">
      <c r="A1688" s="307" t="s">
        <v>8832</v>
      </c>
      <c r="B1688" s="307" t="s">
        <v>8833</v>
      </c>
      <c r="C1688" s="307" t="s">
        <v>5814</v>
      </c>
      <c r="D1688" s="307" t="s">
        <v>8834</v>
      </c>
      <c r="E1688" s="307" t="s">
        <v>3905</v>
      </c>
      <c r="F1688" s="307" t="s">
        <v>3906</v>
      </c>
      <c r="G1688" s="307" t="s">
        <v>3907</v>
      </c>
    </row>
    <row r="1689" spans="1:7" ht="13.5">
      <c r="A1689" s="307" t="s">
        <v>8835</v>
      </c>
      <c r="B1689" s="307" t="s">
        <v>8836</v>
      </c>
      <c r="C1689" s="307" t="s">
        <v>5814</v>
      </c>
      <c r="D1689" s="307" t="s">
        <v>8837</v>
      </c>
      <c r="E1689" s="307" t="s">
        <v>3905</v>
      </c>
      <c r="F1689" s="307" t="s">
        <v>3906</v>
      </c>
      <c r="G1689" s="307" t="s">
        <v>3907</v>
      </c>
    </row>
    <row r="1690" spans="1:7" ht="13.5">
      <c r="A1690" s="307" t="s">
        <v>8838</v>
      </c>
      <c r="B1690" s="307" t="s">
        <v>8839</v>
      </c>
      <c r="C1690" s="307" t="s">
        <v>5814</v>
      </c>
      <c r="D1690" s="307" t="s">
        <v>8840</v>
      </c>
      <c r="E1690" s="307" t="s">
        <v>3905</v>
      </c>
      <c r="F1690" s="307" t="s">
        <v>3906</v>
      </c>
      <c r="G1690" s="307" t="s">
        <v>3907</v>
      </c>
    </row>
    <row r="1691" spans="1:7" ht="13.5">
      <c r="A1691" s="307" t="s">
        <v>8841</v>
      </c>
      <c r="B1691" s="307" t="s">
        <v>8842</v>
      </c>
      <c r="C1691" s="307" t="s">
        <v>5814</v>
      </c>
      <c r="D1691" s="307" t="s">
        <v>8843</v>
      </c>
      <c r="E1691" s="307" t="s">
        <v>3905</v>
      </c>
      <c r="F1691" s="307" t="s">
        <v>3906</v>
      </c>
      <c r="G1691" s="307" t="s">
        <v>3907</v>
      </c>
    </row>
    <row r="1692" spans="1:7" ht="13.5">
      <c r="A1692" s="307" t="s">
        <v>8844</v>
      </c>
      <c r="B1692" s="307" t="s">
        <v>8845</v>
      </c>
      <c r="C1692" s="307" t="s">
        <v>5814</v>
      </c>
      <c r="D1692" s="307" t="s">
        <v>8846</v>
      </c>
      <c r="E1692" s="307" t="s">
        <v>3905</v>
      </c>
      <c r="F1692" s="307" t="s">
        <v>3906</v>
      </c>
      <c r="G1692" s="307" t="s">
        <v>3907</v>
      </c>
    </row>
    <row r="1693" spans="1:7" ht="13.5">
      <c r="A1693" s="307" t="s">
        <v>8847</v>
      </c>
      <c r="B1693" s="307" t="s">
        <v>8848</v>
      </c>
      <c r="C1693" s="307" t="s">
        <v>5814</v>
      </c>
      <c r="D1693" s="307" t="s">
        <v>8849</v>
      </c>
      <c r="E1693" s="307" t="s">
        <v>3905</v>
      </c>
      <c r="F1693" s="307" t="s">
        <v>3906</v>
      </c>
      <c r="G1693" s="307" t="s">
        <v>3907</v>
      </c>
    </row>
    <row r="1694" spans="1:7" ht="13.5">
      <c r="A1694" s="307" t="s">
        <v>8850</v>
      </c>
      <c r="B1694" s="307" t="s">
        <v>8851</v>
      </c>
      <c r="C1694" s="307" t="s">
        <v>5814</v>
      </c>
      <c r="D1694" s="307" t="s">
        <v>8852</v>
      </c>
      <c r="E1694" s="307" t="s">
        <v>3905</v>
      </c>
      <c r="F1694" s="307" t="s">
        <v>3906</v>
      </c>
      <c r="G1694" s="307" t="s">
        <v>3907</v>
      </c>
    </row>
    <row r="1695" spans="1:7" ht="13.5">
      <c r="A1695" s="307" t="s">
        <v>8853</v>
      </c>
      <c r="B1695" s="307" t="s">
        <v>8854</v>
      </c>
      <c r="C1695" s="307" t="s">
        <v>5814</v>
      </c>
      <c r="D1695" s="307" t="s">
        <v>8855</v>
      </c>
      <c r="E1695" s="307" t="s">
        <v>3905</v>
      </c>
      <c r="F1695" s="307" t="s">
        <v>3906</v>
      </c>
      <c r="G1695" s="307" t="s">
        <v>3907</v>
      </c>
    </row>
    <row r="1696" spans="1:7" ht="13.5">
      <c r="A1696" s="307" t="s">
        <v>8856</v>
      </c>
      <c r="B1696" s="307" t="s">
        <v>8857</v>
      </c>
      <c r="C1696" s="307" t="s">
        <v>5814</v>
      </c>
      <c r="D1696" s="307" t="s">
        <v>8858</v>
      </c>
      <c r="E1696" s="307" t="s">
        <v>3905</v>
      </c>
      <c r="F1696" s="307" t="s">
        <v>3906</v>
      </c>
      <c r="G1696" s="307" t="s">
        <v>3907</v>
      </c>
    </row>
    <row r="1697" spans="1:7" ht="13.5">
      <c r="A1697" s="307" t="s">
        <v>8859</v>
      </c>
      <c r="B1697" s="307" t="s">
        <v>8860</v>
      </c>
      <c r="C1697" s="307" t="s">
        <v>5814</v>
      </c>
      <c r="D1697" s="307" t="s">
        <v>8861</v>
      </c>
      <c r="E1697" s="307" t="s">
        <v>3905</v>
      </c>
      <c r="F1697" s="307" t="s">
        <v>3906</v>
      </c>
      <c r="G1697" s="307" t="s">
        <v>3907</v>
      </c>
    </row>
    <row r="1698" spans="1:7" ht="13.5">
      <c r="A1698" s="307" t="s">
        <v>8862</v>
      </c>
      <c r="B1698" s="307" t="s">
        <v>8863</v>
      </c>
      <c r="C1698" s="307" t="s">
        <v>5814</v>
      </c>
      <c r="D1698" s="307" t="s">
        <v>8864</v>
      </c>
      <c r="E1698" s="307" t="s">
        <v>3905</v>
      </c>
      <c r="F1698" s="307" t="s">
        <v>3906</v>
      </c>
      <c r="G1698" s="307" t="s">
        <v>3907</v>
      </c>
    </row>
    <row r="1699" spans="1:7" ht="13.5">
      <c r="A1699" s="307" t="s">
        <v>8865</v>
      </c>
      <c r="B1699" s="307" t="s">
        <v>8866</v>
      </c>
      <c r="C1699" s="307" t="s">
        <v>5814</v>
      </c>
      <c r="D1699" s="307" t="s">
        <v>8867</v>
      </c>
      <c r="E1699" s="307" t="s">
        <v>3905</v>
      </c>
      <c r="F1699" s="307" t="s">
        <v>3906</v>
      </c>
      <c r="G1699" s="307" t="s">
        <v>3907</v>
      </c>
    </row>
    <row r="1700" spans="1:7" ht="13.5">
      <c r="A1700" s="307" t="s">
        <v>8868</v>
      </c>
      <c r="B1700" s="307" t="s">
        <v>8869</v>
      </c>
      <c r="C1700" s="307" t="s">
        <v>5814</v>
      </c>
      <c r="D1700" s="307" t="s">
        <v>8870</v>
      </c>
      <c r="E1700" s="307" t="s">
        <v>3905</v>
      </c>
      <c r="F1700" s="307" t="s">
        <v>3906</v>
      </c>
      <c r="G1700" s="307" t="s">
        <v>3907</v>
      </c>
    </row>
    <row r="1701" spans="1:7" ht="13.5">
      <c r="A1701" s="307" t="s">
        <v>8871</v>
      </c>
      <c r="B1701" s="307" t="s">
        <v>8872</v>
      </c>
      <c r="C1701" s="307" t="s">
        <v>5814</v>
      </c>
      <c r="D1701" s="307" t="s">
        <v>8873</v>
      </c>
      <c r="E1701" s="307" t="s">
        <v>3905</v>
      </c>
      <c r="F1701" s="307" t="s">
        <v>3906</v>
      </c>
      <c r="G1701" s="307" t="s">
        <v>3907</v>
      </c>
    </row>
    <row r="1702" spans="1:7" ht="13.5">
      <c r="A1702" s="307" t="s">
        <v>8874</v>
      </c>
      <c r="B1702" s="307" t="s">
        <v>8875</v>
      </c>
      <c r="C1702" s="307" t="s">
        <v>5814</v>
      </c>
      <c r="D1702" s="307" t="s">
        <v>8876</v>
      </c>
      <c r="E1702" s="307" t="s">
        <v>3905</v>
      </c>
      <c r="F1702" s="307" t="s">
        <v>3906</v>
      </c>
      <c r="G1702" s="307" t="s">
        <v>3907</v>
      </c>
    </row>
    <row r="1703" spans="1:7" ht="13.5">
      <c r="A1703" s="307" t="s">
        <v>8877</v>
      </c>
      <c r="B1703" s="307" t="s">
        <v>8878</v>
      </c>
      <c r="C1703" s="307" t="s">
        <v>5814</v>
      </c>
      <c r="D1703" s="307" t="s">
        <v>8879</v>
      </c>
      <c r="E1703" s="307" t="s">
        <v>3905</v>
      </c>
      <c r="F1703" s="307" t="s">
        <v>3906</v>
      </c>
      <c r="G1703" s="307" t="s">
        <v>3907</v>
      </c>
    </row>
    <row r="1704" spans="1:7" ht="13.5">
      <c r="A1704" s="307" t="s">
        <v>8880</v>
      </c>
      <c r="B1704" s="307" t="s">
        <v>8881</v>
      </c>
      <c r="C1704" s="307" t="s">
        <v>5814</v>
      </c>
      <c r="D1704" s="307" t="s">
        <v>8882</v>
      </c>
      <c r="E1704" s="307" t="s">
        <v>3905</v>
      </c>
      <c r="F1704" s="307" t="s">
        <v>3906</v>
      </c>
      <c r="G1704" s="307" t="s">
        <v>3907</v>
      </c>
    </row>
    <row r="1705" spans="1:7" ht="13.5">
      <c r="A1705" s="307" t="s">
        <v>8883</v>
      </c>
      <c r="B1705" s="307" t="s">
        <v>8884</v>
      </c>
      <c r="C1705" s="307" t="s">
        <v>5814</v>
      </c>
      <c r="D1705" s="307" t="s">
        <v>8885</v>
      </c>
      <c r="E1705" s="307" t="s">
        <v>3905</v>
      </c>
      <c r="F1705" s="307" t="s">
        <v>3906</v>
      </c>
      <c r="G1705" s="307" t="s">
        <v>3907</v>
      </c>
    </row>
    <row r="1706" spans="1:7" ht="13.5">
      <c r="A1706" s="307" t="s">
        <v>8886</v>
      </c>
      <c r="B1706" s="307" t="s">
        <v>8887</v>
      </c>
      <c r="C1706" s="307" t="s">
        <v>5814</v>
      </c>
      <c r="D1706" s="307" t="s">
        <v>8888</v>
      </c>
      <c r="E1706" s="307" t="s">
        <v>3905</v>
      </c>
      <c r="F1706" s="307" t="s">
        <v>3906</v>
      </c>
      <c r="G1706" s="307" t="s">
        <v>3907</v>
      </c>
    </row>
    <row r="1707" spans="1:7" ht="13.5">
      <c r="A1707" s="307" t="s">
        <v>8889</v>
      </c>
      <c r="B1707" s="307" t="s">
        <v>8890</v>
      </c>
      <c r="C1707" s="307" t="s">
        <v>5814</v>
      </c>
      <c r="D1707" s="307" t="s">
        <v>8891</v>
      </c>
      <c r="E1707" s="307" t="s">
        <v>3905</v>
      </c>
      <c r="F1707" s="307" t="s">
        <v>3906</v>
      </c>
      <c r="G1707" s="307" t="s">
        <v>3907</v>
      </c>
    </row>
    <row r="1708" spans="1:7" ht="13.5">
      <c r="A1708" s="307" t="s">
        <v>8892</v>
      </c>
      <c r="B1708" s="307" t="s">
        <v>8893</v>
      </c>
      <c r="C1708" s="307" t="s">
        <v>5814</v>
      </c>
      <c r="D1708" s="307" t="s">
        <v>8894</v>
      </c>
      <c r="E1708" s="307" t="s">
        <v>3905</v>
      </c>
      <c r="F1708" s="307" t="s">
        <v>3906</v>
      </c>
      <c r="G1708" s="307" t="s">
        <v>3907</v>
      </c>
    </row>
    <row r="1709" spans="1:7" ht="13.5">
      <c r="A1709" s="307" t="s">
        <v>8895</v>
      </c>
      <c r="B1709" s="307" t="s">
        <v>8896</v>
      </c>
      <c r="C1709" s="307" t="s">
        <v>5814</v>
      </c>
      <c r="D1709" s="307" t="s">
        <v>8897</v>
      </c>
      <c r="E1709" s="307" t="s">
        <v>3905</v>
      </c>
      <c r="F1709" s="307" t="s">
        <v>3906</v>
      </c>
      <c r="G1709" s="307" t="s">
        <v>3907</v>
      </c>
    </row>
    <row r="1710" spans="1:7" ht="13.5">
      <c r="A1710" s="307" t="s">
        <v>8898</v>
      </c>
      <c r="B1710" s="307" t="s">
        <v>8899</v>
      </c>
      <c r="C1710" s="307" t="s">
        <v>5814</v>
      </c>
      <c r="D1710" s="307" t="s">
        <v>8900</v>
      </c>
      <c r="E1710" s="307" t="s">
        <v>3905</v>
      </c>
      <c r="F1710" s="307" t="s">
        <v>3906</v>
      </c>
      <c r="G1710" s="307" t="s">
        <v>3907</v>
      </c>
    </row>
    <row r="1711" spans="1:7" ht="13.5">
      <c r="A1711" s="307" t="s">
        <v>8901</v>
      </c>
      <c r="B1711" s="307" t="s">
        <v>8902</v>
      </c>
      <c r="C1711" s="307" t="s">
        <v>5814</v>
      </c>
      <c r="D1711" s="307" t="s">
        <v>8903</v>
      </c>
      <c r="E1711" s="307" t="s">
        <v>3905</v>
      </c>
      <c r="F1711" s="307" t="s">
        <v>3906</v>
      </c>
      <c r="G1711" s="307" t="s">
        <v>3907</v>
      </c>
    </row>
    <row r="1712" spans="1:7" ht="13.5">
      <c r="A1712" s="307" t="s">
        <v>8904</v>
      </c>
      <c r="B1712" s="307" t="s">
        <v>8905</v>
      </c>
      <c r="C1712" s="307" t="s">
        <v>5814</v>
      </c>
      <c r="D1712" s="307" t="s">
        <v>8906</v>
      </c>
      <c r="E1712" s="307" t="s">
        <v>3905</v>
      </c>
      <c r="F1712" s="307" t="s">
        <v>3906</v>
      </c>
      <c r="G1712" s="307" t="s">
        <v>3907</v>
      </c>
    </row>
    <row r="1713" spans="1:7" ht="13.5">
      <c r="A1713" s="307" t="s">
        <v>8907</v>
      </c>
      <c r="B1713" s="307" t="s">
        <v>8908</v>
      </c>
      <c r="C1713" s="307" t="s">
        <v>5814</v>
      </c>
      <c r="D1713" s="307" t="s">
        <v>8909</v>
      </c>
      <c r="E1713" s="307" t="s">
        <v>3905</v>
      </c>
      <c r="F1713" s="307" t="s">
        <v>3906</v>
      </c>
      <c r="G1713" s="307" t="s">
        <v>3907</v>
      </c>
    </row>
    <row r="1714" spans="1:7" ht="13.5">
      <c r="A1714" s="307" t="s">
        <v>8910</v>
      </c>
      <c r="B1714" s="307" t="s">
        <v>8911</v>
      </c>
      <c r="C1714" s="307" t="s">
        <v>5814</v>
      </c>
      <c r="D1714" s="307" t="s">
        <v>8912</v>
      </c>
      <c r="E1714" s="307" t="s">
        <v>3905</v>
      </c>
      <c r="F1714" s="307" t="s">
        <v>3906</v>
      </c>
      <c r="G1714" s="307" t="s">
        <v>3907</v>
      </c>
    </row>
    <row r="1715" spans="1:7" ht="13.5">
      <c r="A1715" s="307" t="s">
        <v>8913</v>
      </c>
      <c r="B1715" s="307" t="s">
        <v>8914</v>
      </c>
      <c r="C1715" s="307" t="s">
        <v>5814</v>
      </c>
      <c r="D1715" s="307" t="s">
        <v>8915</v>
      </c>
      <c r="E1715" s="307" t="s">
        <v>3905</v>
      </c>
      <c r="F1715" s="307" t="s">
        <v>3906</v>
      </c>
      <c r="G1715" s="307" t="s">
        <v>3907</v>
      </c>
    </row>
    <row r="1716" spans="1:7" ht="13.5">
      <c r="A1716" s="307" t="s">
        <v>8916</v>
      </c>
      <c r="B1716" s="307" t="s">
        <v>8917</v>
      </c>
      <c r="C1716" s="307" t="s">
        <v>5814</v>
      </c>
      <c r="D1716" s="307" t="s">
        <v>8918</v>
      </c>
      <c r="E1716" s="307" t="s">
        <v>4021</v>
      </c>
      <c r="F1716" s="307" t="s">
        <v>3906</v>
      </c>
      <c r="G1716" s="307" t="s">
        <v>3907</v>
      </c>
    </row>
    <row r="1717" spans="1:7" ht="13.5">
      <c r="A1717" s="307" t="s">
        <v>8919</v>
      </c>
      <c r="B1717" s="307" t="s">
        <v>8920</v>
      </c>
      <c r="C1717" s="307" t="s">
        <v>5814</v>
      </c>
      <c r="D1717" s="307" t="s">
        <v>8921</v>
      </c>
      <c r="E1717" s="307" t="s">
        <v>3905</v>
      </c>
      <c r="F1717" s="307" t="s">
        <v>3906</v>
      </c>
      <c r="G1717" s="307" t="s">
        <v>3907</v>
      </c>
    </row>
    <row r="1718" spans="1:7" ht="13.5">
      <c r="A1718" s="307" t="s">
        <v>8922</v>
      </c>
      <c r="B1718" s="307" t="s">
        <v>8923</v>
      </c>
      <c r="C1718" s="307" t="s">
        <v>5814</v>
      </c>
      <c r="D1718" s="307" t="s">
        <v>8924</v>
      </c>
      <c r="E1718" s="307" t="s">
        <v>3905</v>
      </c>
      <c r="F1718" s="307" t="s">
        <v>3906</v>
      </c>
      <c r="G1718" s="307" t="s">
        <v>3907</v>
      </c>
    </row>
    <row r="1719" spans="1:7" ht="13.5">
      <c r="A1719" s="307" t="s">
        <v>8925</v>
      </c>
      <c r="B1719" s="307" t="s">
        <v>8926</v>
      </c>
      <c r="C1719" s="307" t="s">
        <v>5814</v>
      </c>
      <c r="D1719" s="307" t="s">
        <v>8927</v>
      </c>
      <c r="E1719" s="307" t="s">
        <v>3905</v>
      </c>
      <c r="F1719" s="307" t="s">
        <v>3906</v>
      </c>
      <c r="G1719" s="307" t="s">
        <v>3907</v>
      </c>
    </row>
    <row r="1720" spans="1:7" ht="13.5">
      <c r="A1720" s="307" t="s">
        <v>8928</v>
      </c>
      <c r="B1720" s="307" t="s">
        <v>8929</v>
      </c>
      <c r="C1720" s="307" t="s">
        <v>5814</v>
      </c>
      <c r="D1720" s="307" t="s">
        <v>8930</v>
      </c>
      <c r="E1720" s="307" t="s">
        <v>3905</v>
      </c>
      <c r="F1720" s="307" t="s">
        <v>3906</v>
      </c>
      <c r="G1720" s="307" t="s">
        <v>3907</v>
      </c>
    </row>
    <row r="1721" spans="1:7" ht="13.5">
      <c r="A1721" s="307" t="s">
        <v>8931</v>
      </c>
      <c r="B1721" s="307" t="s">
        <v>8932</v>
      </c>
      <c r="C1721" s="307" t="s">
        <v>5814</v>
      </c>
      <c r="D1721" s="307" t="s">
        <v>8933</v>
      </c>
      <c r="E1721" s="307" t="s">
        <v>3905</v>
      </c>
      <c r="F1721" s="307" t="s">
        <v>3906</v>
      </c>
      <c r="G1721" s="307" t="s">
        <v>3907</v>
      </c>
    </row>
    <row r="1722" spans="1:7" ht="13.5">
      <c r="A1722" s="307" t="s">
        <v>8934</v>
      </c>
      <c r="B1722" s="307" t="s">
        <v>8935</v>
      </c>
      <c r="C1722" s="307" t="s">
        <v>5814</v>
      </c>
      <c r="D1722" s="307" t="s">
        <v>8936</v>
      </c>
      <c r="E1722" s="307" t="s">
        <v>3905</v>
      </c>
      <c r="F1722" s="307" t="s">
        <v>3906</v>
      </c>
      <c r="G1722" s="307" t="s">
        <v>3907</v>
      </c>
    </row>
    <row r="1723" spans="1:7" ht="13.5">
      <c r="A1723" s="307" t="s">
        <v>8937</v>
      </c>
      <c r="B1723" s="307" t="s">
        <v>8938</v>
      </c>
      <c r="C1723" s="307" t="s">
        <v>5814</v>
      </c>
      <c r="D1723" s="307" t="s">
        <v>8939</v>
      </c>
      <c r="E1723" s="307" t="s">
        <v>3905</v>
      </c>
      <c r="F1723" s="307" t="s">
        <v>3906</v>
      </c>
      <c r="G1723" s="307" t="s">
        <v>3907</v>
      </c>
    </row>
    <row r="1724" spans="1:7" ht="13.5">
      <c r="A1724" s="307" t="s">
        <v>8940</v>
      </c>
      <c r="B1724" s="307" t="s">
        <v>8941</v>
      </c>
      <c r="C1724" s="307" t="s">
        <v>5814</v>
      </c>
      <c r="D1724" s="307" t="s">
        <v>8942</v>
      </c>
      <c r="E1724" s="307" t="s">
        <v>3905</v>
      </c>
      <c r="F1724" s="307" t="s">
        <v>3906</v>
      </c>
      <c r="G1724" s="307" t="s">
        <v>3907</v>
      </c>
    </row>
    <row r="1725" spans="1:7" ht="13.5">
      <c r="A1725" s="307" t="s">
        <v>8943</v>
      </c>
      <c r="B1725" s="307" t="s">
        <v>8944</v>
      </c>
      <c r="C1725" s="307" t="s">
        <v>5814</v>
      </c>
      <c r="D1725" s="307" t="s">
        <v>8945</v>
      </c>
      <c r="E1725" s="307" t="s">
        <v>3905</v>
      </c>
      <c r="F1725" s="307" t="s">
        <v>3906</v>
      </c>
      <c r="G1725" s="307" t="s">
        <v>3907</v>
      </c>
    </row>
    <row r="1726" spans="1:7" ht="13.5">
      <c r="A1726" s="307" t="s">
        <v>8946</v>
      </c>
      <c r="B1726" s="307" t="s">
        <v>8947</v>
      </c>
      <c r="C1726" s="307" t="s">
        <v>5814</v>
      </c>
      <c r="D1726" s="307" t="s">
        <v>5045</v>
      </c>
      <c r="E1726" s="307" t="s">
        <v>3905</v>
      </c>
      <c r="F1726" s="307" t="s">
        <v>3906</v>
      </c>
      <c r="G1726" s="307" t="s">
        <v>3907</v>
      </c>
    </row>
    <row r="1727" spans="1:7" ht="13.5">
      <c r="A1727" s="307" t="s">
        <v>8948</v>
      </c>
      <c r="B1727" s="307" t="s">
        <v>8949</v>
      </c>
      <c r="C1727" s="307" t="s">
        <v>5814</v>
      </c>
      <c r="D1727" s="307" t="s">
        <v>8950</v>
      </c>
      <c r="E1727" s="307" t="s">
        <v>3905</v>
      </c>
      <c r="F1727" s="307" t="s">
        <v>3906</v>
      </c>
      <c r="G1727" s="307" t="s">
        <v>3907</v>
      </c>
    </row>
    <row r="1728" spans="1:7" ht="13.5">
      <c r="A1728" s="307" t="s">
        <v>8951</v>
      </c>
      <c r="B1728" s="307" t="s">
        <v>8952</v>
      </c>
      <c r="C1728" s="307" t="s">
        <v>5814</v>
      </c>
      <c r="D1728" s="307" t="s">
        <v>8953</v>
      </c>
      <c r="E1728" s="307" t="s">
        <v>3905</v>
      </c>
      <c r="F1728" s="307" t="s">
        <v>3906</v>
      </c>
      <c r="G1728" s="307" t="s">
        <v>3907</v>
      </c>
    </row>
    <row r="1729" spans="1:7" ht="13.5">
      <c r="A1729" s="307" t="s">
        <v>8954</v>
      </c>
      <c r="B1729" s="307" t="s">
        <v>8955</v>
      </c>
      <c r="C1729" s="307" t="s">
        <v>5814</v>
      </c>
      <c r="D1729" s="307" t="s">
        <v>8953</v>
      </c>
      <c r="E1729" s="307" t="s">
        <v>3905</v>
      </c>
      <c r="F1729" s="307" t="s">
        <v>3906</v>
      </c>
      <c r="G1729" s="307" t="s">
        <v>3907</v>
      </c>
    </row>
    <row r="1730" spans="1:7" ht="13.5">
      <c r="A1730" s="307" t="s">
        <v>8956</v>
      </c>
      <c r="B1730" s="307" t="s">
        <v>8957</v>
      </c>
      <c r="C1730" s="307" t="s">
        <v>5814</v>
      </c>
      <c r="D1730" s="307" t="s">
        <v>8958</v>
      </c>
      <c r="E1730" s="307" t="s">
        <v>3905</v>
      </c>
      <c r="F1730" s="307" t="s">
        <v>3906</v>
      </c>
      <c r="G1730" s="307" t="s">
        <v>3907</v>
      </c>
    </row>
    <row r="1731" spans="1:7" ht="13.5">
      <c r="A1731" s="307" t="s">
        <v>8959</v>
      </c>
      <c r="B1731" s="307" t="s">
        <v>8960</v>
      </c>
      <c r="C1731" s="307" t="s">
        <v>5814</v>
      </c>
      <c r="D1731" s="307" t="s">
        <v>8961</v>
      </c>
      <c r="E1731" s="307" t="s">
        <v>3905</v>
      </c>
      <c r="F1731" s="307" t="s">
        <v>3906</v>
      </c>
      <c r="G1731" s="307" t="s">
        <v>3907</v>
      </c>
    </row>
    <row r="1732" spans="1:7" ht="13.5">
      <c r="A1732" s="307" t="s">
        <v>8962</v>
      </c>
      <c r="B1732" s="307" t="s">
        <v>8963</v>
      </c>
      <c r="C1732" s="307" t="s">
        <v>5814</v>
      </c>
      <c r="D1732" s="307" t="s">
        <v>8964</v>
      </c>
      <c r="E1732" s="307" t="s">
        <v>3905</v>
      </c>
      <c r="F1732" s="307" t="s">
        <v>3906</v>
      </c>
      <c r="G1732" s="307" t="s">
        <v>3907</v>
      </c>
    </row>
    <row r="1733" spans="1:7" ht="13.5">
      <c r="A1733" s="307" t="s">
        <v>8965</v>
      </c>
      <c r="B1733" s="307" t="s">
        <v>8966</v>
      </c>
      <c r="C1733" s="307" t="s">
        <v>5814</v>
      </c>
      <c r="D1733" s="307" t="s">
        <v>8967</v>
      </c>
      <c r="E1733" s="307" t="s">
        <v>3905</v>
      </c>
      <c r="F1733" s="307" t="s">
        <v>3906</v>
      </c>
      <c r="G1733" s="307" t="s">
        <v>3907</v>
      </c>
    </row>
    <row r="1734" spans="1:7" ht="13.5">
      <c r="A1734" s="307" t="s">
        <v>8968</v>
      </c>
      <c r="B1734" s="307" t="s">
        <v>8969</v>
      </c>
      <c r="C1734" s="307" t="s">
        <v>5814</v>
      </c>
      <c r="D1734" s="307" t="s">
        <v>8970</v>
      </c>
      <c r="E1734" s="307" t="s">
        <v>3905</v>
      </c>
      <c r="F1734" s="307" t="s">
        <v>3906</v>
      </c>
      <c r="G1734" s="307" t="s">
        <v>3907</v>
      </c>
    </row>
    <row r="1735" spans="1:7" ht="13.5">
      <c r="A1735" s="307" t="s">
        <v>8971</v>
      </c>
      <c r="B1735" s="307" t="s">
        <v>8972</v>
      </c>
      <c r="C1735" s="307" t="s">
        <v>5814</v>
      </c>
      <c r="D1735" s="307" t="s">
        <v>8973</v>
      </c>
      <c r="E1735" s="307" t="s">
        <v>3905</v>
      </c>
      <c r="F1735" s="307" t="s">
        <v>3906</v>
      </c>
      <c r="G1735" s="307" t="s">
        <v>3907</v>
      </c>
    </row>
    <row r="1736" spans="1:7" ht="13.5">
      <c r="A1736" s="307" t="s">
        <v>8974</v>
      </c>
      <c r="B1736" s="307" t="s">
        <v>8975</v>
      </c>
      <c r="C1736" s="307" t="s">
        <v>5814</v>
      </c>
      <c r="D1736" s="307" t="s">
        <v>5060</v>
      </c>
      <c r="E1736" s="307" t="s">
        <v>3905</v>
      </c>
      <c r="F1736" s="307" t="s">
        <v>3906</v>
      </c>
      <c r="G1736" s="307" t="s">
        <v>3907</v>
      </c>
    </row>
    <row r="1737" spans="1:7" ht="13.5">
      <c r="A1737" s="307" t="s">
        <v>8976</v>
      </c>
      <c r="B1737" s="307" t="s">
        <v>8977</v>
      </c>
      <c r="C1737" s="307" t="s">
        <v>5814</v>
      </c>
      <c r="D1737" s="307" t="s">
        <v>8978</v>
      </c>
      <c r="E1737" s="307" t="s">
        <v>3905</v>
      </c>
      <c r="F1737" s="307" t="s">
        <v>3906</v>
      </c>
      <c r="G1737" s="307" t="s">
        <v>3907</v>
      </c>
    </row>
    <row r="1738" spans="1:7" ht="13.5">
      <c r="A1738" s="307" t="s">
        <v>8979</v>
      </c>
      <c r="B1738" s="307" t="s">
        <v>8980</v>
      </c>
      <c r="C1738" s="307" t="s">
        <v>5814</v>
      </c>
      <c r="D1738" s="307" t="s">
        <v>8981</v>
      </c>
      <c r="E1738" s="307" t="s">
        <v>3905</v>
      </c>
      <c r="F1738" s="307" t="s">
        <v>3906</v>
      </c>
      <c r="G1738" s="307" t="s">
        <v>3907</v>
      </c>
    </row>
    <row r="1739" spans="1:7" ht="13.5">
      <c r="A1739" s="307" t="s">
        <v>8982</v>
      </c>
      <c r="B1739" s="307" t="s">
        <v>8983</v>
      </c>
      <c r="C1739" s="307" t="s">
        <v>5814</v>
      </c>
      <c r="D1739" s="307" t="s">
        <v>8984</v>
      </c>
      <c r="E1739" s="307" t="s">
        <v>3905</v>
      </c>
      <c r="F1739" s="307" t="s">
        <v>3906</v>
      </c>
      <c r="G1739" s="307" t="s">
        <v>3907</v>
      </c>
    </row>
    <row r="1740" spans="1:7" ht="13.5">
      <c r="A1740" s="307" t="s">
        <v>8985</v>
      </c>
      <c r="B1740" s="307" t="s">
        <v>8986</v>
      </c>
      <c r="C1740" s="307" t="s">
        <v>5814</v>
      </c>
      <c r="D1740" s="307" t="s">
        <v>8987</v>
      </c>
      <c r="E1740" s="307" t="s">
        <v>3905</v>
      </c>
      <c r="F1740" s="307" t="s">
        <v>3906</v>
      </c>
      <c r="G1740" s="307" t="s">
        <v>3907</v>
      </c>
    </row>
    <row r="1741" spans="1:7" ht="13.5">
      <c r="A1741" s="307" t="s">
        <v>8988</v>
      </c>
      <c r="B1741" s="307" t="s">
        <v>8989</v>
      </c>
      <c r="C1741" s="307" t="s">
        <v>5814</v>
      </c>
      <c r="D1741" s="307" t="s">
        <v>8990</v>
      </c>
      <c r="E1741" s="307" t="s">
        <v>3905</v>
      </c>
      <c r="F1741" s="307" t="s">
        <v>3906</v>
      </c>
      <c r="G1741" s="307" t="s">
        <v>3907</v>
      </c>
    </row>
    <row r="1742" spans="1:7" ht="13.5">
      <c r="A1742" s="307" t="s">
        <v>8991</v>
      </c>
      <c r="B1742" s="307" t="s">
        <v>8992</v>
      </c>
      <c r="C1742" s="307" t="s">
        <v>5814</v>
      </c>
      <c r="D1742" s="307" t="s">
        <v>8993</v>
      </c>
      <c r="E1742" s="307" t="s">
        <v>3905</v>
      </c>
      <c r="F1742" s="307" t="s">
        <v>3906</v>
      </c>
      <c r="G1742" s="307" t="s">
        <v>3907</v>
      </c>
    </row>
    <row r="1743" spans="1:7" ht="13.5">
      <c r="A1743" s="307" t="s">
        <v>8994</v>
      </c>
      <c r="B1743" s="307" t="s">
        <v>8995</v>
      </c>
      <c r="C1743" s="307" t="s">
        <v>5814</v>
      </c>
      <c r="D1743" s="307" t="s">
        <v>8996</v>
      </c>
      <c r="E1743" s="307" t="s">
        <v>3905</v>
      </c>
      <c r="F1743" s="307" t="s">
        <v>3906</v>
      </c>
      <c r="G1743" s="307" t="s">
        <v>3907</v>
      </c>
    </row>
    <row r="1744" spans="1:7" ht="13.5">
      <c r="A1744" s="307" t="s">
        <v>8997</v>
      </c>
      <c r="B1744" s="307" t="s">
        <v>8998</v>
      </c>
      <c r="C1744" s="307" t="s">
        <v>5814</v>
      </c>
      <c r="D1744" s="307" t="s">
        <v>8999</v>
      </c>
      <c r="E1744" s="307" t="s">
        <v>3905</v>
      </c>
      <c r="F1744" s="307" t="s">
        <v>3906</v>
      </c>
      <c r="G1744" s="307" t="s">
        <v>3907</v>
      </c>
    </row>
    <row r="1745" spans="1:7" ht="13.5">
      <c r="A1745" s="307" t="s">
        <v>9000</v>
      </c>
      <c r="B1745" s="307" t="s">
        <v>9001</v>
      </c>
      <c r="C1745" s="307" t="s">
        <v>5814</v>
      </c>
      <c r="D1745" s="307" t="s">
        <v>9002</v>
      </c>
      <c r="E1745" s="307" t="s">
        <v>3905</v>
      </c>
      <c r="F1745" s="307" t="s">
        <v>3906</v>
      </c>
      <c r="G1745" s="307" t="s">
        <v>3907</v>
      </c>
    </row>
    <row r="1746" spans="1:7" ht="13.5">
      <c r="A1746" s="307" t="s">
        <v>9003</v>
      </c>
      <c r="B1746" s="307" t="s">
        <v>9004</v>
      </c>
      <c r="C1746" s="307" t="s">
        <v>5814</v>
      </c>
      <c r="D1746" s="307" t="s">
        <v>9005</v>
      </c>
      <c r="E1746" s="307" t="s">
        <v>4021</v>
      </c>
      <c r="F1746" s="307" t="s">
        <v>3906</v>
      </c>
      <c r="G1746" s="307" t="s">
        <v>3907</v>
      </c>
    </row>
    <row r="1747" spans="1:7" ht="13.5">
      <c r="A1747" s="307" t="s">
        <v>9006</v>
      </c>
      <c r="B1747" s="307" t="s">
        <v>9007</v>
      </c>
      <c r="C1747" s="307" t="s">
        <v>5814</v>
      </c>
      <c r="D1747" s="307" t="s">
        <v>9008</v>
      </c>
      <c r="E1747" s="307" t="s">
        <v>3905</v>
      </c>
      <c r="F1747" s="307" t="s">
        <v>3906</v>
      </c>
      <c r="G1747" s="307" t="s">
        <v>3907</v>
      </c>
    </row>
    <row r="1748" spans="1:7" ht="13.5">
      <c r="A1748" s="307" t="s">
        <v>9009</v>
      </c>
      <c r="B1748" s="307" t="s">
        <v>9010</v>
      </c>
      <c r="C1748" s="307" t="s">
        <v>5814</v>
      </c>
      <c r="D1748" s="307" t="s">
        <v>9011</v>
      </c>
      <c r="E1748" s="307" t="s">
        <v>3905</v>
      </c>
      <c r="F1748" s="307" t="s">
        <v>3906</v>
      </c>
      <c r="G1748" s="307" t="s">
        <v>3907</v>
      </c>
    </row>
    <row r="1749" spans="1:7" ht="13.5">
      <c r="A1749" s="307" t="s">
        <v>9012</v>
      </c>
      <c r="B1749" s="307" t="s">
        <v>9013</v>
      </c>
      <c r="C1749" s="307" t="s">
        <v>5814</v>
      </c>
      <c r="D1749" s="307" t="s">
        <v>9014</v>
      </c>
      <c r="E1749" s="307" t="s">
        <v>3905</v>
      </c>
      <c r="F1749" s="307" t="s">
        <v>3906</v>
      </c>
      <c r="G1749" s="307" t="s">
        <v>3907</v>
      </c>
    </row>
    <row r="1750" spans="1:7" ht="13.5">
      <c r="A1750" s="307" t="s">
        <v>9015</v>
      </c>
      <c r="B1750" s="307" t="s">
        <v>9016</v>
      </c>
      <c r="C1750" s="307" t="s">
        <v>5814</v>
      </c>
      <c r="D1750" s="307" t="s">
        <v>9017</v>
      </c>
      <c r="E1750" s="307" t="s">
        <v>3905</v>
      </c>
      <c r="F1750" s="307" t="s">
        <v>3906</v>
      </c>
      <c r="G1750" s="307" t="s">
        <v>3907</v>
      </c>
    </row>
    <row r="1751" spans="1:7" ht="13.5">
      <c r="A1751" s="307" t="s">
        <v>9018</v>
      </c>
      <c r="B1751" s="307" t="s">
        <v>9019</v>
      </c>
      <c r="C1751" s="307" t="s">
        <v>5814</v>
      </c>
      <c r="D1751" s="307" t="s">
        <v>9020</v>
      </c>
      <c r="E1751" s="307" t="s">
        <v>3905</v>
      </c>
      <c r="F1751" s="307" t="s">
        <v>3906</v>
      </c>
      <c r="G1751" s="307" t="s">
        <v>3907</v>
      </c>
    </row>
    <row r="1752" spans="1:7" ht="13.5">
      <c r="A1752" s="307" t="s">
        <v>9021</v>
      </c>
      <c r="B1752" s="307" t="s">
        <v>9022</v>
      </c>
      <c r="C1752" s="307" t="s">
        <v>5814</v>
      </c>
      <c r="D1752" s="307" t="s">
        <v>9023</v>
      </c>
      <c r="E1752" s="307" t="s">
        <v>3905</v>
      </c>
      <c r="F1752" s="307" t="s">
        <v>3906</v>
      </c>
      <c r="G1752" s="307" t="s">
        <v>3907</v>
      </c>
    </row>
    <row r="1753" spans="1:7" ht="13.5">
      <c r="A1753" s="307" t="s">
        <v>9024</v>
      </c>
      <c r="B1753" s="307" t="s">
        <v>9025</v>
      </c>
      <c r="C1753" s="307" t="s">
        <v>5814</v>
      </c>
      <c r="D1753" s="307" t="s">
        <v>9026</v>
      </c>
      <c r="E1753" s="307" t="s">
        <v>3905</v>
      </c>
      <c r="F1753" s="307" t="s">
        <v>3906</v>
      </c>
      <c r="G1753" s="307" t="s">
        <v>3907</v>
      </c>
    </row>
    <row r="1754" spans="1:7" ht="13.5">
      <c r="A1754" s="307" t="s">
        <v>9027</v>
      </c>
      <c r="B1754" s="307" t="s">
        <v>9028</v>
      </c>
      <c r="C1754" s="307" t="s">
        <v>5814</v>
      </c>
      <c r="D1754" s="307" t="s">
        <v>9029</v>
      </c>
      <c r="E1754" s="307" t="s">
        <v>3905</v>
      </c>
      <c r="F1754" s="307" t="s">
        <v>3906</v>
      </c>
      <c r="G1754" s="307" t="s">
        <v>3907</v>
      </c>
    </row>
    <row r="1755" spans="1:7" ht="13.5">
      <c r="A1755" s="307" t="s">
        <v>9030</v>
      </c>
      <c r="B1755" s="307" t="s">
        <v>9031</v>
      </c>
      <c r="C1755" s="307" t="s">
        <v>5814</v>
      </c>
      <c r="D1755" s="307" t="s">
        <v>9032</v>
      </c>
      <c r="E1755" s="307" t="s">
        <v>3905</v>
      </c>
      <c r="F1755" s="307" t="s">
        <v>3906</v>
      </c>
      <c r="G1755" s="307" t="s">
        <v>3907</v>
      </c>
    </row>
    <row r="1756" spans="1:7" ht="13.5">
      <c r="A1756" s="307" t="s">
        <v>9033</v>
      </c>
      <c r="B1756" s="307" t="s">
        <v>9034</v>
      </c>
      <c r="C1756" s="307" t="s">
        <v>5814</v>
      </c>
      <c r="D1756" s="307" t="s">
        <v>9035</v>
      </c>
      <c r="E1756" s="307" t="s">
        <v>3905</v>
      </c>
      <c r="F1756" s="307" t="s">
        <v>3906</v>
      </c>
      <c r="G1756" s="307" t="s">
        <v>3907</v>
      </c>
    </row>
    <row r="1757" spans="1:7" ht="13.5">
      <c r="A1757" s="307" t="s">
        <v>9036</v>
      </c>
      <c r="B1757" s="307" t="s">
        <v>9037</v>
      </c>
      <c r="C1757" s="307" t="s">
        <v>5814</v>
      </c>
      <c r="D1757" s="307" t="s">
        <v>9038</v>
      </c>
      <c r="E1757" s="307" t="s">
        <v>3905</v>
      </c>
      <c r="F1757" s="307" t="s">
        <v>3906</v>
      </c>
      <c r="G1757" s="307" t="s">
        <v>3907</v>
      </c>
    </row>
    <row r="1758" spans="1:7" ht="13.5">
      <c r="A1758" s="307" t="s">
        <v>9039</v>
      </c>
      <c r="B1758" s="307" t="s">
        <v>9040</v>
      </c>
      <c r="C1758" s="307" t="s">
        <v>5814</v>
      </c>
      <c r="D1758" s="307" t="s">
        <v>9041</v>
      </c>
      <c r="E1758" s="307" t="s">
        <v>3905</v>
      </c>
      <c r="F1758" s="307" t="s">
        <v>3906</v>
      </c>
      <c r="G1758" s="307" t="s">
        <v>3907</v>
      </c>
    </row>
    <row r="1759" spans="1:7" ht="13.5">
      <c r="A1759" s="307" t="s">
        <v>9042</v>
      </c>
      <c r="B1759" s="307" t="s">
        <v>9043</v>
      </c>
      <c r="C1759" s="307" t="s">
        <v>5814</v>
      </c>
      <c r="D1759" s="307" t="s">
        <v>9044</v>
      </c>
      <c r="E1759" s="307" t="s">
        <v>3905</v>
      </c>
      <c r="F1759" s="307" t="s">
        <v>3906</v>
      </c>
      <c r="G1759" s="307" t="s">
        <v>3907</v>
      </c>
    </row>
    <row r="1760" spans="1:7" ht="13.5">
      <c r="A1760" s="307" t="s">
        <v>9045</v>
      </c>
      <c r="B1760" s="307" t="s">
        <v>9046</v>
      </c>
      <c r="C1760" s="307" t="s">
        <v>5814</v>
      </c>
      <c r="D1760" s="307" t="s">
        <v>9047</v>
      </c>
      <c r="E1760" s="307" t="s">
        <v>3905</v>
      </c>
      <c r="F1760" s="307" t="s">
        <v>3906</v>
      </c>
      <c r="G1760" s="307" t="s">
        <v>3907</v>
      </c>
    </row>
    <row r="1761" spans="1:7" ht="13.5">
      <c r="A1761" s="307" t="s">
        <v>9048</v>
      </c>
      <c r="B1761" s="307" t="s">
        <v>9049</v>
      </c>
      <c r="C1761" s="307" t="s">
        <v>5814</v>
      </c>
      <c r="D1761" s="307" t="s">
        <v>9050</v>
      </c>
      <c r="E1761" s="307" t="s">
        <v>3905</v>
      </c>
      <c r="F1761" s="307" t="s">
        <v>3906</v>
      </c>
      <c r="G1761" s="307" t="s">
        <v>3907</v>
      </c>
    </row>
    <row r="1762" spans="1:7" ht="13.5">
      <c r="A1762" s="307" t="s">
        <v>9051</v>
      </c>
      <c r="B1762" s="307" t="s">
        <v>9052</v>
      </c>
      <c r="C1762" s="307" t="s">
        <v>5814</v>
      </c>
      <c r="D1762" s="307" t="s">
        <v>9053</v>
      </c>
      <c r="E1762" s="307" t="s">
        <v>3905</v>
      </c>
      <c r="F1762" s="307" t="s">
        <v>3906</v>
      </c>
      <c r="G1762" s="307" t="s">
        <v>3907</v>
      </c>
    </row>
    <row r="1763" spans="1:7" ht="13.5">
      <c r="A1763" s="307" t="s">
        <v>9054</v>
      </c>
      <c r="B1763" s="307" t="s">
        <v>9055</v>
      </c>
      <c r="C1763" s="307" t="s">
        <v>5814</v>
      </c>
      <c r="D1763" s="307" t="s">
        <v>9056</v>
      </c>
      <c r="E1763" s="307" t="s">
        <v>3905</v>
      </c>
      <c r="F1763" s="307" t="s">
        <v>3906</v>
      </c>
      <c r="G1763" s="307" t="s">
        <v>3907</v>
      </c>
    </row>
    <row r="1764" spans="1:7" ht="13.5">
      <c r="A1764" s="307" t="s">
        <v>9057</v>
      </c>
      <c r="B1764" s="307" t="s">
        <v>9058</v>
      </c>
      <c r="C1764" s="307" t="s">
        <v>5814</v>
      </c>
      <c r="D1764" s="307" t="s">
        <v>9059</v>
      </c>
      <c r="E1764" s="307" t="s">
        <v>3905</v>
      </c>
      <c r="F1764" s="307" t="s">
        <v>3906</v>
      </c>
      <c r="G1764" s="307" t="s">
        <v>3907</v>
      </c>
    </row>
    <row r="1765" spans="1:7" ht="13.5">
      <c r="A1765" s="307" t="s">
        <v>9060</v>
      </c>
      <c r="B1765" s="307" t="s">
        <v>9061</v>
      </c>
      <c r="C1765" s="307" t="s">
        <v>5814</v>
      </c>
      <c r="D1765" s="307" t="s">
        <v>9062</v>
      </c>
      <c r="E1765" s="307" t="s">
        <v>3905</v>
      </c>
      <c r="F1765" s="307" t="s">
        <v>3906</v>
      </c>
      <c r="G1765" s="307" t="s">
        <v>3907</v>
      </c>
    </row>
    <row r="1766" spans="1:7" ht="13.5">
      <c r="A1766" s="307" t="s">
        <v>9063</v>
      </c>
      <c r="B1766" s="307" t="s">
        <v>9064</v>
      </c>
      <c r="C1766" s="307" t="s">
        <v>5814</v>
      </c>
      <c r="D1766" s="307" t="s">
        <v>9065</v>
      </c>
      <c r="E1766" s="307" t="s">
        <v>3905</v>
      </c>
      <c r="F1766" s="307" t="s">
        <v>3906</v>
      </c>
      <c r="G1766" s="307" t="s">
        <v>3907</v>
      </c>
    </row>
    <row r="1767" spans="1:7" ht="13.5">
      <c r="A1767" s="307" t="s">
        <v>9066</v>
      </c>
      <c r="B1767" s="307" t="s">
        <v>9067</v>
      </c>
      <c r="C1767" s="307" t="s">
        <v>5814</v>
      </c>
      <c r="D1767" s="307" t="s">
        <v>9068</v>
      </c>
      <c r="E1767" s="307" t="s">
        <v>3905</v>
      </c>
      <c r="F1767" s="307" t="s">
        <v>3906</v>
      </c>
      <c r="G1767" s="307" t="s">
        <v>3907</v>
      </c>
    </row>
    <row r="1768" spans="1:7" ht="13.5">
      <c r="A1768" s="307" t="s">
        <v>9069</v>
      </c>
      <c r="B1768" s="307" t="s">
        <v>9070</v>
      </c>
      <c r="C1768" s="307" t="s">
        <v>5814</v>
      </c>
      <c r="D1768" s="307" t="s">
        <v>9071</v>
      </c>
      <c r="E1768" s="307" t="s">
        <v>3905</v>
      </c>
      <c r="F1768" s="307" t="s">
        <v>3906</v>
      </c>
      <c r="G1768" s="307" t="s">
        <v>3907</v>
      </c>
    </row>
    <row r="1769" spans="1:7" ht="13.5">
      <c r="A1769" s="307" t="s">
        <v>9072</v>
      </c>
      <c r="B1769" s="307" t="s">
        <v>9073</v>
      </c>
      <c r="C1769" s="307" t="s">
        <v>5814</v>
      </c>
      <c r="D1769" s="307" t="s">
        <v>9074</v>
      </c>
      <c r="E1769" s="307" t="s">
        <v>3905</v>
      </c>
      <c r="F1769" s="307" t="s">
        <v>3906</v>
      </c>
      <c r="G1769" s="307" t="s">
        <v>3907</v>
      </c>
    </row>
    <row r="1770" spans="1:7" ht="13.5">
      <c r="A1770" s="307" t="s">
        <v>9075</v>
      </c>
      <c r="B1770" s="307" t="s">
        <v>9076</v>
      </c>
      <c r="C1770" s="307" t="s">
        <v>5814</v>
      </c>
      <c r="D1770" s="307" t="s">
        <v>9077</v>
      </c>
      <c r="E1770" s="307" t="s">
        <v>3905</v>
      </c>
      <c r="F1770" s="307" t="s">
        <v>3906</v>
      </c>
      <c r="G1770" s="307" t="s">
        <v>3907</v>
      </c>
    </row>
    <row r="1771" spans="1:7" ht="13.5">
      <c r="A1771" s="307" t="s">
        <v>9078</v>
      </c>
      <c r="B1771" s="307" t="s">
        <v>9079</v>
      </c>
      <c r="C1771" s="307" t="s">
        <v>5814</v>
      </c>
      <c r="D1771" s="307" t="s">
        <v>9080</v>
      </c>
      <c r="E1771" s="307" t="s">
        <v>3905</v>
      </c>
      <c r="F1771" s="307" t="s">
        <v>3906</v>
      </c>
      <c r="G1771" s="307" t="s">
        <v>3907</v>
      </c>
    </row>
    <row r="1772" spans="1:7" ht="13.5">
      <c r="A1772" s="307" t="s">
        <v>9081</v>
      </c>
      <c r="B1772" s="307" t="s">
        <v>9082</v>
      </c>
      <c r="C1772" s="307" t="s">
        <v>5814</v>
      </c>
      <c r="D1772" s="307" t="s">
        <v>9083</v>
      </c>
      <c r="E1772" s="307" t="s">
        <v>4021</v>
      </c>
      <c r="F1772" s="307" t="s">
        <v>3906</v>
      </c>
      <c r="G1772" s="307" t="s">
        <v>3907</v>
      </c>
    </row>
    <row r="1773" spans="1:7" ht="13.5">
      <c r="A1773" s="307" t="s">
        <v>9084</v>
      </c>
      <c r="B1773" s="307" t="s">
        <v>9085</v>
      </c>
      <c r="C1773" s="307" t="s">
        <v>5814</v>
      </c>
      <c r="D1773" s="307" t="s">
        <v>9086</v>
      </c>
      <c r="E1773" s="307" t="s">
        <v>3905</v>
      </c>
      <c r="F1773" s="307" t="s">
        <v>3906</v>
      </c>
      <c r="G1773" s="307" t="s">
        <v>3907</v>
      </c>
    </row>
    <row r="1774" spans="1:7" ht="13.5">
      <c r="A1774" s="307" t="s">
        <v>9087</v>
      </c>
      <c r="B1774" s="307" t="s">
        <v>9088</v>
      </c>
      <c r="C1774" s="307" t="s">
        <v>5814</v>
      </c>
      <c r="D1774" s="307" t="s">
        <v>9089</v>
      </c>
      <c r="E1774" s="307" t="s">
        <v>3905</v>
      </c>
      <c r="F1774" s="307" t="s">
        <v>3906</v>
      </c>
      <c r="G1774" s="307" t="s">
        <v>3907</v>
      </c>
    </row>
    <row r="1775" spans="1:7" ht="13.5">
      <c r="A1775" s="307" t="s">
        <v>9090</v>
      </c>
      <c r="B1775" s="307" t="s">
        <v>9091</v>
      </c>
      <c r="C1775" s="307" t="s">
        <v>5814</v>
      </c>
      <c r="D1775" s="307" t="s">
        <v>9092</v>
      </c>
      <c r="E1775" s="307" t="s">
        <v>3905</v>
      </c>
      <c r="F1775" s="307" t="s">
        <v>3906</v>
      </c>
      <c r="G1775" s="307" t="s">
        <v>3907</v>
      </c>
    </row>
    <row r="1776" spans="1:7" ht="13.5">
      <c r="A1776" s="307" t="s">
        <v>9093</v>
      </c>
      <c r="B1776" s="307" t="s">
        <v>9094</v>
      </c>
      <c r="C1776" s="307" t="s">
        <v>5814</v>
      </c>
      <c r="D1776" s="307" t="s">
        <v>9095</v>
      </c>
      <c r="E1776" s="307" t="s">
        <v>3905</v>
      </c>
      <c r="F1776" s="307" t="s">
        <v>3906</v>
      </c>
      <c r="G1776" s="307" t="s">
        <v>3907</v>
      </c>
    </row>
    <row r="1777" spans="1:7" ht="13.5">
      <c r="A1777" s="307" t="s">
        <v>9096</v>
      </c>
      <c r="B1777" s="307" t="s">
        <v>9097</v>
      </c>
      <c r="C1777" s="307" t="s">
        <v>5814</v>
      </c>
      <c r="D1777" s="307" t="s">
        <v>9098</v>
      </c>
      <c r="E1777" s="307" t="s">
        <v>3905</v>
      </c>
      <c r="F1777" s="307" t="s">
        <v>3906</v>
      </c>
      <c r="G1777" s="307" t="s">
        <v>3907</v>
      </c>
    </row>
    <row r="1778" spans="1:7" ht="13.5">
      <c r="A1778" s="307" t="s">
        <v>9099</v>
      </c>
      <c r="B1778" s="307" t="s">
        <v>9100</v>
      </c>
      <c r="C1778" s="307" t="s">
        <v>5814</v>
      </c>
      <c r="D1778" s="307" t="s">
        <v>9101</v>
      </c>
      <c r="E1778" s="307" t="s">
        <v>3905</v>
      </c>
      <c r="F1778" s="307" t="s">
        <v>3906</v>
      </c>
      <c r="G1778" s="307" t="s">
        <v>3907</v>
      </c>
    </row>
    <row r="1779" spans="1:7" ht="13.5">
      <c r="A1779" s="307" t="s">
        <v>9102</v>
      </c>
      <c r="B1779" s="307" t="s">
        <v>9103</v>
      </c>
      <c r="C1779" s="307" t="s">
        <v>5814</v>
      </c>
      <c r="D1779" s="307" t="s">
        <v>9104</v>
      </c>
      <c r="E1779" s="307" t="s">
        <v>3905</v>
      </c>
      <c r="F1779" s="307" t="s">
        <v>3906</v>
      </c>
      <c r="G1779" s="307" t="s">
        <v>3907</v>
      </c>
    </row>
    <row r="1780" spans="1:7" ht="13.5">
      <c r="A1780" s="307" t="s">
        <v>9105</v>
      </c>
      <c r="B1780" s="307" t="s">
        <v>9106</v>
      </c>
      <c r="C1780" s="307" t="s">
        <v>5814</v>
      </c>
      <c r="D1780" s="307" t="s">
        <v>9107</v>
      </c>
      <c r="E1780" s="307" t="s">
        <v>3905</v>
      </c>
      <c r="F1780" s="307" t="s">
        <v>3906</v>
      </c>
      <c r="G1780" s="307" t="s">
        <v>3907</v>
      </c>
    </row>
    <row r="1781" spans="1:7" ht="13.5">
      <c r="A1781" s="307" t="s">
        <v>9108</v>
      </c>
      <c r="B1781" s="307" t="s">
        <v>9109</v>
      </c>
      <c r="C1781" s="307" t="s">
        <v>5814</v>
      </c>
      <c r="D1781" s="307" t="s">
        <v>9110</v>
      </c>
      <c r="E1781" s="307" t="s">
        <v>3905</v>
      </c>
      <c r="F1781" s="307" t="s">
        <v>3906</v>
      </c>
      <c r="G1781" s="307" t="s">
        <v>3907</v>
      </c>
    </row>
    <row r="1782" spans="1:7" ht="13.5">
      <c r="A1782" s="307" t="s">
        <v>9111</v>
      </c>
      <c r="B1782" s="307" t="s">
        <v>9112</v>
      </c>
      <c r="C1782" s="307" t="s">
        <v>5814</v>
      </c>
      <c r="D1782" s="307" t="s">
        <v>9113</v>
      </c>
      <c r="E1782" s="307" t="s">
        <v>3905</v>
      </c>
      <c r="F1782" s="307" t="s">
        <v>3906</v>
      </c>
      <c r="G1782" s="307" t="s">
        <v>3907</v>
      </c>
    </row>
    <row r="1783" spans="1:7" ht="13.5">
      <c r="A1783" s="307" t="s">
        <v>9114</v>
      </c>
      <c r="B1783" s="307" t="s">
        <v>9115</v>
      </c>
      <c r="C1783" s="307" t="s">
        <v>5814</v>
      </c>
      <c r="D1783" s="307" t="s">
        <v>9116</v>
      </c>
      <c r="E1783" s="307" t="s">
        <v>3905</v>
      </c>
      <c r="F1783" s="307" t="s">
        <v>3906</v>
      </c>
      <c r="G1783" s="307" t="s">
        <v>3907</v>
      </c>
    </row>
    <row r="1784" spans="1:7" ht="13.5">
      <c r="A1784" s="307" t="s">
        <v>9117</v>
      </c>
      <c r="B1784" s="307" t="s">
        <v>9118</v>
      </c>
      <c r="C1784" s="307" t="s">
        <v>5814</v>
      </c>
      <c r="D1784" s="307" t="s">
        <v>9119</v>
      </c>
      <c r="E1784" s="307" t="s">
        <v>3905</v>
      </c>
      <c r="F1784" s="307" t="s">
        <v>3906</v>
      </c>
      <c r="G1784" s="307" t="s">
        <v>3907</v>
      </c>
    </row>
    <row r="1785" spans="1:7" ht="13.5">
      <c r="A1785" s="307" t="s">
        <v>9120</v>
      </c>
      <c r="B1785" s="307" t="s">
        <v>9121</v>
      </c>
      <c r="C1785" s="307" t="s">
        <v>5814</v>
      </c>
      <c r="D1785" s="307" t="s">
        <v>9122</v>
      </c>
      <c r="E1785" s="307" t="s">
        <v>3905</v>
      </c>
      <c r="F1785" s="307" t="s">
        <v>3906</v>
      </c>
      <c r="G1785" s="307" t="s">
        <v>3907</v>
      </c>
    </row>
    <row r="1786" spans="1:7" ht="13.5">
      <c r="A1786" s="307" t="s">
        <v>9123</v>
      </c>
      <c r="B1786" s="307" t="s">
        <v>9124</v>
      </c>
      <c r="C1786" s="307" t="s">
        <v>5814</v>
      </c>
      <c r="D1786" s="307" t="s">
        <v>9125</v>
      </c>
      <c r="E1786" s="307" t="s">
        <v>3905</v>
      </c>
      <c r="F1786" s="307" t="s">
        <v>3906</v>
      </c>
      <c r="G1786" s="307" t="s">
        <v>3907</v>
      </c>
    </row>
    <row r="1787" spans="1:7" ht="13.5">
      <c r="A1787" s="307" t="s">
        <v>9126</v>
      </c>
      <c r="B1787" s="307" t="s">
        <v>9127</v>
      </c>
      <c r="C1787" s="307" t="s">
        <v>5814</v>
      </c>
      <c r="D1787" s="307" t="s">
        <v>9128</v>
      </c>
      <c r="E1787" s="307" t="s">
        <v>3905</v>
      </c>
      <c r="F1787" s="307" t="s">
        <v>3906</v>
      </c>
      <c r="G1787" s="307" t="s">
        <v>3907</v>
      </c>
    </row>
    <row r="1788" spans="1:7" ht="13.5">
      <c r="A1788" s="307" t="s">
        <v>9129</v>
      </c>
      <c r="B1788" s="307" t="s">
        <v>9130</v>
      </c>
      <c r="C1788" s="307" t="s">
        <v>5814</v>
      </c>
      <c r="D1788" s="307" t="s">
        <v>9131</v>
      </c>
      <c r="E1788" s="307" t="s">
        <v>3905</v>
      </c>
      <c r="F1788" s="307" t="s">
        <v>3906</v>
      </c>
      <c r="G1788" s="307" t="s">
        <v>3907</v>
      </c>
    </row>
    <row r="1789" spans="1:7" ht="13.5">
      <c r="A1789" s="307" t="s">
        <v>9132</v>
      </c>
      <c r="B1789" s="307" t="s">
        <v>9133</v>
      </c>
      <c r="C1789" s="307" t="s">
        <v>5814</v>
      </c>
      <c r="D1789" s="307" t="s">
        <v>9134</v>
      </c>
      <c r="E1789" s="307" t="s">
        <v>3905</v>
      </c>
      <c r="F1789" s="307" t="s">
        <v>3906</v>
      </c>
      <c r="G1789" s="307" t="s">
        <v>3907</v>
      </c>
    </row>
    <row r="1790" spans="1:7" ht="13.5">
      <c r="A1790" s="307" t="s">
        <v>9135</v>
      </c>
      <c r="B1790" s="307" t="s">
        <v>9136</v>
      </c>
      <c r="C1790" s="307" t="s">
        <v>5814</v>
      </c>
      <c r="D1790" s="307" t="s">
        <v>1558</v>
      </c>
      <c r="E1790" s="307" t="s">
        <v>3905</v>
      </c>
      <c r="F1790" s="307" t="s">
        <v>3906</v>
      </c>
      <c r="G1790" s="307" t="s">
        <v>3907</v>
      </c>
    </row>
    <row r="1791" spans="1:7" ht="13.5">
      <c r="A1791" s="307" t="s">
        <v>9137</v>
      </c>
      <c r="B1791" s="307" t="s">
        <v>9138</v>
      </c>
      <c r="C1791" s="307" t="s">
        <v>5814</v>
      </c>
      <c r="D1791" s="307" t="s">
        <v>9139</v>
      </c>
      <c r="E1791" s="307" t="s">
        <v>3905</v>
      </c>
      <c r="F1791" s="307" t="s">
        <v>3906</v>
      </c>
      <c r="G1791" s="307" t="s">
        <v>3907</v>
      </c>
    </row>
    <row r="1792" spans="1:7" ht="13.5">
      <c r="A1792" s="307" t="s">
        <v>9140</v>
      </c>
      <c r="B1792" s="307" t="s">
        <v>9141</v>
      </c>
      <c r="C1792" s="307" t="s">
        <v>5814</v>
      </c>
      <c r="D1792" s="307" t="s">
        <v>9142</v>
      </c>
      <c r="E1792" s="307" t="s">
        <v>3905</v>
      </c>
      <c r="F1792" s="307" t="s">
        <v>3906</v>
      </c>
      <c r="G1792" s="307" t="s">
        <v>3907</v>
      </c>
    </row>
    <row r="1793" spans="1:7" ht="13.5">
      <c r="A1793" s="307" t="s">
        <v>9143</v>
      </c>
      <c r="B1793" s="307" t="s">
        <v>9144</v>
      </c>
      <c r="C1793" s="307" t="s">
        <v>5814</v>
      </c>
      <c r="D1793" s="307" t="s">
        <v>9145</v>
      </c>
      <c r="E1793" s="307" t="s">
        <v>3905</v>
      </c>
      <c r="F1793" s="307" t="s">
        <v>3906</v>
      </c>
      <c r="G1793" s="307" t="s">
        <v>3907</v>
      </c>
    </row>
    <row r="1794" spans="1:7" ht="13.5">
      <c r="A1794" s="307" t="s">
        <v>9146</v>
      </c>
      <c r="B1794" s="307" t="s">
        <v>9147</v>
      </c>
      <c r="C1794" s="307" t="s">
        <v>5814</v>
      </c>
      <c r="D1794" s="307" t="s">
        <v>9148</v>
      </c>
      <c r="E1794" s="307" t="s">
        <v>3905</v>
      </c>
      <c r="F1794" s="307" t="s">
        <v>3906</v>
      </c>
      <c r="G1794" s="307" t="s">
        <v>3907</v>
      </c>
    </row>
    <row r="1795" spans="1:7" ht="13.5">
      <c r="A1795" s="307" t="s">
        <v>9149</v>
      </c>
      <c r="B1795" s="307" t="s">
        <v>9150</v>
      </c>
      <c r="C1795" s="307" t="s">
        <v>5814</v>
      </c>
      <c r="D1795" s="307" t="s">
        <v>9151</v>
      </c>
      <c r="E1795" s="307" t="s">
        <v>4021</v>
      </c>
      <c r="F1795" s="307" t="s">
        <v>3906</v>
      </c>
      <c r="G1795" s="307" t="s">
        <v>3907</v>
      </c>
    </row>
    <row r="1796" spans="1:7" ht="13.5">
      <c r="A1796" s="307" t="s">
        <v>9152</v>
      </c>
      <c r="B1796" s="307" t="s">
        <v>9153</v>
      </c>
      <c r="C1796" s="307" t="s">
        <v>5814</v>
      </c>
      <c r="D1796" s="307" t="s">
        <v>9154</v>
      </c>
      <c r="E1796" s="307" t="s">
        <v>3905</v>
      </c>
      <c r="F1796" s="307" t="s">
        <v>3906</v>
      </c>
      <c r="G1796" s="307" t="s">
        <v>3907</v>
      </c>
    </row>
    <row r="1797" spans="1:7" ht="13.5">
      <c r="A1797" s="307" t="s">
        <v>9155</v>
      </c>
      <c r="B1797" s="307" t="s">
        <v>9156</v>
      </c>
      <c r="C1797" s="307" t="s">
        <v>5814</v>
      </c>
      <c r="D1797" s="307" t="s">
        <v>9157</v>
      </c>
      <c r="E1797" s="307" t="s">
        <v>3905</v>
      </c>
      <c r="F1797" s="307" t="s">
        <v>3906</v>
      </c>
      <c r="G1797" s="307" t="s">
        <v>3907</v>
      </c>
    </row>
    <row r="1798" spans="1:7" ht="13.5">
      <c r="A1798" s="307" t="s">
        <v>9158</v>
      </c>
      <c r="B1798" s="307" t="s">
        <v>9159</v>
      </c>
      <c r="C1798" s="307" t="s">
        <v>5814</v>
      </c>
      <c r="D1798" s="307" t="s">
        <v>9160</v>
      </c>
      <c r="E1798" s="307" t="s">
        <v>3905</v>
      </c>
      <c r="F1798" s="307" t="s">
        <v>3906</v>
      </c>
      <c r="G1798" s="307" t="s">
        <v>3907</v>
      </c>
    </row>
    <row r="1799" spans="1:7" ht="13.5">
      <c r="A1799" s="307" t="s">
        <v>9161</v>
      </c>
      <c r="B1799" s="307" t="s">
        <v>9162</v>
      </c>
      <c r="C1799" s="307" t="s">
        <v>5814</v>
      </c>
      <c r="D1799" s="307" t="s">
        <v>9163</v>
      </c>
      <c r="E1799" s="307" t="s">
        <v>3905</v>
      </c>
      <c r="F1799" s="307" t="s">
        <v>3906</v>
      </c>
      <c r="G1799" s="307" t="s">
        <v>3907</v>
      </c>
    </row>
    <row r="1800" spans="1:7" ht="13.5">
      <c r="A1800" s="307" t="s">
        <v>9164</v>
      </c>
      <c r="B1800" s="307" t="s">
        <v>9165</v>
      </c>
      <c r="C1800" s="307" t="s">
        <v>5814</v>
      </c>
      <c r="D1800" s="307" t="s">
        <v>9166</v>
      </c>
      <c r="E1800" s="307" t="s">
        <v>3905</v>
      </c>
      <c r="F1800" s="307" t="s">
        <v>3906</v>
      </c>
      <c r="G1800" s="307" t="s">
        <v>3907</v>
      </c>
    </row>
    <row r="1801" spans="1:7" ht="13.5">
      <c r="A1801" s="307" t="s">
        <v>9167</v>
      </c>
      <c r="B1801" s="307" t="s">
        <v>9168</v>
      </c>
      <c r="C1801" s="307" t="s">
        <v>5814</v>
      </c>
      <c r="D1801" s="307" t="s">
        <v>9169</v>
      </c>
      <c r="E1801" s="307" t="s">
        <v>3905</v>
      </c>
      <c r="F1801" s="307" t="s">
        <v>3906</v>
      </c>
      <c r="G1801" s="307" t="s">
        <v>3907</v>
      </c>
    </row>
    <row r="1802" spans="1:7" ht="13.5">
      <c r="A1802" s="307" t="s">
        <v>9170</v>
      </c>
      <c r="B1802" s="307" t="s">
        <v>9171</v>
      </c>
      <c r="C1802" s="307" t="s">
        <v>5814</v>
      </c>
      <c r="D1802" s="307" t="s">
        <v>9172</v>
      </c>
      <c r="E1802" s="307" t="s">
        <v>3905</v>
      </c>
      <c r="F1802" s="307" t="s">
        <v>3906</v>
      </c>
      <c r="G1802" s="307" t="s">
        <v>3907</v>
      </c>
    </row>
    <row r="1803" spans="1:7" ht="13.5">
      <c r="A1803" s="307" t="s">
        <v>9173</v>
      </c>
      <c r="B1803" s="307" t="s">
        <v>9174</v>
      </c>
      <c r="C1803" s="307" t="s">
        <v>5814</v>
      </c>
      <c r="D1803" s="307" t="s">
        <v>9175</v>
      </c>
      <c r="E1803" s="307" t="s">
        <v>3905</v>
      </c>
      <c r="F1803" s="307" t="s">
        <v>3906</v>
      </c>
      <c r="G1803" s="307" t="s">
        <v>3907</v>
      </c>
    </row>
    <row r="1804" spans="1:7" ht="13.5">
      <c r="A1804" s="307" t="s">
        <v>9176</v>
      </c>
      <c r="B1804" s="307" t="s">
        <v>9177</v>
      </c>
      <c r="C1804" s="307" t="s">
        <v>5814</v>
      </c>
      <c r="D1804" s="307" t="s">
        <v>9178</v>
      </c>
      <c r="E1804" s="307" t="s">
        <v>3905</v>
      </c>
      <c r="F1804" s="307" t="s">
        <v>3906</v>
      </c>
      <c r="G1804" s="307" t="s">
        <v>3907</v>
      </c>
    </row>
    <row r="1805" spans="1:7" ht="13.5">
      <c r="A1805" s="307" t="s">
        <v>9179</v>
      </c>
      <c r="B1805" s="307" t="s">
        <v>9180</v>
      </c>
      <c r="C1805" s="307" t="s">
        <v>5814</v>
      </c>
      <c r="D1805" s="307" t="s">
        <v>9181</v>
      </c>
      <c r="E1805" s="307" t="s">
        <v>3905</v>
      </c>
      <c r="F1805" s="307" t="s">
        <v>3906</v>
      </c>
      <c r="G1805" s="307" t="s">
        <v>3907</v>
      </c>
    </row>
    <row r="1806" spans="1:7" ht="13.5">
      <c r="A1806" s="307" t="s">
        <v>9182</v>
      </c>
      <c r="B1806" s="307" t="s">
        <v>9183</v>
      </c>
      <c r="C1806" s="307" t="s">
        <v>5814</v>
      </c>
      <c r="D1806" s="307" t="s">
        <v>9184</v>
      </c>
      <c r="E1806" s="307" t="s">
        <v>3905</v>
      </c>
      <c r="F1806" s="307" t="s">
        <v>3906</v>
      </c>
      <c r="G1806" s="307" t="s">
        <v>3907</v>
      </c>
    </row>
    <row r="1807" spans="1:7" ht="13.5">
      <c r="A1807" s="307" t="s">
        <v>9185</v>
      </c>
      <c r="B1807" s="307" t="s">
        <v>9186</v>
      </c>
      <c r="C1807" s="307" t="s">
        <v>5814</v>
      </c>
      <c r="D1807" s="307" t="s">
        <v>9187</v>
      </c>
      <c r="E1807" s="307" t="s">
        <v>3905</v>
      </c>
      <c r="F1807" s="307" t="s">
        <v>3906</v>
      </c>
      <c r="G1807" s="307" t="s">
        <v>3907</v>
      </c>
    </row>
    <row r="1808" spans="1:7" ht="13.5">
      <c r="A1808" s="307" t="s">
        <v>9188</v>
      </c>
      <c r="B1808" s="307" t="s">
        <v>9189</v>
      </c>
      <c r="C1808" s="307" t="s">
        <v>5814</v>
      </c>
      <c r="D1808" s="307" t="s">
        <v>9190</v>
      </c>
      <c r="E1808" s="307" t="s">
        <v>4021</v>
      </c>
      <c r="F1808" s="307" t="s">
        <v>3906</v>
      </c>
      <c r="G1808" s="307" t="s">
        <v>3907</v>
      </c>
    </row>
    <row r="1809" spans="1:7" ht="13.5">
      <c r="A1809" s="307" t="s">
        <v>9191</v>
      </c>
      <c r="B1809" s="307" t="s">
        <v>9192</v>
      </c>
      <c r="C1809" s="307" t="s">
        <v>5814</v>
      </c>
      <c r="D1809" s="307" t="s">
        <v>9193</v>
      </c>
      <c r="E1809" s="307" t="s">
        <v>4021</v>
      </c>
      <c r="F1809" s="307" t="s">
        <v>3906</v>
      </c>
      <c r="G1809" s="307" t="s">
        <v>3907</v>
      </c>
    </row>
    <row r="1810" spans="1:7" ht="13.5">
      <c r="A1810" s="307" t="s">
        <v>9194</v>
      </c>
      <c r="B1810" s="307" t="s">
        <v>9195</v>
      </c>
      <c r="C1810" s="307" t="s">
        <v>5814</v>
      </c>
      <c r="D1810" s="307" t="s">
        <v>9196</v>
      </c>
      <c r="E1810" s="307" t="s">
        <v>3905</v>
      </c>
      <c r="F1810" s="307" t="s">
        <v>3906</v>
      </c>
      <c r="G1810" s="307" t="s">
        <v>3907</v>
      </c>
    </row>
    <row r="1811" spans="1:7" ht="13.5">
      <c r="A1811" s="307" t="s">
        <v>9197</v>
      </c>
      <c r="B1811" s="307" t="s">
        <v>9198</v>
      </c>
      <c r="C1811" s="307" t="s">
        <v>5814</v>
      </c>
      <c r="D1811" s="307" t="s">
        <v>9199</v>
      </c>
      <c r="E1811" s="307" t="s">
        <v>3905</v>
      </c>
      <c r="F1811" s="307" t="s">
        <v>3906</v>
      </c>
      <c r="G1811" s="307" t="s">
        <v>3907</v>
      </c>
    </row>
    <row r="1812" spans="1:7" ht="13.5">
      <c r="A1812" s="307" t="s">
        <v>9200</v>
      </c>
      <c r="B1812" s="307" t="s">
        <v>9201</v>
      </c>
      <c r="C1812" s="307" t="s">
        <v>5814</v>
      </c>
      <c r="D1812" s="307" t="s">
        <v>9202</v>
      </c>
      <c r="E1812" s="307" t="s">
        <v>3905</v>
      </c>
      <c r="F1812" s="307" t="s">
        <v>3906</v>
      </c>
      <c r="G1812" s="307" t="s">
        <v>3907</v>
      </c>
    </row>
    <row r="1813" spans="1:7" ht="13.5">
      <c r="A1813" s="307" t="s">
        <v>9203</v>
      </c>
      <c r="B1813" s="307" t="s">
        <v>9204</v>
      </c>
      <c r="C1813" s="307" t="s">
        <v>5814</v>
      </c>
      <c r="D1813" s="307" t="s">
        <v>9205</v>
      </c>
      <c r="E1813" s="307" t="s">
        <v>3905</v>
      </c>
      <c r="F1813" s="307" t="s">
        <v>3906</v>
      </c>
      <c r="G1813" s="307" t="s">
        <v>3907</v>
      </c>
    </row>
    <row r="1814" spans="1:7" ht="13.5">
      <c r="A1814" s="307" t="s">
        <v>9206</v>
      </c>
      <c r="B1814" s="307" t="s">
        <v>9207</v>
      </c>
      <c r="C1814" s="307" t="s">
        <v>5814</v>
      </c>
      <c r="D1814" s="307" t="s">
        <v>9208</v>
      </c>
      <c r="E1814" s="307" t="s">
        <v>3905</v>
      </c>
      <c r="F1814" s="307" t="s">
        <v>3906</v>
      </c>
      <c r="G1814" s="307" t="s">
        <v>3907</v>
      </c>
    </row>
    <row r="1815" spans="1:7" ht="13.5">
      <c r="A1815" s="307" t="s">
        <v>9209</v>
      </c>
      <c r="B1815" s="307" t="s">
        <v>9210</v>
      </c>
      <c r="C1815" s="307" t="s">
        <v>5814</v>
      </c>
      <c r="D1815" s="307" t="s">
        <v>9211</v>
      </c>
      <c r="E1815" s="307" t="s">
        <v>3905</v>
      </c>
      <c r="F1815" s="307" t="s">
        <v>3906</v>
      </c>
      <c r="G1815" s="307" t="s">
        <v>3907</v>
      </c>
    </row>
    <row r="1816" spans="1:7" ht="13.5">
      <c r="A1816" s="307" t="s">
        <v>9212</v>
      </c>
      <c r="B1816" s="307" t="s">
        <v>9213</v>
      </c>
      <c r="C1816" s="307" t="s">
        <v>5814</v>
      </c>
      <c r="D1816" s="307" t="s">
        <v>9214</v>
      </c>
      <c r="E1816" s="307" t="s">
        <v>4021</v>
      </c>
      <c r="F1816" s="307" t="s">
        <v>3906</v>
      </c>
      <c r="G1816" s="307" t="s">
        <v>3907</v>
      </c>
    </row>
    <row r="1817" spans="1:7" ht="13.5">
      <c r="A1817" s="307" t="s">
        <v>9215</v>
      </c>
      <c r="B1817" s="307" t="s">
        <v>9216</v>
      </c>
      <c r="C1817" s="307" t="s">
        <v>5814</v>
      </c>
      <c r="D1817" s="307" t="s">
        <v>9217</v>
      </c>
      <c r="E1817" s="307" t="s">
        <v>3905</v>
      </c>
      <c r="F1817" s="307" t="s">
        <v>3906</v>
      </c>
      <c r="G1817" s="307" t="s">
        <v>3907</v>
      </c>
    </row>
    <row r="1818" spans="1:7" ht="13.5">
      <c r="A1818" s="307" t="s">
        <v>9218</v>
      </c>
      <c r="B1818" s="307" t="s">
        <v>9219</v>
      </c>
      <c r="C1818" s="307" t="s">
        <v>5814</v>
      </c>
      <c r="D1818" s="307" t="s">
        <v>9220</v>
      </c>
      <c r="E1818" s="307" t="s">
        <v>3905</v>
      </c>
      <c r="F1818" s="307" t="s">
        <v>3906</v>
      </c>
      <c r="G1818" s="307" t="s">
        <v>3907</v>
      </c>
    </row>
    <row r="1819" spans="1:7" ht="13.5">
      <c r="A1819" s="307" t="s">
        <v>9221</v>
      </c>
      <c r="B1819" s="307" t="s">
        <v>9222</v>
      </c>
      <c r="C1819" s="307" t="s">
        <v>5814</v>
      </c>
      <c r="D1819" s="307" t="s">
        <v>9223</v>
      </c>
      <c r="E1819" s="307" t="s">
        <v>3905</v>
      </c>
      <c r="F1819" s="307" t="s">
        <v>3906</v>
      </c>
      <c r="G1819" s="307" t="s">
        <v>3907</v>
      </c>
    </row>
    <row r="1820" spans="1:7" ht="13.5">
      <c r="A1820" s="307" t="s">
        <v>9224</v>
      </c>
      <c r="B1820" s="307" t="s">
        <v>833</v>
      </c>
      <c r="C1820" s="307" t="s">
        <v>5814</v>
      </c>
      <c r="D1820" s="307" t="s">
        <v>9225</v>
      </c>
      <c r="E1820" s="307" t="s">
        <v>3905</v>
      </c>
      <c r="F1820" s="307" t="s">
        <v>3906</v>
      </c>
      <c r="G1820" s="307" t="s">
        <v>3907</v>
      </c>
    </row>
    <row r="1821" spans="1:7" ht="13.5">
      <c r="A1821" s="307" t="s">
        <v>9226</v>
      </c>
      <c r="B1821" s="307" t="s">
        <v>9227</v>
      </c>
      <c r="C1821" s="307" t="s">
        <v>5814</v>
      </c>
      <c r="D1821" s="307" t="s">
        <v>9228</v>
      </c>
      <c r="E1821" s="307" t="s">
        <v>3905</v>
      </c>
      <c r="F1821" s="307" t="s">
        <v>3906</v>
      </c>
      <c r="G1821" s="307" t="s">
        <v>3907</v>
      </c>
    </row>
    <row r="1822" spans="1:7" ht="13.5">
      <c r="A1822" s="307" t="s">
        <v>9229</v>
      </c>
      <c r="B1822" s="307" t="s">
        <v>9230</v>
      </c>
      <c r="C1822" s="307" t="s">
        <v>5814</v>
      </c>
      <c r="D1822" s="307" t="s">
        <v>9231</v>
      </c>
      <c r="E1822" s="307" t="s">
        <v>3905</v>
      </c>
      <c r="F1822" s="307" t="s">
        <v>3906</v>
      </c>
      <c r="G1822" s="307" t="s">
        <v>3907</v>
      </c>
    </row>
    <row r="1823" spans="1:7" ht="13.5">
      <c r="A1823" s="307" t="s">
        <v>9232</v>
      </c>
      <c r="B1823" s="307" t="s">
        <v>9233</v>
      </c>
      <c r="C1823" s="307" t="s">
        <v>5814</v>
      </c>
      <c r="D1823" s="307" t="s">
        <v>9234</v>
      </c>
      <c r="E1823" s="307" t="s">
        <v>3905</v>
      </c>
      <c r="F1823" s="307" t="s">
        <v>3906</v>
      </c>
      <c r="G1823" s="307" t="s">
        <v>3907</v>
      </c>
    </row>
    <row r="1824" spans="1:7" ht="13.5">
      <c r="A1824" s="307" t="s">
        <v>9235</v>
      </c>
      <c r="B1824" s="307" t="s">
        <v>9236</v>
      </c>
      <c r="C1824" s="307" t="s">
        <v>5814</v>
      </c>
      <c r="D1824" s="307" t="s">
        <v>9237</v>
      </c>
      <c r="E1824" s="307" t="s">
        <v>3905</v>
      </c>
      <c r="F1824" s="307" t="s">
        <v>3906</v>
      </c>
      <c r="G1824" s="307" t="s">
        <v>3907</v>
      </c>
    </row>
    <row r="1825" spans="1:7" ht="13.5">
      <c r="A1825" s="307" t="s">
        <v>9238</v>
      </c>
      <c r="B1825" s="307" t="s">
        <v>9239</v>
      </c>
      <c r="C1825" s="307" t="s">
        <v>5814</v>
      </c>
      <c r="D1825" s="307" t="s">
        <v>9240</v>
      </c>
      <c r="E1825" s="307" t="s">
        <v>3905</v>
      </c>
      <c r="F1825" s="307" t="s">
        <v>3906</v>
      </c>
      <c r="G1825" s="307" t="s">
        <v>3907</v>
      </c>
    </row>
    <row r="1826" spans="1:7" ht="13.5">
      <c r="A1826" s="307" t="s">
        <v>9241</v>
      </c>
      <c r="B1826" s="307" t="s">
        <v>9242</v>
      </c>
      <c r="C1826" s="307" t="s">
        <v>5814</v>
      </c>
      <c r="D1826" s="307" t="s">
        <v>9243</v>
      </c>
      <c r="E1826" s="307" t="s">
        <v>3905</v>
      </c>
      <c r="F1826" s="307" t="s">
        <v>3906</v>
      </c>
      <c r="G1826" s="307" t="s">
        <v>3907</v>
      </c>
    </row>
    <row r="1827" spans="1:7" ht="13.5">
      <c r="A1827" s="307" t="s">
        <v>9244</v>
      </c>
      <c r="B1827" s="307" t="s">
        <v>9245</v>
      </c>
      <c r="C1827" s="307" t="s">
        <v>5814</v>
      </c>
      <c r="D1827" s="307" t="s">
        <v>9246</v>
      </c>
      <c r="E1827" s="307" t="s">
        <v>3905</v>
      </c>
      <c r="F1827" s="307" t="s">
        <v>3906</v>
      </c>
      <c r="G1827" s="307" t="s">
        <v>3907</v>
      </c>
    </row>
    <row r="1828" spans="1:7" ht="13.5">
      <c r="A1828" s="307" t="s">
        <v>9247</v>
      </c>
      <c r="B1828" s="307" t="s">
        <v>9248</v>
      </c>
      <c r="C1828" s="307" t="s">
        <v>5814</v>
      </c>
      <c r="D1828" s="307" t="s">
        <v>9249</v>
      </c>
      <c r="E1828" s="307" t="s">
        <v>3905</v>
      </c>
      <c r="F1828" s="307" t="s">
        <v>3906</v>
      </c>
      <c r="G1828" s="307" t="s">
        <v>3907</v>
      </c>
    </row>
    <row r="1829" spans="1:7" ht="13.5">
      <c r="A1829" s="307" t="s">
        <v>9250</v>
      </c>
      <c r="B1829" s="307" t="s">
        <v>9251</v>
      </c>
      <c r="C1829" s="307" t="s">
        <v>5814</v>
      </c>
      <c r="D1829" s="307" t="s">
        <v>9252</v>
      </c>
      <c r="E1829" s="307" t="s">
        <v>3905</v>
      </c>
      <c r="F1829" s="307" t="s">
        <v>3906</v>
      </c>
      <c r="G1829" s="307" t="s">
        <v>3907</v>
      </c>
    </row>
    <row r="1830" spans="1:7" ht="13.5">
      <c r="A1830" s="307" t="s">
        <v>9253</v>
      </c>
      <c r="B1830" s="307" t="s">
        <v>9254</v>
      </c>
      <c r="C1830" s="307" t="s">
        <v>5814</v>
      </c>
      <c r="D1830" s="307" t="s">
        <v>9255</v>
      </c>
      <c r="E1830" s="307" t="s">
        <v>3905</v>
      </c>
      <c r="F1830" s="307" t="s">
        <v>3906</v>
      </c>
      <c r="G1830" s="307" t="s">
        <v>3907</v>
      </c>
    </row>
    <row r="1831" spans="1:7" ht="13.5">
      <c r="A1831" s="307" t="s">
        <v>9256</v>
      </c>
      <c r="B1831" s="307" t="s">
        <v>9257</v>
      </c>
      <c r="C1831" s="307" t="s">
        <v>5814</v>
      </c>
      <c r="D1831" s="307" t="s">
        <v>9258</v>
      </c>
      <c r="E1831" s="307" t="s">
        <v>3905</v>
      </c>
      <c r="F1831" s="307" t="s">
        <v>3906</v>
      </c>
      <c r="G1831" s="307" t="s">
        <v>3907</v>
      </c>
    </row>
    <row r="1832" spans="1:7" ht="13.5">
      <c r="A1832" s="307" t="s">
        <v>9259</v>
      </c>
      <c r="B1832" s="307" t="s">
        <v>9260</v>
      </c>
      <c r="C1832" s="307" t="s">
        <v>5814</v>
      </c>
      <c r="D1832" s="307" t="s">
        <v>9261</v>
      </c>
      <c r="E1832" s="307" t="s">
        <v>3905</v>
      </c>
      <c r="F1832" s="307" t="s">
        <v>3906</v>
      </c>
      <c r="G1832" s="307" t="s">
        <v>3907</v>
      </c>
    </row>
    <row r="1833" spans="1:7" ht="13.5">
      <c r="A1833" s="307" t="s">
        <v>9262</v>
      </c>
      <c r="B1833" s="307" t="s">
        <v>9263</v>
      </c>
      <c r="C1833" s="307" t="s">
        <v>5814</v>
      </c>
      <c r="D1833" s="307" t="s">
        <v>9264</v>
      </c>
      <c r="E1833" s="307" t="s">
        <v>3905</v>
      </c>
      <c r="F1833" s="307" t="s">
        <v>3906</v>
      </c>
      <c r="G1833" s="307" t="s">
        <v>3907</v>
      </c>
    </row>
    <row r="1834" spans="1:7" ht="13.5">
      <c r="A1834" s="307" t="s">
        <v>9265</v>
      </c>
      <c r="B1834" s="307" t="s">
        <v>9266</v>
      </c>
      <c r="C1834" s="307" t="s">
        <v>5814</v>
      </c>
      <c r="D1834" s="307" t="s">
        <v>9267</v>
      </c>
      <c r="E1834" s="307" t="s">
        <v>4021</v>
      </c>
      <c r="F1834" s="307" t="s">
        <v>3906</v>
      </c>
      <c r="G1834" s="307" t="s">
        <v>3907</v>
      </c>
    </row>
    <row r="1835" spans="1:7" ht="13.5">
      <c r="A1835" s="307" t="s">
        <v>9268</v>
      </c>
      <c r="B1835" s="307" t="s">
        <v>9269</v>
      </c>
      <c r="C1835" s="307" t="s">
        <v>5814</v>
      </c>
      <c r="D1835" s="307" t="s">
        <v>9270</v>
      </c>
      <c r="E1835" s="307" t="s">
        <v>3905</v>
      </c>
      <c r="F1835" s="307" t="s">
        <v>3906</v>
      </c>
      <c r="G1835" s="307" t="s">
        <v>3907</v>
      </c>
    </row>
    <row r="1836" spans="1:7" ht="13.5">
      <c r="A1836" s="307" t="s">
        <v>9271</v>
      </c>
      <c r="B1836" s="307" t="s">
        <v>9272</v>
      </c>
      <c r="C1836" s="307" t="s">
        <v>5814</v>
      </c>
      <c r="D1836" s="307" t="s">
        <v>9273</v>
      </c>
      <c r="E1836" s="307" t="s">
        <v>3905</v>
      </c>
      <c r="F1836" s="307" t="s">
        <v>3906</v>
      </c>
      <c r="G1836" s="307" t="s">
        <v>3907</v>
      </c>
    </row>
    <row r="1837" spans="1:7" ht="13.5">
      <c r="A1837" s="307" t="s">
        <v>9274</v>
      </c>
      <c r="B1837" s="307" t="s">
        <v>9275</v>
      </c>
      <c r="C1837" s="307" t="s">
        <v>5814</v>
      </c>
      <c r="D1837" s="307" t="s">
        <v>9276</v>
      </c>
      <c r="E1837" s="307" t="s">
        <v>3905</v>
      </c>
      <c r="F1837" s="307" t="s">
        <v>3906</v>
      </c>
      <c r="G1837" s="307" t="s">
        <v>3907</v>
      </c>
    </row>
    <row r="1838" spans="1:7" ht="13.5">
      <c r="A1838" s="307" t="s">
        <v>9277</v>
      </c>
      <c r="B1838" s="307" t="s">
        <v>9278</v>
      </c>
      <c r="C1838" s="307" t="s">
        <v>5814</v>
      </c>
      <c r="D1838" s="307" t="s">
        <v>9279</v>
      </c>
      <c r="E1838" s="307" t="s">
        <v>3905</v>
      </c>
      <c r="F1838" s="307" t="s">
        <v>3906</v>
      </c>
      <c r="G1838" s="307" t="s">
        <v>3907</v>
      </c>
    </row>
    <row r="1839" spans="1:7" ht="13.5">
      <c r="A1839" s="307" t="s">
        <v>9280</v>
      </c>
      <c r="B1839" s="307" t="s">
        <v>9281</v>
      </c>
      <c r="C1839" s="307" t="s">
        <v>5814</v>
      </c>
      <c r="D1839" s="307" t="s">
        <v>9282</v>
      </c>
      <c r="E1839" s="307" t="s">
        <v>3905</v>
      </c>
      <c r="F1839" s="307" t="s">
        <v>3906</v>
      </c>
      <c r="G1839" s="307" t="s">
        <v>3907</v>
      </c>
    </row>
    <row r="1840" spans="1:7" ht="13.5">
      <c r="A1840" s="307" t="s">
        <v>9283</v>
      </c>
      <c r="B1840" s="307" t="s">
        <v>9284</v>
      </c>
      <c r="C1840" s="307" t="s">
        <v>5814</v>
      </c>
      <c r="D1840" s="307" t="s">
        <v>9285</v>
      </c>
      <c r="E1840" s="307" t="s">
        <v>3905</v>
      </c>
      <c r="F1840" s="307" t="s">
        <v>3906</v>
      </c>
      <c r="G1840" s="307" t="s">
        <v>3907</v>
      </c>
    </row>
    <row r="1841" spans="1:7" ht="13.5">
      <c r="A1841" s="307" t="s">
        <v>9286</v>
      </c>
      <c r="B1841" s="307" t="s">
        <v>9287</v>
      </c>
      <c r="C1841" s="307" t="s">
        <v>5814</v>
      </c>
      <c r="D1841" s="307" t="s">
        <v>9288</v>
      </c>
      <c r="E1841" s="307" t="s">
        <v>3905</v>
      </c>
      <c r="F1841" s="307" t="s">
        <v>3906</v>
      </c>
      <c r="G1841" s="307" t="s">
        <v>3907</v>
      </c>
    </row>
    <row r="1842" spans="1:7" ht="13.5">
      <c r="A1842" s="307" t="s">
        <v>9289</v>
      </c>
      <c r="B1842" s="307" t="s">
        <v>9290</v>
      </c>
      <c r="C1842" s="307" t="s">
        <v>5814</v>
      </c>
      <c r="D1842" s="307" t="s">
        <v>9291</v>
      </c>
      <c r="E1842" s="307" t="s">
        <v>3905</v>
      </c>
      <c r="F1842" s="307" t="s">
        <v>3906</v>
      </c>
      <c r="G1842" s="307" t="s">
        <v>3907</v>
      </c>
    </row>
    <row r="1843" spans="1:7" ht="13.5">
      <c r="A1843" s="307" t="s">
        <v>9292</v>
      </c>
      <c r="B1843" s="307" t="s">
        <v>9293</v>
      </c>
      <c r="C1843" s="307" t="s">
        <v>5814</v>
      </c>
      <c r="D1843" s="307" t="s">
        <v>9294</v>
      </c>
      <c r="E1843" s="307" t="s">
        <v>4021</v>
      </c>
      <c r="F1843" s="307" t="s">
        <v>3906</v>
      </c>
      <c r="G1843" s="307" t="s">
        <v>3907</v>
      </c>
    </row>
    <row r="1844" spans="1:7" ht="13.5">
      <c r="A1844" s="307" t="s">
        <v>9295</v>
      </c>
      <c r="B1844" s="307" t="s">
        <v>9296</v>
      </c>
      <c r="C1844" s="307" t="s">
        <v>5814</v>
      </c>
      <c r="D1844" s="307" t="s">
        <v>9297</v>
      </c>
      <c r="E1844" s="307" t="s">
        <v>3905</v>
      </c>
      <c r="F1844" s="307" t="s">
        <v>3906</v>
      </c>
      <c r="G1844" s="307" t="s">
        <v>3907</v>
      </c>
    </row>
    <row r="1845" spans="1:7" ht="13.5">
      <c r="A1845" s="307" t="s">
        <v>9298</v>
      </c>
      <c r="B1845" s="307" t="s">
        <v>9299</v>
      </c>
      <c r="C1845" s="307" t="s">
        <v>5814</v>
      </c>
      <c r="D1845" s="307" t="s">
        <v>9297</v>
      </c>
      <c r="E1845" s="307" t="s">
        <v>3905</v>
      </c>
      <c r="F1845" s="307" t="s">
        <v>3906</v>
      </c>
      <c r="G1845" s="307" t="s">
        <v>3907</v>
      </c>
    </row>
    <row r="1846" spans="1:7" ht="13.5">
      <c r="A1846" s="307" t="s">
        <v>9300</v>
      </c>
      <c r="B1846" s="307" t="s">
        <v>9301</v>
      </c>
      <c r="C1846" s="307" t="s">
        <v>5814</v>
      </c>
      <c r="D1846" s="307" t="s">
        <v>9302</v>
      </c>
      <c r="E1846" s="307" t="s">
        <v>3905</v>
      </c>
      <c r="F1846" s="307" t="s">
        <v>3906</v>
      </c>
      <c r="G1846" s="307" t="s">
        <v>3907</v>
      </c>
    </row>
    <row r="1847" spans="1:7" ht="13.5">
      <c r="A1847" s="307" t="s">
        <v>9303</v>
      </c>
      <c r="B1847" s="307" t="s">
        <v>9304</v>
      </c>
      <c r="C1847" s="307" t="s">
        <v>5814</v>
      </c>
      <c r="D1847" s="307" t="s">
        <v>9305</v>
      </c>
      <c r="E1847" s="307" t="s">
        <v>3905</v>
      </c>
      <c r="F1847" s="307" t="s">
        <v>3906</v>
      </c>
      <c r="G1847" s="307" t="s">
        <v>3907</v>
      </c>
    </row>
    <row r="1848" spans="1:7" ht="13.5">
      <c r="A1848" s="307" t="s">
        <v>9306</v>
      </c>
      <c r="B1848" s="307" t="s">
        <v>9307</v>
      </c>
      <c r="C1848" s="307" t="s">
        <v>5814</v>
      </c>
      <c r="D1848" s="307" t="s">
        <v>9308</v>
      </c>
      <c r="E1848" s="307" t="s">
        <v>3905</v>
      </c>
      <c r="F1848" s="307" t="s">
        <v>3906</v>
      </c>
      <c r="G1848" s="307" t="s">
        <v>3907</v>
      </c>
    </row>
    <row r="1849" spans="1:7" ht="13.5">
      <c r="A1849" s="307" t="s">
        <v>9309</v>
      </c>
      <c r="B1849" s="307" t="s">
        <v>9310</v>
      </c>
      <c r="C1849" s="307" t="s">
        <v>5814</v>
      </c>
      <c r="D1849" s="307" t="s">
        <v>9311</v>
      </c>
      <c r="E1849" s="307" t="s">
        <v>3905</v>
      </c>
      <c r="F1849" s="307" t="s">
        <v>3906</v>
      </c>
      <c r="G1849" s="307" t="s">
        <v>3907</v>
      </c>
    </row>
    <row r="1850" spans="1:7" ht="13.5">
      <c r="A1850" s="307" t="s">
        <v>9312</v>
      </c>
      <c r="B1850" s="307" t="s">
        <v>9313</v>
      </c>
      <c r="C1850" s="307" t="s">
        <v>5814</v>
      </c>
      <c r="D1850" s="307" t="s">
        <v>9314</v>
      </c>
      <c r="E1850" s="307" t="s">
        <v>3905</v>
      </c>
      <c r="F1850" s="307" t="s">
        <v>3906</v>
      </c>
      <c r="G1850" s="307" t="s">
        <v>3907</v>
      </c>
    </row>
    <row r="1851" spans="1:7" ht="13.5">
      <c r="A1851" s="307" t="s">
        <v>9315</v>
      </c>
      <c r="B1851" s="307" t="s">
        <v>9316</v>
      </c>
      <c r="C1851" s="307" t="s">
        <v>5814</v>
      </c>
      <c r="D1851" s="307" t="s">
        <v>9317</v>
      </c>
      <c r="E1851" s="307" t="s">
        <v>3905</v>
      </c>
      <c r="F1851" s="307" t="s">
        <v>3906</v>
      </c>
      <c r="G1851" s="307" t="s">
        <v>3907</v>
      </c>
    </row>
    <row r="1852" spans="1:7" ht="13.5">
      <c r="A1852" s="307" t="s">
        <v>9318</v>
      </c>
      <c r="B1852" s="307" t="s">
        <v>9319</v>
      </c>
      <c r="C1852" s="307" t="s">
        <v>5814</v>
      </c>
      <c r="D1852" s="307" t="s">
        <v>9320</v>
      </c>
      <c r="E1852" s="307" t="s">
        <v>3905</v>
      </c>
      <c r="F1852" s="307" t="s">
        <v>3906</v>
      </c>
      <c r="G1852" s="307" t="s">
        <v>3907</v>
      </c>
    </row>
    <row r="1853" spans="1:7" ht="13.5">
      <c r="A1853" s="307" t="s">
        <v>9321</v>
      </c>
      <c r="B1853" s="307" t="s">
        <v>9322</v>
      </c>
      <c r="C1853" s="307" t="s">
        <v>5814</v>
      </c>
      <c r="D1853" s="307" t="s">
        <v>9323</v>
      </c>
      <c r="E1853" s="307" t="s">
        <v>3905</v>
      </c>
      <c r="F1853" s="307" t="s">
        <v>3906</v>
      </c>
      <c r="G1853" s="307" t="s">
        <v>3907</v>
      </c>
    </row>
    <row r="1854" spans="1:7" ht="13.5">
      <c r="A1854" s="307" t="s">
        <v>9324</v>
      </c>
      <c r="B1854" s="307" t="s">
        <v>9325</v>
      </c>
      <c r="C1854" s="307" t="s">
        <v>5814</v>
      </c>
      <c r="D1854" s="307" t="s">
        <v>9326</v>
      </c>
      <c r="E1854" s="307" t="s">
        <v>3905</v>
      </c>
      <c r="F1854" s="307" t="s">
        <v>3906</v>
      </c>
      <c r="G1854" s="307" t="s">
        <v>3907</v>
      </c>
    </row>
    <row r="1855" spans="1:7" ht="13.5">
      <c r="A1855" s="307" t="s">
        <v>9327</v>
      </c>
      <c r="B1855" s="307" t="s">
        <v>9328</v>
      </c>
      <c r="C1855" s="307" t="s">
        <v>5814</v>
      </c>
      <c r="D1855" s="307" t="s">
        <v>9329</v>
      </c>
      <c r="E1855" s="307" t="s">
        <v>3905</v>
      </c>
      <c r="F1855" s="307" t="s">
        <v>3906</v>
      </c>
      <c r="G1855" s="307" t="s">
        <v>3907</v>
      </c>
    </row>
    <row r="1856" spans="1:7" ht="13.5">
      <c r="A1856" s="307" t="s">
        <v>9330</v>
      </c>
      <c r="B1856" s="307" t="s">
        <v>9331</v>
      </c>
      <c r="C1856" s="307" t="s">
        <v>5814</v>
      </c>
      <c r="D1856" s="307" t="s">
        <v>9332</v>
      </c>
      <c r="E1856" s="307" t="s">
        <v>3905</v>
      </c>
      <c r="F1856" s="307" t="s">
        <v>3906</v>
      </c>
      <c r="G1856" s="307" t="s">
        <v>3907</v>
      </c>
    </row>
    <row r="1857" spans="1:7" ht="13.5">
      <c r="A1857" s="307" t="s">
        <v>9333</v>
      </c>
      <c r="B1857" s="307" t="s">
        <v>9334</v>
      </c>
      <c r="C1857" s="307" t="s">
        <v>5814</v>
      </c>
      <c r="D1857" s="307" t="s">
        <v>9335</v>
      </c>
      <c r="E1857" s="307" t="s">
        <v>4021</v>
      </c>
      <c r="F1857" s="307" t="s">
        <v>3906</v>
      </c>
      <c r="G1857" s="307" t="s">
        <v>3907</v>
      </c>
    </row>
    <row r="1858" spans="1:7" ht="13.5">
      <c r="A1858" s="307" t="s">
        <v>9336</v>
      </c>
      <c r="B1858" s="307" t="s">
        <v>9337</v>
      </c>
      <c r="C1858" s="307" t="s">
        <v>5814</v>
      </c>
      <c r="D1858" s="307" t="s">
        <v>9338</v>
      </c>
      <c r="E1858" s="307" t="s">
        <v>3905</v>
      </c>
      <c r="F1858" s="307" t="s">
        <v>3906</v>
      </c>
      <c r="G1858" s="307" t="s">
        <v>3907</v>
      </c>
    </row>
    <row r="1859" spans="1:7" ht="13.5">
      <c r="A1859" s="307" t="s">
        <v>9339</v>
      </c>
      <c r="B1859" s="307" t="s">
        <v>9340</v>
      </c>
      <c r="C1859" s="307" t="s">
        <v>5814</v>
      </c>
      <c r="D1859" s="307" t="s">
        <v>9341</v>
      </c>
      <c r="E1859" s="307" t="s">
        <v>3905</v>
      </c>
      <c r="F1859" s="307" t="s">
        <v>3906</v>
      </c>
      <c r="G1859" s="307" t="s">
        <v>3907</v>
      </c>
    </row>
    <row r="1860" spans="1:7" ht="13.5">
      <c r="A1860" s="307" t="s">
        <v>9342</v>
      </c>
      <c r="B1860" s="307" t="s">
        <v>9343</v>
      </c>
      <c r="C1860" s="307" t="s">
        <v>5814</v>
      </c>
      <c r="D1860" s="307" t="s">
        <v>9344</v>
      </c>
      <c r="E1860" s="307" t="s">
        <v>3905</v>
      </c>
      <c r="F1860" s="307" t="s">
        <v>3906</v>
      </c>
      <c r="G1860" s="307" t="s">
        <v>3907</v>
      </c>
    </row>
    <row r="1861" spans="1:7" ht="13.5">
      <c r="A1861" s="307" t="s">
        <v>9345</v>
      </c>
      <c r="B1861" s="307" t="s">
        <v>9346</v>
      </c>
      <c r="C1861" s="307" t="s">
        <v>5814</v>
      </c>
      <c r="D1861" s="307" t="s">
        <v>9347</v>
      </c>
      <c r="E1861" s="307" t="s">
        <v>3905</v>
      </c>
      <c r="F1861" s="307" t="s">
        <v>3906</v>
      </c>
      <c r="G1861" s="307" t="s">
        <v>3907</v>
      </c>
    </row>
    <row r="1862" spans="1:7" ht="13.5">
      <c r="A1862" s="307" t="s">
        <v>9348</v>
      </c>
      <c r="B1862" s="307" t="s">
        <v>9349</v>
      </c>
      <c r="C1862" s="307" t="s">
        <v>5814</v>
      </c>
      <c r="D1862" s="307" t="s">
        <v>9350</v>
      </c>
      <c r="E1862" s="307" t="s">
        <v>3905</v>
      </c>
      <c r="F1862" s="307" t="s">
        <v>3906</v>
      </c>
      <c r="G1862" s="307" t="s">
        <v>3907</v>
      </c>
    </row>
    <row r="1863" spans="1:7" ht="13.5">
      <c r="A1863" s="307" t="s">
        <v>9351</v>
      </c>
      <c r="B1863" s="307" t="s">
        <v>9352</v>
      </c>
      <c r="C1863" s="307" t="s">
        <v>5814</v>
      </c>
      <c r="D1863" s="307" t="s">
        <v>9353</v>
      </c>
      <c r="E1863" s="307" t="s">
        <v>3905</v>
      </c>
      <c r="F1863" s="307" t="s">
        <v>3906</v>
      </c>
      <c r="G1863" s="307" t="s">
        <v>3907</v>
      </c>
    </row>
    <row r="1864" spans="1:7" ht="13.5">
      <c r="A1864" s="307" t="s">
        <v>9354</v>
      </c>
      <c r="B1864" s="307" t="s">
        <v>9355</v>
      </c>
      <c r="C1864" s="307" t="s">
        <v>5814</v>
      </c>
      <c r="D1864" s="307" t="s">
        <v>9356</v>
      </c>
      <c r="E1864" s="307" t="s">
        <v>3905</v>
      </c>
      <c r="F1864" s="307" t="s">
        <v>3906</v>
      </c>
      <c r="G1864" s="307" t="s">
        <v>3907</v>
      </c>
    </row>
    <row r="1865" spans="1:7" ht="13.5">
      <c r="A1865" s="307" t="s">
        <v>9357</v>
      </c>
      <c r="B1865" s="307" t="s">
        <v>9358</v>
      </c>
      <c r="C1865" s="307" t="s">
        <v>5814</v>
      </c>
      <c r="D1865" s="307" t="s">
        <v>9359</v>
      </c>
      <c r="E1865" s="307" t="s">
        <v>3905</v>
      </c>
      <c r="F1865" s="307" t="s">
        <v>3906</v>
      </c>
      <c r="G1865" s="307" t="s">
        <v>3907</v>
      </c>
    </row>
    <row r="1866" spans="1:7" ht="13.5">
      <c r="A1866" s="307" t="s">
        <v>9360</v>
      </c>
      <c r="B1866" s="307" t="s">
        <v>9361</v>
      </c>
      <c r="C1866" s="307" t="s">
        <v>5814</v>
      </c>
      <c r="D1866" s="307" t="s">
        <v>9362</v>
      </c>
      <c r="E1866" s="307" t="s">
        <v>3905</v>
      </c>
      <c r="F1866" s="307" t="s">
        <v>3906</v>
      </c>
      <c r="G1866" s="307" t="s">
        <v>3907</v>
      </c>
    </row>
    <row r="1867" spans="1:7" ht="13.5">
      <c r="A1867" s="307" t="s">
        <v>9363</v>
      </c>
      <c r="B1867" s="307" t="s">
        <v>9364</v>
      </c>
      <c r="C1867" s="307" t="s">
        <v>5814</v>
      </c>
      <c r="D1867" s="307" t="s">
        <v>9365</v>
      </c>
      <c r="E1867" s="307" t="s">
        <v>3905</v>
      </c>
      <c r="F1867" s="307" t="s">
        <v>3906</v>
      </c>
      <c r="G1867" s="307" t="s">
        <v>3907</v>
      </c>
    </row>
    <row r="1868" spans="1:7" ht="13.5">
      <c r="A1868" s="307" t="s">
        <v>9366</v>
      </c>
      <c r="B1868" s="307" t="s">
        <v>9367</v>
      </c>
      <c r="C1868" s="307" t="s">
        <v>5814</v>
      </c>
      <c r="D1868" s="307" t="s">
        <v>9368</v>
      </c>
      <c r="E1868" s="307" t="s">
        <v>3905</v>
      </c>
      <c r="F1868" s="307" t="s">
        <v>3906</v>
      </c>
      <c r="G1868" s="307" t="s">
        <v>3907</v>
      </c>
    </row>
    <row r="1869" spans="1:7" ht="13.5">
      <c r="A1869" s="307" t="s">
        <v>9369</v>
      </c>
      <c r="B1869" s="307" t="s">
        <v>9370</v>
      </c>
      <c r="C1869" s="307" t="s">
        <v>5814</v>
      </c>
      <c r="D1869" s="307" t="s">
        <v>9371</v>
      </c>
      <c r="E1869" s="307" t="s">
        <v>3905</v>
      </c>
      <c r="F1869" s="307" t="s">
        <v>3906</v>
      </c>
      <c r="G1869" s="307" t="s">
        <v>3907</v>
      </c>
    </row>
    <row r="1870" spans="1:7" ht="13.5">
      <c r="A1870" s="307" t="s">
        <v>9372</v>
      </c>
      <c r="B1870" s="307" t="s">
        <v>9373</v>
      </c>
      <c r="C1870" s="307" t="s">
        <v>5814</v>
      </c>
      <c r="D1870" s="307" t="s">
        <v>9374</v>
      </c>
      <c r="E1870" s="307" t="s">
        <v>3905</v>
      </c>
      <c r="F1870" s="307" t="s">
        <v>3906</v>
      </c>
      <c r="G1870" s="307" t="s">
        <v>3907</v>
      </c>
    </row>
    <row r="1871" spans="1:7" ht="13.5">
      <c r="A1871" s="307" t="s">
        <v>9375</v>
      </c>
      <c r="B1871" s="307" t="s">
        <v>9376</v>
      </c>
      <c r="C1871" s="307" t="s">
        <v>5814</v>
      </c>
      <c r="D1871" s="307" t="s">
        <v>9377</v>
      </c>
      <c r="E1871" s="307" t="s">
        <v>3905</v>
      </c>
      <c r="F1871" s="307" t="s">
        <v>3906</v>
      </c>
      <c r="G1871" s="307" t="s">
        <v>3907</v>
      </c>
    </row>
    <row r="1872" spans="1:7" ht="13.5">
      <c r="A1872" s="307" t="s">
        <v>9378</v>
      </c>
      <c r="B1872" s="307" t="s">
        <v>9379</v>
      </c>
      <c r="C1872" s="307" t="s">
        <v>5814</v>
      </c>
      <c r="D1872" s="307" t="s">
        <v>9380</v>
      </c>
      <c r="E1872" s="307" t="s">
        <v>3905</v>
      </c>
      <c r="F1872" s="307" t="s">
        <v>3906</v>
      </c>
      <c r="G1872" s="307" t="s">
        <v>3907</v>
      </c>
    </row>
    <row r="1873" spans="1:7" ht="13.5">
      <c r="A1873" s="307" t="s">
        <v>9381</v>
      </c>
      <c r="B1873" s="307" t="s">
        <v>9382</v>
      </c>
      <c r="C1873" s="307" t="s">
        <v>5814</v>
      </c>
      <c r="D1873" s="307" t="s">
        <v>9383</v>
      </c>
      <c r="E1873" s="307" t="s">
        <v>3905</v>
      </c>
      <c r="F1873" s="307" t="s">
        <v>3906</v>
      </c>
      <c r="G1873" s="307" t="s">
        <v>3907</v>
      </c>
    </row>
    <row r="1874" spans="1:7" ht="13.5">
      <c r="A1874" s="307" t="s">
        <v>9384</v>
      </c>
      <c r="B1874" s="307" t="s">
        <v>9385</v>
      </c>
      <c r="C1874" s="307" t="s">
        <v>5814</v>
      </c>
      <c r="D1874" s="307" t="s">
        <v>9386</v>
      </c>
      <c r="E1874" s="307" t="s">
        <v>3905</v>
      </c>
      <c r="F1874" s="307" t="s">
        <v>3906</v>
      </c>
      <c r="G1874" s="307" t="s">
        <v>3907</v>
      </c>
    </row>
    <row r="1875" spans="1:7" ht="13.5">
      <c r="A1875" s="307" t="s">
        <v>9387</v>
      </c>
      <c r="B1875" s="307" t="s">
        <v>9388</v>
      </c>
      <c r="C1875" s="307" t="s">
        <v>5814</v>
      </c>
      <c r="D1875" s="307" t="s">
        <v>9389</v>
      </c>
      <c r="E1875" s="307" t="s">
        <v>3905</v>
      </c>
      <c r="F1875" s="307" t="s">
        <v>3906</v>
      </c>
      <c r="G1875" s="307" t="s">
        <v>3907</v>
      </c>
    </row>
    <row r="1876" spans="1:7" ht="13.5">
      <c r="A1876" s="307" t="s">
        <v>9390</v>
      </c>
      <c r="B1876" s="307" t="s">
        <v>9391</v>
      </c>
      <c r="C1876" s="307" t="s">
        <v>5814</v>
      </c>
      <c r="D1876" s="307" t="s">
        <v>9392</v>
      </c>
      <c r="E1876" s="307" t="s">
        <v>3905</v>
      </c>
      <c r="F1876" s="307" t="s">
        <v>3906</v>
      </c>
      <c r="G1876" s="307" t="s">
        <v>3907</v>
      </c>
    </row>
    <row r="1877" spans="1:7" ht="13.5">
      <c r="A1877" s="307" t="s">
        <v>9393</v>
      </c>
      <c r="B1877" s="307" t="s">
        <v>9394</v>
      </c>
      <c r="C1877" s="307" t="s">
        <v>5814</v>
      </c>
      <c r="D1877" s="307" t="s">
        <v>9395</v>
      </c>
      <c r="E1877" s="307" t="s">
        <v>3905</v>
      </c>
      <c r="F1877" s="307" t="s">
        <v>3906</v>
      </c>
      <c r="G1877" s="307" t="s">
        <v>3907</v>
      </c>
    </row>
    <row r="1878" spans="1:7" ht="13.5">
      <c r="A1878" s="307" t="s">
        <v>9396</v>
      </c>
      <c r="B1878" s="307" t="s">
        <v>9397</v>
      </c>
      <c r="C1878" s="307" t="s">
        <v>5814</v>
      </c>
      <c r="D1878" s="307" t="s">
        <v>9398</v>
      </c>
      <c r="E1878" s="307" t="s">
        <v>3905</v>
      </c>
      <c r="F1878" s="307" t="s">
        <v>3906</v>
      </c>
      <c r="G1878" s="307" t="s">
        <v>3907</v>
      </c>
    </row>
    <row r="1879" spans="1:7" ht="13.5">
      <c r="A1879" s="307" t="s">
        <v>9399</v>
      </c>
      <c r="B1879" s="307" t="s">
        <v>9400</v>
      </c>
      <c r="C1879" s="307" t="s">
        <v>5814</v>
      </c>
      <c r="D1879" s="307" t="s">
        <v>9401</v>
      </c>
      <c r="E1879" s="307" t="s">
        <v>3905</v>
      </c>
      <c r="F1879" s="307" t="s">
        <v>3906</v>
      </c>
      <c r="G1879" s="307" t="s">
        <v>3907</v>
      </c>
    </row>
    <row r="1880" spans="1:7" ht="13.5">
      <c r="A1880" s="307" t="s">
        <v>9402</v>
      </c>
      <c r="B1880" s="307" t="s">
        <v>9403</v>
      </c>
      <c r="C1880" s="307" t="s">
        <v>5814</v>
      </c>
      <c r="D1880" s="307" t="s">
        <v>9404</v>
      </c>
      <c r="E1880" s="307" t="s">
        <v>3905</v>
      </c>
      <c r="F1880" s="307" t="s">
        <v>3906</v>
      </c>
      <c r="G1880" s="307" t="s">
        <v>3907</v>
      </c>
    </row>
    <row r="1881" spans="1:7" ht="13.5">
      <c r="A1881" s="307" t="s">
        <v>9405</v>
      </c>
      <c r="B1881" s="307" t="s">
        <v>9406</v>
      </c>
      <c r="C1881" s="307" t="s">
        <v>5814</v>
      </c>
      <c r="D1881" s="307" t="s">
        <v>9407</v>
      </c>
      <c r="E1881" s="307" t="s">
        <v>3905</v>
      </c>
      <c r="F1881" s="307" t="s">
        <v>3906</v>
      </c>
      <c r="G1881" s="307" t="s">
        <v>3907</v>
      </c>
    </row>
    <row r="1882" spans="1:7" ht="13.5">
      <c r="A1882" s="307" t="s">
        <v>9408</v>
      </c>
      <c r="B1882" s="307" t="s">
        <v>9409</v>
      </c>
      <c r="C1882" s="307" t="s">
        <v>5814</v>
      </c>
      <c r="D1882" s="307" t="s">
        <v>9410</v>
      </c>
      <c r="E1882" s="307" t="s">
        <v>3905</v>
      </c>
      <c r="F1882" s="307" t="s">
        <v>3906</v>
      </c>
      <c r="G1882" s="307" t="s">
        <v>3907</v>
      </c>
    </row>
    <row r="1883" spans="1:7" ht="13.5">
      <c r="A1883" s="307" t="s">
        <v>9411</v>
      </c>
      <c r="B1883" s="307" t="s">
        <v>9412</v>
      </c>
      <c r="C1883" s="307" t="s">
        <v>5814</v>
      </c>
      <c r="D1883" s="307" t="s">
        <v>9413</v>
      </c>
      <c r="E1883" s="307" t="s">
        <v>3905</v>
      </c>
      <c r="F1883" s="307" t="s">
        <v>3906</v>
      </c>
      <c r="G1883" s="307" t="s">
        <v>3907</v>
      </c>
    </row>
    <row r="1884" spans="1:7" ht="13.5">
      <c r="A1884" s="307" t="s">
        <v>9414</v>
      </c>
      <c r="B1884" s="307" t="s">
        <v>9415</v>
      </c>
      <c r="C1884" s="307" t="s">
        <v>5814</v>
      </c>
      <c r="D1884" s="307" t="s">
        <v>9416</v>
      </c>
      <c r="E1884" s="307" t="s">
        <v>4021</v>
      </c>
      <c r="F1884" s="307" t="s">
        <v>3906</v>
      </c>
      <c r="G1884" s="307" t="s">
        <v>3907</v>
      </c>
    </row>
    <row r="1885" spans="1:7" ht="13.5">
      <c r="A1885" s="307" t="s">
        <v>9417</v>
      </c>
      <c r="B1885" s="307" t="s">
        <v>9418</v>
      </c>
      <c r="C1885" s="307" t="s">
        <v>5814</v>
      </c>
      <c r="D1885" s="307" t="s">
        <v>9419</v>
      </c>
      <c r="E1885" s="307" t="s">
        <v>3905</v>
      </c>
      <c r="F1885" s="307" t="s">
        <v>3906</v>
      </c>
      <c r="G1885" s="307" t="s">
        <v>3907</v>
      </c>
    </row>
    <row r="1886" spans="1:7" ht="13.5">
      <c r="A1886" s="307" t="s">
        <v>9420</v>
      </c>
      <c r="B1886" s="307" t="s">
        <v>9421</v>
      </c>
      <c r="C1886" s="307" t="s">
        <v>5814</v>
      </c>
      <c r="D1886" s="307" t="s">
        <v>9422</v>
      </c>
      <c r="E1886" s="307" t="s">
        <v>3905</v>
      </c>
      <c r="F1886" s="307" t="s">
        <v>3906</v>
      </c>
      <c r="G1886" s="307" t="s">
        <v>3907</v>
      </c>
    </row>
    <row r="1887" spans="1:7" ht="13.5">
      <c r="A1887" s="307" t="s">
        <v>9423</v>
      </c>
      <c r="B1887" s="307" t="s">
        <v>9424</v>
      </c>
      <c r="C1887" s="307" t="s">
        <v>5814</v>
      </c>
      <c r="D1887" s="307" t="s">
        <v>9425</v>
      </c>
      <c r="E1887" s="307" t="s">
        <v>3905</v>
      </c>
      <c r="F1887" s="307" t="s">
        <v>3906</v>
      </c>
      <c r="G1887" s="307" t="s">
        <v>3907</v>
      </c>
    </row>
    <row r="1888" spans="1:7" ht="13.5">
      <c r="A1888" s="307" t="s">
        <v>9426</v>
      </c>
      <c r="B1888" s="307" t="s">
        <v>9427</v>
      </c>
      <c r="C1888" s="307" t="s">
        <v>5814</v>
      </c>
      <c r="D1888" s="307" t="s">
        <v>9428</v>
      </c>
      <c r="E1888" s="307" t="s">
        <v>3905</v>
      </c>
      <c r="F1888" s="307" t="s">
        <v>3906</v>
      </c>
      <c r="G1888" s="307" t="s">
        <v>3907</v>
      </c>
    </row>
    <row r="1889" spans="1:7" ht="13.5">
      <c r="A1889" s="307" t="s">
        <v>9429</v>
      </c>
      <c r="B1889" s="307" t="s">
        <v>9430</v>
      </c>
      <c r="C1889" s="307" t="s">
        <v>5814</v>
      </c>
      <c r="D1889" s="307" t="s">
        <v>9431</v>
      </c>
      <c r="E1889" s="307" t="s">
        <v>3905</v>
      </c>
      <c r="F1889" s="307" t="s">
        <v>3906</v>
      </c>
      <c r="G1889" s="307" t="s">
        <v>3907</v>
      </c>
    </row>
    <row r="1890" spans="1:7" ht="13.5">
      <c r="A1890" s="307" t="s">
        <v>9432</v>
      </c>
      <c r="B1890" s="307" t="s">
        <v>9433</v>
      </c>
      <c r="C1890" s="307" t="s">
        <v>5814</v>
      </c>
      <c r="D1890" s="307" t="s">
        <v>9434</v>
      </c>
      <c r="E1890" s="307" t="s">
        <v>3905</v>
      </c>
      <c r="F1890" s="307" t="s">
        <v>3906</v>
      </c>
      <c r="G1890" s="307" t="s">
        <v>3907</v>
      </c>
    </row>
    <row r="1891" spans="1:7" ht="13.5">
      <c r="A1891" s="307" t="s">
        <v>9435</v>
      </c>
      <c r="B1891" s="307" t="s">
        <v>9436</v>
      </c>
      <c r="C1891" s="307" t="s">
        <v>5814</v>
      </c>
      <c r="D1891" s="307" t="s">
        <v>9437</v>
      </c>
      <c r="E1891" s="307" t="s">
        <v>3905</v>
      </c>
      <c r="F1891" s="307" t="s">
        <v>3906</v>
      </c>
      <c r="G1891" s="307" t="s">
        <v>3907</v>
      </c>
    </row>
    <row r="1892" spans="1:7" ht="13.5">
      <c r="A1892" s="307" t="s">
        <v>9438</v>
      </c>
      <c r="B1892" s="307" t="s">
        <v>9439</v>
      </c>
      <c r="C1892" s="307" t="s">
        <v>5814</v>
      </c>
      <c r="D1892" s="307" t="s">
        <v>9440</v>
      </c>
      <c r="E1892" s="307" t="s">
        <v>3905</v>
      </c>
      <c r="F1892" s="307" t="s">
        <v>3906</v>
      </c>
      <c r="G1892" s="307" t="s">
        <v>3907</v>
      </c>
    </row>
    <row r="1893" spans="1:7" ht="13.5">
      <c r="A1893" s="307" t="s">
        <v>9441</v>
      </c>
      <c r="B1893" s="307" t="s">
        <v>9442</v>
      </c>
      <c r="C1893" s="307" t="s">
        <v>5814</v>
      </c>
      <c r="D1893" s="307" t="s">
        <v>9443</v>
      </c>
      <c r="E1893" s="307" t="s">
        <v>3905</v>
      </c>
      <c r="F1893" s="307" t="s">
        <v>3906</v>
      </c>
      <c r="G1893" s="307" t="s">
        <v>3907</v>
      </c>
    </row>
    <row r="1894" spans="1:7" ht="13.5">
      <c r="A1894" s="307" t="s">
        <v>9444</v>
      </c>
      <c r="B1894" s="307" t="s">
        <v>9445</v>
      </c>
      <c r="C1894" s="307" t="s">
        <v>5814</v>
      </c>
      <c r="D1894" s="307" t="s">
        <v>9446</v>
      </c>
      <c r="E1894" s="307" t="s">
        <v>3905</v>
      </c>
      <c r="F1894" s="307" t="s">
        <v>3906</v>
      </c>
      <c r="G1894" s="307" t="s">
        <v>3907</v>
      </c>
    </row>
    <row r="1895" spans="1:7" ht="13.5">
      <c r="A1895" s="307" t="s">
        <v>9447</v>
      </c>
      <c r="B1895" s="307" t="s">
        <v>9448</v>
      </c>
      <c r="C1895" s="307" t="s">
        <v>5814</v>
      </c>
      <c r="D1895" s="307" t="s">
        <v>9449</v>
      </c>
      <c r="E1895" s="307" t="s">
        <v>3905</v>
      </c>
      <c r="F1895" s="307" t="s">
        <v>3906</v>
      </c>
      <c r="G1895" s="307" t="s">
        <v>3907</v>
      </c>
    </row>
    <row r="1896" spans="1:7" ht="13.5">
      <c r="A1896" s="307" t="s">
        <v>9450</v>
      </c>
      <c r="B1896" s="307" t="s">
        <v>9451</v>
      </c>
      <c r="C1896" s="307" t="s">
        <v>5814</v>
      </c>
      <c r="D1896" s="307" t="s">
        <v>9452</v>
      </c>
      <c r="E1896" s="307" t="s">
        <v>3905</v>
      </c>
      <c r="F1896" s="307" t="s">
        <v>3906</v>
      </c>
      <c r="G1896" s="307" t="s">
        <v>3907</v>
      </c>
    </row>
    <row r="1897" spans="1:7" ht="13.5">
      <c r="A1897" s="307" t="s">
        <v>9453</v>
      </c>
      <c r="B1897" s="307" t="s">
        <v>9454</v>
      </c>
      <c r="C1897" s="307" t="s">
        <v>5814</v>
      </c>
      <c r="D1897" s="307" t="s">
        <v>9455</v>
      </c>
      <c r="E1897" s="307" t="s">
        <v>3905</v>
      </c>
      <c r="F1897" s="307" t="s">
        <v>3906</v>
      </c>
      <c r="G1897" s="307" t="s">
        <v>3907</v>
      </c>
    </row>
    <row r="1898" spans="1:7" ht="13.5">
      <c r="A1898" s="307" t="s">
        <v>9456</v>
      </c>
      <c r="B1898" s="307" t="s">
        <v>9457</v>
      </c>
      <c r="C1898" s="307" t="s">
        <v>5814</v>
      </c>
      <c r="D1898" s="307" t="s">
        <v>9458</v>
      </c>
      <c r="E1898" s="307" t="s">
        <v>3905</v>
      </c>
      <c r="F1898" s="307" t="s">
        <v>3906</v>
      </c>
      <c r="G1898" s="307" t="s">
        <v>3907</v>
      </c>
    </row>
    <row r="1899" spans="1:7" ht="13.5">
      <c r="A1899" s="307" t="s">
        <v>9459</v>
      </c>
      <c r="B1899" s="307" t="s">
        <v>9460</v>
      </c>
      <c r="C1899" s="307" t="s">
        <v>5814</v>
      </c>
      <c r="D1899" s="307" t="s">
        <v>9461</v>
      </c>
      <c r="E1899" s="307" t="s">
        <v>3905</v>
      </c>
      <c r="F1899" s="307" t="s">
        <v>3906</v>
      </c>
      <c r="G1899" s="307" t="s">
        <v>3907</v>
      </c>
    </row>
    <row r="1900" spans="1:7" ht="13.5">
      <c r="A1900" s="307" t="s">
        <v>9462</v>
      </c>
      <c r="B1900" s="307" t="s">
        <v>9463</v>
      </c>
      <c r="C1900" s="307" t="s">
        <v>5814</v>
      </c>
      <c r="D1900" s="307" t="s">
        <v>9464</v>
      </c>
      <c r="E1900" s="307" t="s">
        <v>3905</v>
      </c>
      <c r="F1900" s="307" t="s">
        <v>3906</v>
      </c>
      <c r="G1900" s="307" t="s">
        <v>3907</v>
      </c>
    </row>
    <row r="1901" spans="1:7" ht="13.5">
      <c r="A1901" s="307" t="s">
        <v>9465</v>
      </c>
      <c r="B1901" s="307" t="s">
        <v>9466</v>
      </c>
      <c r="C1901" s="307" t="s">
        <v>5814</v>
      </c>
      <c r="D1901" s="307" t="s">
        <v>9467</v>
      </c>
      <c r="E1901" s="307" t="s">
        <v>4021</v>
      </c>
      <c r="F1901" s="307" t="s">
        <v>3906</v>
      </c>
      <c r="G1901" s="307" t="s">
        <v>3907</v>
      </c>
    </row>
    <row r="1902" spans="1:7" ht="13.5">
      <c r="A1902" s="307" t="s">
        <v>9468</v>
      </c>
      <c r="B1902" s="307" t="s">
        <v>9469</v>
      </c>
      <c r="C1902" s="307" t="s">
        <v>5814</v>
      </c>
      <c r="D1902" s="307" t="s">
        <v>9470</v>
      </c>
      <c r="E1902" s="307" t="s">
        <v>3905</v>
      </c>
      <c r="F1902" s="307" t="s">
        <v>3906</v>
      </c>
      <c r="G1902" s="307" t="s">
        <v>3907</v>
      </c>
    </row>
    <row r="1903" spans="1:7" ht="13.5">
      <c r="A1903" s="307" t="s">
        <v>9471</v>
      </c>
      <c r="B1903" s="307" t="s">
        <v>9472</v>
      </c>
      <c r="C1903" s="307" t="s">
        <v>5814</v>
      </c>
      <c r="D1903" s="307" t="s">
        <v>9473</v>
      </c>
      <c r="E1903" s="307" t="s">
        <v>4021</v>
      </c>
      <c r="F1903" s="307" t="s">
        <v>3906</v>
      </c>
      <c r="G1903" s="307" t="s">
        <v>3907</v>
      </c>
    </row>
    <row r="1904" spans="1:7" ht="13.5">
      <c r="A1904" s="307" t="s">
        <v>9474</v>
      </c>
      <c r="B1904" s="307" t="s">
        <v>9475</v>
      </c>
      <c r="C1904" s="307" t="s">
        <v>5814</v>
      </c>
      <c r="D1904" s="307" t="s">
        <v>9476</v>
      </c>
      <c r="E1904" s="307" t="s">
        <v>3905</v>
      </c>
      <c r="F1904" s="307" t="s">
        <v>3906</v>
      </c>
      <c r="G1904" s="307" t="s">
        <v>3907</v>
      </c>
    </row>
    <row r="1905" spans="1:7" ht="13.5">
      <c r="A1905" s="307" t="s">
        <v>9477</v>
      </c>
      <c r="B1905" s="307" t="s">
        <v>9478</v>
      </c>
      <c r="C1905" s="307" t="s">
        <v>5814</v>
      </c>
      <c r="D1905" s="307" t="s">
        <v>9479</v>
      </c>
      <c r="E1905" s="307" t="s">
        <v>3905</v>
      </c>
      <c r="F1905" s="307" t="s">
        <v>3906</v>
      </c>
      <c r="G1905" s="307" t="s">
        <v>3907</v>
      </c>
    </row>
    <row r="1906" spans="1:7" ht="13.5">
      <c r="A1906" s="307" t="s">
        <v>9480</v>
      </c>
      <c r="B1906" s="307" t="s">
        <v>9481</v>
      </c>
      <c r="C1906" s="307" t="s">
        <v>5814</v>
      </c>
      <c r="D1906" s="307" t="s">
        <v>9482</v>
      </c>
      <c r="E1906" s="307" t="s">
        <v>3905</v>
      </c>
      <c r="F1906" s="307" t="s">
        <v>3906</v>
      </c>
      <c r="G1906" s="307" t="s">
        <v>3907</v>
      </c>
    </row>
    <row r="1907" spans="1:7" ht="13.5">
      <c r="A1907" s="307" t="s">
        <v>9483</v>
      </c>
      <c r="B1907" s="307" t="s">
        <v>9484</v>
      </c>
      <c r="C1907" s="307" t="s">
        <v>5814</v>
      </c>
      <c r="D1907" s="307" t="s">
        <v>9485</v>
      </c>
      <c r="E1907" s="307" t="s">
        <v>3905</v>
      </c>
      <c r="F1907" s="307" t="s">
        <v>3906</v>
      </c>
      <c r="G1907" s="307" t="s">
        <v>3907</v>
      </c>
    </row>
    <row r="1908" spans="1:7" ht="13.5">
      <c r="A1908" s="307" t="s">
        <v>9486</v>
      </c>
      <c r="B1908" s="307" t="s">
        <v>9487</v>
      </c>
      <c r="C1908" s="307" t="s">
        <v>5814</v>
      </c>
      <c r="D1908" s="307" t="s">
        <v>9488</v>
      </c>
      <c r="E1908" s="307" t="s">
        <v>3905</v>
      </c>
      <c r="F1908" s="307" t="s">
        <v>3906</v>
      </c>
      <c r="G1908" s="307" t="s">
        <v>3907</v>
      </c>
    </row>
    <row r="1909" spans="1:7" ht="13.5">
      <c r="A1909" s="307" t="s">
        <v>9489</v>
      </c>
      <c r="B1909" s="307" t="s">
        <v>9490</v>
      </c>
      <c r="C1909" s="307" t="s">
        <v>5814</v>
      </c>
      <c r="D1909" s="307" t="s">
        <v>9491</v>
      </c>
      <c r="E1909" s="307" t="s">
        <v>3905</v>
      </c>
      <c r="F1909" s="307" t="s">
        <v>3906</v>
      </c>
      <c r="G1909" s="307" t="s">
        <v>3907</v>
      </c>
    </row>
    <row r="1910" spans="1:7" ht="13.5">
      <c r="A1910" s="307" t="s">
        <v>9492</v>
      </c>
      <c r="B1910" s="307" t="s">
        <v>9493</v>
      </c>
      <c r="C1910" s="307" t="s">
        <v>5814</v>
      </c>
      <c r="D1910" s="307" t="s">
        <v>9494</v>
      </c>
      <c r="E1910" s="307" t="s">
        <v>3905</v>
      </c>
      <c r="F1910" s="307" t="s">
        <v>3906</v>
      </c>
      <c r="G1910" s="307" t="s">
        <v>3907</v>
      </c>
    </row>
    <row r="1911" spans="1:7" ht="13.5">
      <c r="A1911" s="307" t="s">
        <v>9495</v>
      </c>
      <c r="B1911" s="307" t="s">
        <v>9496</v>
      </c>
      <c r="C1911" s="307" t="s">
        <v>5814</v>
      </c>
      <c r="D1911" s="307" t="s">
        <v>9497</v>
      </c>
      <c r="E1911" s="307" t="s">
        <v>3905</v>
      </c>
      <c r="F1911" s="307" t="s">
        <v>3906</v>
      </c>
      <c r="G1911" s="307" t="s">
        <v>3907</v>
      </c>
    </row>
    <row r="1912" spans="1:7" ht="13.5">
      <c r="A1912" s="307" t="s">
        <v>9498</v>
      </c>
      <c r="B1912" s="307" t="s">
        <v>9499</v>
      </c>
      <c r="C1912" s="307" t="s">
        <v>5814</v>
      </c>
      <c r="D1912" s="307" t="s">
        <v>9500</v>
      </c>
      <c r="E1912" s="307" t="s">
        <v>3905</v>
      </c>
      <c r="F1912" s="307" t="s">
        <v>3906</v>
      </c>
      <c r="G1912" s="307" t="s">
        <v>3907</v>
      </c>
    </row>
    <row r="1913" spans="1:7" ht="13.5">
      <c r="A1913" s="307" t="s">
        <v>9501</v>
      </c>
      <c r="B1913" s="307" t="s">
        <v>9502</v>
      </c>
      <c r="C1913" s="307" t="s">
        <v>5814</v>
      </c>
      <c r="D1913" s="307" t="s">
        <v>9503</v>
      </c>
      <c r="E1913" s="307" t="s">
        <v>3905</v>
      </c>
      <c r="F1913" s="307" t="s">
        <v>3906</v>
      </c>
      <c r="G1913" s="307" t="s">
        <v>3907</v>
      </c>
    </row>
    <row r="1914" spans="1:7" ht="13.5">
      <c r="A1914" s="307" t="s">
        <v>9504</v>
      </c>
      <c r="B1914" s="307" t="s">
        <v>9505</v>
      </c>
      <c r="C1914" s="307" t="s">
        <v>5814</v>
      </c>
      <c r="D1914" s="307" t="s">
        <v>9506</v>
      </c>
      <c r="E1914" s="307" t="s">
        <v>3905</v>
      </c>
      <c r="F1914" s="307" t="s">
        <v>3906</v>
      </c>
      <c r="G1914" s="307" t="s">
        <v>3907</v>
      </c>
    </row>
    <row r="1915" spans="1:7" ht="13.5">
      <c r="A1915" s="307" t="s">
        <v>9507</v>
      </c>
      <c r="B1915" s="307" t="s">
        <v>9508</v>
      </c>
      <c r="C1915" s="307" t="s">
        <v>5814</v>
      </c>
      <c r="D1915" s="307" t="s">
        <v>9509</v>
      </c>
      <c r="E1915" s="307" t="s">
        <v>3905</v>
      </c>
      <c r="F1915" s="307" t="s">
        <v>3906</v>
      </c>
      <c r="G1915" s="307" t="s">
        <v>3907</v>
      </c>
    </row>
    <row r="1916" spans="1:7" ht="13.5">
      <c r="A1916" s="307" t="s">
        <v>9510</v>
      </c>
      <c r="B1916" s="307" t="s">
        <v>9511</v>
      </c>
      <c r="C1916" s="307" t="s">
        <v>5814</v>
      </c>
      <c r="D1916" s="307" t="s">
        <v>9512</v>
      </c>
      <c r="E1916" s="307" t="s">
        <v>3905</v>
      </c>
      <c r="F1916" s="307" t="s">
        <v>3906</v>
      </c>
      <c r="G1916" s="307" t="s">
        <v>3907</v>
      </c>
    </row>
    <row r="1917" spans="1:7" ht="13.5">
      <c r="A1917" s="307" t="s">
        <v>9513</v>
      </c>
      <c r="B1917" s="307" t="s">
        <v>9514</v>
      </c>
      <c r="C1917" s="307" t="s">
        <v>5814</v>
      </c>
      <c r="D1917" s="307" t="s">
        <v>9515</v>
      </c>
      <c r="E1917" s="307" t="s">
        <v>3905</v>
      </c>
      <c r="F1917" s="307" t="s">
        <v>3906</v>
      </c>
      <c r="G1917" s="307" t="s">
        <v>3907</v>
      </c>
    </row>
    <row r="1918" spans="1:7" ht="13.5">
      <c r="A1918" s="307" t="s">
        <v>9516</v>
      </c>
      <c r="B1918" s="307" t="s">
        <v>9517</v>
      </c>
      <c r="C1918" s="307" t="s">
        <v>5814</v>
      </c>
      <c r="D1918" s="307" t="s">
        <v>9518</v>
      </c>
      <c r="E1918" s="307" t="s">
        <v>3905</v>
      </c>
      <c r="F1918" s="307" t="s">
        <v>3906</v>
      </c>
      <c r="G1918" s="307" t="s">
        <v>3907</v>
      </c>
    </row>
    <row r="1919" spans="1:7" ht="13.5">
      <c r="A1919" s="307" t="s">
        <v>9519</v>
      </c>
      <c r="B1919" s="307" t="s">
        <v>9520</v>
      </c>
      <c r="C1919" s="307" t="s">
        <v>5814</v>
      </c>
      <c r="D1919" s="307" t="s">
        <v>9521</v>
      </c>
      <c r="E1919" s="307" t="s">
        <v>3905</v>
      </c>
      <c r="F1919" s="307" t="s">
        <v>3906</v>
      </c>
      <c r="G1919" s="307" t="s">
        <v>3907</v>
      </c>
    </row>
    <row r="1920" spans="1:7" ht="13.5">
      <c r="A1920" s="307" t="s">
        <v>9522</v>
      </c>
      <c r="B1920" s="307" t="s">
        <v>9523</v>
      </c>
      <c r="C1920" s="307" t="s">
        <v>5814</v>
      </c>
      <c r="D1920" s="307" t="s">
        <v>9524</v>
      </c>
      <c r="E1920" s="307" t="s">
        <v>3905</v>
      </c>
      <c r="F1920" s="307" t="s">
        <v>3906</v>
      </c>
      <c r="G1920" s="307" t="s">
        <v>3907</v>
      </c>
    </row>
    <row r="1921" spans="1:7" ht="13.5">
      <c r="A1921" s="307" t="s">
        <v>9525</v>
      </c>
      <c r="B1921" s="307" t="s">
        <v>9526</v>
      </c>
      <c r="C1921" s="307" t="s">
        <v>5814</v>
      </c>
      <c r="D1921" s="307" t="s">
        <v>9527</v>
      </c>
      <c r="E1921" s="307" t="s">
        <v>3905</v>
      </c>
      <c r="F1921" s="307" t="s">
        <v>3906</v>
      </c>
      <c r="G1921" s="307" t="s">
        <v>3907</v>
      </c>
    </row>
    <row r="1922" spans="1:7" ht="13.5">
      <c r="A1922" s="307" t="s">
        <v>9528</v>
      </c>
      <c r="B1922" s="307" t="s">
        <v>9529</v>
      </c>
      <c r="C1922" s="307" t="s">
        <v>5814</v>
      </c>
      <c r="D1922" s="307" t="s">
        <v>9530</v>
      </c>
      <c r="E1922" s="307" t="s">
        <v>3905</v>
      </c>
      <c r="F1922" s="307" t="s">
        <v>3906</v>
      </c>
      <c r="G1922" s="307" t="s">
        <v>3907</v>
      </c>
    </row>
    <row r="1923" spans="1:7" ht="13.5">
      <c r="A1923" s="307" t="s">
        <v>9531</v>
      </c>
      <c r="B1923" s="307" t="s">
        <v>9532</v>
      </c>
      <c r="C1923" s="307" t="s">
        <v>5814</v>
      </c>
      <c r="D1923" s="307" t="s">
        <v>9533</v>
      </c>
      <c r="E1923" s="307" t="s">
        <v>3905</v>
      </c>
      <c r="F1923" s="307" t="s">
        <v>3906</v>
      </c>
      <c r="G1923" s="307" t="s">
        <v>3907</v>
      </c>
    </row>
    <row r="1924" spans="1:7" ht="13.5">
      <c r="A1924" s="307" t="s">
        <v>9534</v>
      </c>
      <c r="B1924" s="307" t="s">
        <v>9535</v>
      </c>
      <c r="C1924" s="307" t="s">
        <v>5814</v>
      </c>
      <c r="D1924" s="307" t="s">
        <v>9536</v>
      </c>
      <c r="E1924" s="307" t="s">
        <v>3905</v>
      </c>
      <c r="F1924" s="307" t="s">
        <v>3906</v>
      </c>
      <c r="G1924" s="307" t="s">
        <v>3907</v>
      </c>
    </row>
    <row r="1925" spans="1:7" ht="13.5">
      <c r="A1925" s="307" t="s">
        <v>9537</v>
      </c>
      <c r="B1925" s="307" t="s">
        <v>9538</v>
      </c>
      <c r="C1925" s="307" t="s">
        <v>5814</v>
      </c>
      <c r="D1925" s="307" t="s">
        <v>9539</v>
      </c>
      <c r="E1925" s="307" t="s">
        <v>3905</v>
      </c>
      <c r="F1925" s="307" t="s">
        <v>3906</v>
      </c>
      <c r="G1925" s="307" t="s">
        <v>3907</v>
      </c>
    </row>
    <row r="1926" spans="1:7" ht="13.5">
      <c r="A1926" s="307" t="s">
        <v>9540</v>
      </c>
      <c r="B1926" s="307" t="s">
        <v>9541</v>
      </c>
      <c r="C1926" s="307" t="s">
        <v>5814</v>
      </c>
      <c r="D1926" s="307" t="s">
        <v>9542</v>
      </c>
      <c r="E1926" s="307" t="s">
        <v>3905</v>
      </c>
      <c r="F1926" s="307" t="s">
        <v>3906</v>
      </c>
      <c r="G1926" s="307" t="s">
        <v>3907</v>
      </c>
    </row>
    <row r="1927" spans="1:7" ht="13.5">
      <c r="A1927" s="307" t="s">
        <v>9543</v>
      </c>
      <c r="B1927" s="307" t="s">
        <v>9544</v>
      </c>
      <c r="C1927" s="307" t="s">
        <v>5814</v>
      </c>
      <c r="D1927" s="307" t="s">
        <v>9545</v>
      </c>
      <c r="E1927" s="307" t="s">
        <v>3905</v>
      </c>
      <c r="F1927" s="307" t="s">
        <v>3906</v>
      </c>
      <c r="G1927" s="307" t="s">
        <v>3907</v>
      </c>
    </row>
    <row r="1928" spans="1:7" ht="13.5">
      <c r="A1928" s="307" t="s">
        <v>9546</v>
      </c>
      <c r="B1928" s="307" t="s">
        <v>9547</v>
      </c>
      <c r="C1928" s="307" t="s">
        <v>5814</v>
      </c>
      <c r="D1928" s="307" t="s">
        <v>9548</v>
      </c>
      <c r="E1928" s="307" t="s">
        <v>3905</v>
      </c>
      <c r="F1928" s="307" t="s">
        <v>3906</v>
      </c>
      <c r="G1928" s="307" t="s">
        <v>3907</v>
      </c>
    </row>
    <row r="1929" spans="1:7" ht="13.5">
      <c r="A1929" s="307" t="s">
        <v>9549</v>
      </c>
      <c r="B1929" s="307" t="s">
        <v>9550</v>
      </c>
      <c r="C1929" s="307" t="s">
        <v>5814</v>
      </c>
      <c r="D1929" s="307" t="s">
        <v>9551</v>
      </c>
      <c r="E1929" s="307" t="s">
        <v>3905</v>
      </c>
      <c r="F1929" s="307" t="s">
        <v>3906</v>
      </c>
      <c r="G1929" s="307" t="s">
        <v>3907</v>
      </c>
    </row>
    <row r="1930" spans="1:7" ht="13.5">
      <c r="A1930" s="307" t="s">
        <v>9552</v>
      </c>
      <c r="B1930" s="307" t="s">
        <v>9553</v>
      </c>
      <c r="C1930" s="307" t="s">
        <v>5814</v>
      </c>
      <c r="D1930" s="307" t="s">
        <v>9554</v>
      </c>
      <c r="E1930" s="307" t="s">
        <v>3905</v>
      </c>
      <c r="F1930" s="307" t="s">
        <v>3906</v>
      </c>
      <c r="G1930" s="307" t="s">
        <v>3907</v>
      </c>
    </row>
    <row r="1931" spans="1:7" ht="13.5">
      <c r="A1931" s="307" t="s">
        <v>9555</v>
      </c>
      <c r="B1931" s="307" t="s">
        <v>9556</v>
      </c>
      <c r="C1931" s="307" t="s">
        <v>5814</v>
      </c>
      <c r="D1931" s="307" t="s">
        <v>9557</v>
      </c>
      <c r="E1931" s="307" t="s">
        <v>3905</v>
      </c>
      <c r="F1931" s="307" t="s">
        <v>3906</v>
      </c>
      <c r="G1931" s="307" t="s">
        <v>3907</v>
      </c>
    </row>
    <row r="1932" spans="1:7" ht="13.5">
      <c r="A1932" s="307" t="s">
        <v>9558</v>
      </c>
      <c r="B1932" s="307" t="s">
        <v>9559</v>
      </c>
      <c r="C1932" s="307" t="s">
        <v>5814</v>
      </c>
      <c r="D1932" s="307" t="s">
        <v>9560</v>
      </c>
      <c r="E1932" s="307" t="s">
        <v>3905</v>
      </c>
      <c r="F1932" s="307" t="s">
        <v>3906</v>
      </c>
      <c r="G1932" s="307" t="s">
        <v>3907</v>
      </c>
    </row>
    <row r="1933" spans="1:7" ht="13.5">
      <c r="A1933" s="307" t="s">
        <v>9561</v>
      </c>
      <c r="B1933" s="307" t="s">
        <v>9562</v>
      </c>
      <c r="C1933" s="307" t="s">
        <v>5814</v>
      </c>
      <c r="D1933" s="307" t="s">
        <v>9563</v>
      </c>
      <c r="E1933" s="307" t="s">
        <v>3905</v>
      </c>
      <c r="F1933" s="307" t="s">
        <v>3906</v>
      </c>
      <c r="G1933" s="307" t="s">
        <v>3907</v>
      </c>
    </row>
    <row r="1934" spans="1:7" ht="13.5">
      <c r="A1934" s="307" t="s">
        <v>9564</v>
      </c>
      <c r="B1934" s="307" t="s">
        <v>9565</v>
      </c>
      <c r="C1934" s="307" t="s">
        <v>5814</v>
      </c>
      <c r="D1934" s="307" t="s">
        <v>9566</v>
      </c>
      <c r="E1934" s="307" t="s">
        <v>3905</v>
      </c>
      <c r="F1934" s="307" t="s">
        <v>3906</v>
      </c>
      <c r="G1934" s="307" t="s">
        <v>3907</v>
      </c>
    </row>
    <row r="1935" spans="1:7" ht="13.5">
      <c r="A1935" s="307" t="s">
        <v>9567</v>
      </c>
      <c r="B1935" s="307" t="s">
        <v>9568</v>
      </c>
      <c r="C1935" s="307" t="s">
        <v>5814</v>
      </c>
      <c r="D1935" s="307" t="s">
        <v>9569</v>
      </c>
      <c r="E1935" s="307" t="s">
        <v>3905</v>
      </c>
      <c r="F1935" s="307" t="s">
        <v>3906</v>
      </c>
      <c r="G1935" s="307" t="s">
        <v>3907</v>
      </c>
    </row>
    <row r="1936" spans="1:7" ht="13.5">
      <c r="A1936" s="307" t="s">
        <v>9570</v>
      </c>
      <c r="B1936" s="307" t="s">
        <v>9571</v>
      </c>
      <c r="C1936" s="307" t="s">
        <v>5814</v>
      </c>
      <c r="D1936" s="307" t="s">
        <v>9572</v>
      </c>
      <c r="E1936" s="307" t="s">
        <v>3905</v>
      </c>
      <c r="F1936" s="307" t="s">
        <v>3906</v>
      </c>
      <c r="G1936" s="307" t="s">
        <v>3907</v>
      </c>
    </row>
    <row r="1937" spans="1:7" ht="13.5">
      <c r="A1937" s="307" t="s">
        <v>9573</v>
      </c>
      <c r="B1937" s="307" t="s">
        <v>9574</v>
      </c>
      <c r="C1937" s="307" t="s">
        <v>5814</v>
      </c>
      <c r="D1937" s="307" t="s">
        <v>9575</v>
      </c>
      <c r="E1937" s="307" t="s">
        <v>3905</v>
      </c>
      <c r="F1937" s="307" t="s">
        <v>3906</v>
      </c>
      <c r="G1937" s="307" t="s">
        <v>3907</v>
      </c>
    </row>
    <row r="1938" spans="1:7" ht="13.5">
      <c r="A1938" s="307" t="s">
        <v>9576</v>
      </c>
      <c r="B1938" s="307" t="s">
        <v>9577</v>
      </c>
      <c r="C1938" s="307" t="s">
        <v>5814</v>
      </c>
      <c r="D1938" s="307" t="s">
        <v>9578</v>
      </c>
      <c r="E1938" s="307" t="s">
        <v>4021</v>
      </c>
      <c r="F1938" s="307" t="s">
        <v>3906</v>
      </c>
      <c r="G1938" s="307" t="s">
        <v>3907</v>
      </c>
    </row>
    <row r="1939" spans="1:7" ht="13.5">
      <c r="A1939" s="307" t="s">
        <v>9579</v>
      </c>
      <c r="B1939" s="307" t="s">
        <v>9580</v>
      </c>
      <c r="C1939" s="307" t="s">
        <v>5814</v>
      </c>
      <c r="D1939" s="307" t="s">
        <v>9581</v>
      </c>
      <c r="E1939" s="307" t="s">
        <v>3905</v>
      </c>
      <c r="F1939" s="307" t="s">
        <v>3906</v>
      </c>
      <c r="G1939" s="307" t="s">
        <v>3907</v>
      </c>
    </row>
    <row r="1940" spans="1:7" ht="13.5">
      <c r="A1940" s="307" t="s">
        <v>9582</v>
      </c>
      <c r="B1940" s="307" t="s">
        <v>9583</v>
      </c>
      <c r="C1940" s="307" t="s">
        <v>5814</v>
      </c>
      <c r="D1940" s="307" t="s">
        <v>9584</v>
      </c>
      <c r="E1940" s="307" t="s">
        <v>3905</v>
      </c>
      <c r="F1940" s="307" t="s">
        <v>3906</v>
      </c>
      <c r="G1940" s="307" t="s">
        <v>3907</v>
      </c>
    </row>
    <row r="1941" spans="1:7" ht="13.5">
      <c r="A1941" s="307" t="s">
        <v>9585</v>
      </c>
      <c r="B1941" s="307" t="s">
        <v>9586</v>
      </c>
      <c r="C1941" s="307" t="s">
        <v>5814</v>
      </c>
      <c r="D1941" s="307" t="s">
        <v>9587</v>
      </c>
      <c r="E1941" s="307" t="s">
        <v>3905</v>
      </c>
      <c r="F1941" s="307" t="s">
        <v>3906</v>
      </c>
      <c r="G1941" s="307" t="s">
        <v>3907</v>
      </c>
    </row>
    <row r="1942" spans="1:7" ht="13.5">
      <c r="A1942" s="307" t="s">
        <v>9588</v>
      </c>
      <c r="B1942" s="307" t="s">
        <v>9589</v>
      </c>
      <c r="C1942" s="307" t="s">
        <v>5814</v>
      </c>
      <c r="D1942" s="307" t="s">
        <v>9590</v>
      </c>
      <c r="E1942" s="307" t="s">
        <v>3905</v>
      </c>
      <c r="F1942" s="307" t="s">
        <v>3906</v>
      </c>
      <c r="G1942" s="307" t="s">
        <v>3907</v>
      </c>
    </row>
    <row r="1943" spans="1:7" ht="13.5">
      <c r="A1943" s="307" t="s">
        <v>9591</v>
      </c>
      <c r="B1943" s="307" t="s">
        <v>9592</v>
      </c>
      <c r="C1943" s="307" t="s">
        <v>5814</v>
      </c>
      <c r="D1943" s="307" t="s">
        <v>9593</v>
      </c>
      <c r="E1943" s="307" t="s">
        <v>3905</v>
      </c>
      <c r="F1943" s="307" t="s">
        <v>3906</v>
      </c>
      <c r="G1943" s="307" t="s">
        <v>3907</v>
      </c>
    </row>
    <row r="1944" spans="1:7" ht="13.5">
      <c r="A1944" s="307" t="s">
        <v>9594</v>
      </c>
      <c r="B1944" s="307" t="s">
        <v>9595</v>
      </c>
      <c r="C1944" s="307" t="s">
        <v>5814</v>
      </c>
      <c r="D1944" s="307" t="s">
        <v>9596</v>
      </c>
      <c r="E1944" s="307" t="s">
        <v>4021</v>
      </c>
      <c r="F1944" s="307" t="s">
        <v>3906</v>
      </c>
      <c r="G1944" s="307" t="s">
        <v>3907</v>
      </c>
    </row>
    <row r="1945" spans="1:7" ht="13.5">
      <c r="A1945" s="307" t="s">
        <v>9597</v>
      </c>
      <c r="B1945" s="307" t="s">
        <v>9598</v>
      </c>
      <c r="C1945" s="307" t="s">
        <v>5814</v>
      </c>
      <c r="D1945" s="307" t="s">
        <v>9599</v>
      </c>
      <c r="E1945" s="307" t="s">
        <v>3905</v>
      </c>
      <c r="F1945" s="307" t="s">
        <v>3906</v>
      </c>
      <c r="G1945" s="307" t="s">
        <v>3907</v>
      </c>
    </row>
    <row r="1946" spans="1:7" ht="13.5">
      <c r="A1946" s="307" t="s">
        <v>9600</v>
      </c>
      <c r="B1946" s="307" t="s">
        <v>9601</v>
      </c>
      <c r="C1946" s="307" t="s">
        <v>5814</v>
      </c>
      <c r="D1946" s="307" t="s">
        <v>9602</v>
      </c>
      <c r="E1946" s="307" t="s">
        <v>3905</v>
      </c>
      <c r="F1946" s="307" t="s">
        <v>3906</v>
      </c>
      <c r="G1946" s="307" t="s">
        <v>3907</v>
      </c>
    </row>
    <row r="1947" spans="1:7" ht="13.5">
      <c r="A1947" s="307" t="s">
        <v>9603</v>
      </c>
      <c r="B1947" s="307" t="s">
        <v>9604</v>
      </c>
      <c r="C1947" s="307" t="s">
        <v>5814</v>
      </c>
      <c r="D1947" s="307" t="s">
        <v>9605</v>
      </c>
      <c r="E1947" s="307" t="s">
        <v>3905</v>
      </c>
      <c r="F1947" s="307" t="s">
        <v>3906</v>
      </c>
      <c r="G1947" s="307" t="s">
        <v>3907</v>
      </c>
    </row>
    <row r="1948" spans="1:7" ht="13.5">
      <c r="A1948" s="307" t="s">
        <v>9606</v>
      </c>
      <c r="B1948" s="307" t="s">
        <v>9607</v>
      </c>
      <c r="C1948" s="307" t="s">
        <v>5814</v>
      </c>
      <c r="D1948" s="307" t="s">
        <v>9608</v>
      </c>
      <c r="E1948" s="307" t="s">
        <v>3905</v>
      </c>
      <c r="F1948" s="307" t="s">
        <v>3906</v>
      </c>
      <c r="G1948" s="307" t="s">
        <v>3907</v>
      </c>
    </row>
    <row r="1949" spans="1:7" ht="13.5">
      <c r="A1949" s="307" t="s">
        <v>9609</v>
      </c>
      <c r="B1949" s="307" t="s">
        <v>9610</v>
      </c>
      <c r="C1949" s="307" t="s">
        <v>5814</v>
      </c>
      <c r="D1949" s="307" t="s">
        <v>9611</v>
      </c>
      <c r="E1949" s="307" t="s">
        <v>4021</v>
      </c>
      <c r="F1949" s="307" t="s">
        <v>3906</v>
      </c>
      <c r="G1949" s="307" t="s">
        <v>3907</v>
      </c>
    </row>
    <row r="1950" spans="1:7" ht="13.5">
      <c r="A1950" s="307" t="s">
        <v>9612</v>
      </c>
      <c r="B1950" s="307" t="s">
        <v>9613</v>
      </c>
      <c r="C1950" s="307" t="s">
        <v>5814</v>
      </c>
      <c r="D1950" s="307" t="s">
        <v>9614</v>
      </c>
      <c r="E1950" s="307" t="s">
        <v>3905</v>
      </c>
      <c r="F1950" s="307" t="s">
        <v>3906</v>
      </c>
      <c r="G1950" s="307" t="s">
        <v>3907</v>
      </c>
    </row>
    <row r="1951" spans="1:7" ht="13.5">
      <c r="A1951" s="307" t="s">
        <v>9615</v>
      </c>
      <c r="B1951" s="307" t="s">
        <v>9616</v>
      </c>
      <c r="C1951" s="307" t="s">
        <v>5814</v>
      </c>
      <c r="D1951" s="307" t="s">
        <v>9617</v>
      </c>
      <c r="E1951" s="307" t="s">
        <v>3905</v>
      </c>
      <c r="F1951" s="307" t="s">
        <v>3906</v>
      </c>
      <c r="G1951" s="307" t="s">
        <v>3907</v>
      </c>
    </row>
    <row r="1952" spans="1:7" ht="13.5">
      <c r="A1952" s="307" t="s">
        <v>9618</v>
      </c>
      <c r="B1952" s="307" t="s">
        <v>9619</v>
      </c>
      <c r="C1952" s="307" t="s">
        <v>5814</v>
      </c>
      <c r="D1952" s="307" t="s">
        <v>9620</v>
      </c>
      <c r="E1952" s="307" t="s">
        <v>3905</v>
      </c>
      <c r="F1952" s="307" t="s">
        <v>3906</v>
      </c>
      <c r="G1952" s="307" t="s">
        <v>3907</v>
      </c>
    </row>
    <row r="1953" spans="1:7" ht="13.5">
      <c r="A1953" s="307" t="s">
        <v>9621</v>
      </c>
      <c r="B1953" s="307" t="s">
        <v>9622</v>
      </c>
      <c r="C1953" s="307" t="s">
        <v>5814</v>
      </c>
      <c r="D1953" s="307" t="s">
        <v>9623</v>
      </c>
      <c r="E1953" s="307" t="s">
        <v>3905</v>
      </c>
      <c r="F1953" s="307" t="s">
        <v>3906</v>
      </c>
      <c r="G1953" s="307" t="s">
        <v>3907</v>
      </c>
    </row>
    <row r="1954" spans="1:7" ht="13.5">
      <c r="A1954" s="307" t="s">
        <v>9624</v>
      </c>
      <c r="B1954" s="307" t="s">
        <v>9625</v>
      </c>
      <c r="C1954" s="307" t="s">
        <v>5814</v>
      </c>
      <c r="D1954" s="307" t="s">
        <v>9626</v>
      </c>
      <c r="E1954" s="307" t="s">
        <v>3905</v>
      </c>
      <c r="F1954" s="307" t="s">
        <v>3906</v>
      </c>
      <c r="G1954" s="307" t="s">
        <v>3907</v>
      </c>
    </row>
    <row r="1955" spans="1:7" ht="13.5">
      <c r="A1955" s="307" t="s">
        <v>9627</v>
      </c>
      <c r="B1955" s="307" t="s">
        <v>9628</v>
      </c>
      <c r="C1955" s="307" t="s">
        <v>5814</v>
      </c>
      <c r="D1955" s="307" t="s">
        <v>9629</v>
      </c>
      <c r="E1955" s="307" t="s">
        <v>3905</v>
      </c>
      <c r="F1955" s="307" t="s">
        <v>3906</v>
      </c>
      <c r="G1955" s="307" t="s">
        <v>3907</v>
      </c>
    </row>
    <row r="1956" spans="1:7" ht="13.5">
      <c r="A1956" s="307" t="s">
        <v>9630</v>
      </c>
      <c r="B1956" s="307" t="s">
        <v>9631</v>
      </c>
      <c r="C1956" s="307" t="s">
        <v>5814</v>
      </c>
      <c r="D1956" s="307" t="s">
        <v>9632</v>
      </c>
      <c r="E1956" s="307" t="s">
        <v>3905</v>
      </c>
      <c r="F1956" s="307" t="s">
        <v>3906</v>
      </c>
      <c r="G1956" s="307" t="s">
        <v>3907</v>
      </c>
    </row>
    <row r="1957" spans="1:7" ht="13.5">
      <c r="A1957" s="307" t="s">
        <v>9633</v>
      </c>
      <c r="B1957" s="307" t="s">
        <v>9634</v>
      </c>
      <c r="C1957" s="307" t="s">
        <v>5814</v>
      </c>
      <c r="D1957" s="307" t="s">
        <v>9635</v>
      </c>
      <c r="E1957" s="307" t="s">
        <v>3905</v>
      </c>
      <c r="F1957" s="307" t="s">
        <v>3906</v>
      </c>
      <c r="G1957" s="307" t="s">
        <v>3907</v>
      </c>
    </row>
    <row r="1958" spans="1:7" ht="13.5">
      <c r="A1958" s="307" t="s">
        <v>9636</v>
      </c>
      <c r="B1958" s="307" t="s">
        <v>9637</v>
      </c>
      <c r="C1958" s="307" t="s">
        <v>5814</v>
      </c>
      <c r="D1958" s="307" t="s">
        <v>9638</v>
      </c>
      <c r="E1958" s="307" t="s">
        <v>3905</v>
      </c>
      <c r="F1958" s="307" t="s">
        <v>3906</v>
      </c>
      <c r="G1958" s="307" t="s">
        <v>3907</v>
      </c>
    </row>
    <row r="1959" spans="1:7" ht="13.5">
      <c r="A1959" s="307" t="s">
        <v>9639</v>
      </c>
      <c r="B1959" s="307" t="s">
        <v>9640</v>
      </c>
      <c r="C1959" s="307" t="s">
        <v>5814</v>
      </c>
      <c r="D1959" s="307" t="s">
        <v>9641</v>
      </c>
      <c r="E1959" s="307" t="s">
        <v>3905</v>
      </c>
      <c r="F1959" s="307" t="s">
        <v>3906</v>
      </c>
      <c r="G1959" s="307" t="s">
        <v>3907</v>
      </c>
    </row>
    <row r="1960" spans="1:7" ht="13.5">
      <c r="A1960" s="307" t="s">
        <v>9642</v>
      </c>
      <c r="B1960" s="307" t="s">
        <v>9643</v>
      </c>
      <c r="C1960" s="307" t="s">
        <v>5814</v>
      </c>
      <c r="D1960" s="307" t="s">
        <v>9644</v>
      </c>
      <c r="E1960" s="307" t="s">
        <v>3905</v>
      </c>
      <c r="F1960" s="307" t="s">
        <v>3906</v>
      </c>
      <c r="G1960" s="307" t="s">
        <v>3907</v>
      </c>
    </row>
    <row r="1961" spans="1:7" ht="13.5">
      <c r="A1961" s="307" t="s">
        <v>9645</v>
      </c>
      <c r="B1961" s="307" t="s">
        <v>9646</v>
      </c>
      <c r="C1961" s="307" t="s">
        <v>5814</v>
      </c>
      <c r="D1961" s="307" t="s">
        <v>9647</v>
      </c>
      <c r="E1961" s="307" t="s">
        <v>3905</v>
      </c>
      <c r="F1961" s="307" t="s">
        <v>3906</v>
      </c>
      <c r="G1961" s="307" t="s">
        <v>3907</v>
      </c>
    </row>
    <row r="1962" spans="1:7" ht="13.5">
      <c r="A1962" s="307" t="s">
        <v>9648</v>
      </c>
      <c r="B1962" s="307" t="s">
        <v>9649</v>
      </c>
      <c r="C1962" s="307" t="s">
        <v>5814</v>
      </c>
      <c r="D1962" s="307" t="s">
        <v>9650</v>
      </c>
      <c r="E1962" s="307" t="s">
        <v>3905</v>
      </c>
      <c r="F1962" s="307" t="s">
        <v>3906</v>
      </c>
      <c r="G1962" s="307" t="s">
        <v>3907</v>
      </c>
    </row>
    <row r="1963" spans="1:7" ht="13.5">
      <c r="A1963" s="307" t="s">
        <v>9651</v>
      </c>
      <c r="B1963" s="307" t="s">
        <v>9652</v>
      </c>
      <c r="C1963" s="307" t="s">
        <v>5814</v>
      </c>
      <c r="D1963" s="307" t="s">
        <v>9653</v>
      </c>
      <c r="E1963" s="307" t="s">
        <v>3905</v>
      </c>
      <c r="F1963" s="307" t="s">
        <v>3906</v>
      </c>
      <c r="G1963" s="307" t="s">
        <v>3907</v>
      </c>
    </row>
    <row r="1964" spans="1:7" ht="13.5">
      <c r="A1964" s="307" t="s">
        <v>9654</v>
      </c>
      <c r="B1964" s="307" t="s">
        <v>9655</v>
      </c>
      <c r="C1964" s="307" t="s">
        <v>5814</v>
      </c>
      <c r="D1964" s="307" t="s">
        <v>9656</v>
      </c>
      <c r="E1964" s="307" t="s">
        <v>4021</v>
      </c>
      <c r="F1964" s="307" t="s">
        <v>3906</v>
      </c>
      <c r="G1964" s="307" t="s">
        <v>3907</v>
      </c>
    </row>
    <row r="1965" spans="1:7" ht="13.5">
      <c r="A1965" s="307" t="s">
        <v>9657</v>
      </c>
      <c r="B1965" s="307" t="s">
        <v>9658</v>
      </c>
      <c r="C1965" s="307" t="s">
        <v>5814</v>
      </c>
      <c r="D1965" s="307" t="s">
        <v>9659</v>
      </c>
      <c r="E1965" s="307" t="s">
        <v>3905</v>
      </c>
      <c r="F1965" s="307" t="s">
        <v>3906</v>
      </c>
      <c r="G1965" s="307" t="s">
        <v>3907</v>
      </c>
    </row>
    <row r="1966" spans="1:7" ht="13.5">
      <c r="A1966" s="307" t="s">
        <v>9660</v>
      </c>
      <c r="B1966" s="307" t="s">
        <v>9661</v>
      </c>
      <c r="C1966" s="307" t="s">
        <v>5814</v>
      </c>
      <c r="D1966" s="307" t="s">
        <v>9662</v>
      </c>
      <c r="E1966" s="307" t="s">
        <v>3905</v>
      </c>
      <c r="F1966" s="307" t="s">
        <v>3906</v>
      </c>
      <c r="G1966" s="307" t="s">
        <v>3907</v>
      </c>
    </row>
    <row r="1967" spans="1:7" ht="13.5">
      <c r="A1967" s="307" t="s">
        <v>9663</v>
      </c>
      <c r="B1967" s="307" t="s">
        <v>9664</v>
      </c>
      <c r="C1967" s="307" t="s">
        <v>5814</v>
      </c>
      <c r="D1967" s="307" t="s">
        <v>9665</v>
      </c>
      <c r="E1967" s="307" t="s">
        <v>3905</v>
      </c>
      <c r="F1967" s="307" t="s">
        <v>3906</v>
      </c>
      <c r="G1967" s="307" t="s">
        <v>3907</v>
      </c>
    </row>
    <row r="1968" spans="1:7" ht="13.5">
      <c r="A1968" s="307" t="s">
        <v>9666</v>
      </c>
      <c r="B1968" s="307" t="s">
        <v>9667</v>
      </c>
      <c r="C1968" s="307" t="s">
        <v>5814</v>
      </c>
      <c r="D1968" s="307" t="s">
        <v>9668</v>
      </c>
      <c r="E1968" s="307" t="s">
        <v>3905</v>
      </c>
      <c r="F1968" s="307" t="s">
        <v>3906</v>
      </c>
      <c r="G1968" s="307" t="s">
        <v>3907</v>
      </c>
    </row>
    <row r="1969" spans="1:7" ht="13.5">
      <c r="A1969" s="307" t="s">
        <v>9669</v>
      </c>
      <c r="B1969" s="307" t="s">
        <v>9670</v>
      </c>
      <c r="C1969" s="307" t="s">
        <v>5814</v>
      </c>
      <c r="D1969" s="307" t="s">
        <v>9671</v>
      </c>
      <c r="E1969" s="307" t="s">
        <v>3905</v>
      </c>
      <c r="F1969" s="307" t="s">
        <v>3906</v>
      </c>
      <c r="G1969" s="307" t="s">
        <v>3907</v>
      </c>
    </row>
    <row r="1970" spans="1:7" ht="13.5">
      <c r="A1970" s="307" t="s">
        <v>9672</v>
      </c>
      <c r="B1970" s="307" t="s">
        <v>9673</v>
      </c>
      <c r="C1970" s="307" t="s">
        <v>5814</v>
      </c>
      <c r="D1970" s="307" t="s">
        <v>9674</v>
      </c>
      <c r="E1970" s="307" t="s">
        <v>3905</v>
      </c>
      <c r="F1970" s="307" t="s">
        <v>3906</v>
      </c>
      <c r="G1970" s="307" t="s">
        <v>3907</v>
      </c>
    </row>
    <row r="1971" spans="1:7" ht="13.5">
      <c r="A1971" s="307" t="s">
        <v>9675</v>
      </c>
      <c r="B1971" s="307" t="s">
        <v>9676</v>
      </c>
      <c r="C1971" s="307" t="s">
        <v>5814</v>
      </c>
      <c r="D1971" s="307" t="s">
        <v>9677</v>
      </c>
      <c r="E1971" s="307" t="s">
        <v>3905</v>
      </c>
      <c r="F1971" s="307" t="s">
        <v>3906</v>
      </c>
      <c r="G1971" s="307" t="s">
        <v>3907</v>
      </c>
    </row>
    <row r="1972" spans="1:7" ht="13.5">
      <c r="A1972" s="307" t="s">
        <v>9678</v>
      </c>
      <c r="B1972" s="307" t="s">
        <v>9679</v>
      </c>
      <c r="C1972" s="307" t="s">
        <v>5814</v>
      </c>
      <c r="D1972" s="307" t="s">
        <v>9680</v>
      </c>
      <c r="E1972" s="307" t="s">
        <v>3905</v>
      </c>
      <c r="F1972" s="307" t="s">
        <v>3906</v>
      </c>
      <c r="G1972" s="307" t="s">
        <v>3907</v>
      </c>
    </row>
    <row r="1973" spans="1:7" ht="13.5">
      <c r="A1973" s="307" t="s">
        <v>9681</v>
      </c>
      <c r="B1973" s="307" t="s">
        <v>9682</v>
      </c>
      <c r="C1973" s="307" t="s">
        <v>5814</v>
      </c>
      <c r="D1973" s="307" t="s">
        <v>9683</v>
      </c>
      <c r="E1973" s="307" t="s">
        <v>3905</v>
      </c>
      <c r="F1973" s="307" t="s">
        <v>3906</v>
      </c>
      <c r="G1973" s="307" t="s">
        <v>3907</v>
      </c>
    </row>
    <row r="1974" spans="1:7" ht="13.5">
      <c r="A1974" s="307" t="s">
        <v>9684</v>
      </c>
      <c r="B1974" s="307" t="s">
        <v>9685</v>
      </c>
      <c r="C1974" s="307" t="s">
        <v>5814</v>
      </c>
      <c r="D1974" s="307" t="s">
        <v>5289</v>
      </c>
      <c r="E1974" s="307" t="s">
        <v>3905</v>
      </c>
      <c r="F1974" s="307" t="s">
        <v>3906</v>
      </c>
      <c r="G1974" s="307" t="s">
        <v>3907</v>
      </c>
    </row>
    <row r="1975" spans="1:7" ht="13.5">
      <c r="A1975" s="307" t="s">
        <v>9686</v>
      </c>
      <c r="B1975" s="307" t="s">
        <v>9687</v>
      </c>
      <c r="C1975" s="307" t="s">
        <v>5814</v>
      </c>
      <c r="D1975" s="307" t="s">
        <v>9688</v>
      </c>
      <c r="E1975" s="307" t="s">
        <v>3905</v>
      </c>
      <c r="F1975" s="307" t="s">
        <v>3906</v>
      </c>
      <c r="G1975" s="307" t="s">
        <v>3907</v>
      </c>
    </row>
    <row r="1976" spans="1:7" ht="13.5">
      <c r="A1976" s="307" t="s">
        <v>9689</v>
      </c>
      <c r="B1976" s="307" t="s">
        <v>9690</v>
      </c>
      <c r="C1976" s="307" t="s">
        <v>5814</v>
      </c>
      <c r="D1976" s="307" t="s">
        <v>9691</v>
      </c>
      <c r="E1976" s="307" t="s">
        <v>3905</v>
      </c>
      <c r="F1976" s="307" t="s">
        <v>3906</v>
      </c>
      <c r="G1976" s="307" t="s">
        <v>3907</v>
      </c>
    </row>
    <row r="1977" spans="1:7" ht="13.5">
      <c r="A1977" s="307" t="s">
        <v>9692</v>
      </c>
      <c r="B1977" s="307" t="s">
        <v>9693</v>
      </c>
      <c r="C1977" s="307" t="s">
        <v>5814</v>
      </c>
      <c r="D1977" s="307" t="s">
        <v>9694</v>
      </c>
      <c r="E1977" s="307" t="s">
        <v>3905</v>
      </c>
      <c r="F1977" s="307" t="s">
        <v>3906</v>
      </c>
      <c r="G1977" s="307" t="s">
        <v>3907</v>
      </c>
    </row>
    <row r="1978" spans="1:7" ht="13.5">
      <c r="A1978" s="307" t="s">
        <v>9695</v>
      </c>
      <c r="B1978" s="307" t="s">
        <v>9696</v>
      </c>
      <c r="C1978" s="307" t="s">
        <v>5814</v>
      </c>
      <c r="D1978" s="307" t="s">
        <v>9697</v>
      </c>
      <c r="E1978" s="307" t="s">
        <v>4021</v>
      </c>
      <c r="F1978" s="307" t="s">
        <v>3906</v>
      </c>
      <c r="G1978" s="307" t="s">
        <v>3907</v>
      </c>
    </row>
    <row r="1979" spans="1:7" ht="13.5">
      <c r="A1979" s="307" t="s">
        <v>9698</v>
      </c>
      <c r="B1979" s="307" t="s">
        <v>9699</v>
      </c>
      <c r="C1979" s="307" t="s">
        <v>5814</v>
      </c>
      <c r="D1979" s="307" t="s">
        <v>9700</v>
      </c>
      <c r="E1979" s="307" t="s">
        <v>3905</v>
      </c>
      <c r="F1979" s="307" t="s">
        <v>3906</v>
      </c>
      <c r="G1979" s="307" t="s">
        <v>3907</v>
      </c>
    </row>
    <row r="1980" spans="1:7" ht="13.5">
      <c r="A1980" s="307" t="s">
        <v>9701</v>
      </c>
      <c r="B1980" s="307" t="s">
        <v>9702</v>
      </c>
      <c r="C1980" s="307" t="s">
        <v>5814</v>
      </c>
      <c r="D1980" s="307" t="s">
        <v>9703</v>
      </c>
      <c r="E1980" s="307" t="s">
        <v>3905</v>
      </c>
      <c r="F1980" s="307" t="s">
        <v>3906</v>
      </c>
      <c r="G1980" s="307" t="s">
        <v>3907</v>
      </c>
    </row>
    <row r="1981" spans="1:7" ht="13.5">
      <c r="A1981" s="307" t="s">
        <v>9704</v>
      </c>
      <c r="B1981" s="307" t="s">
        <v>9705</v>
      </c>
      <c r="C1981" s="307" t="s">
        <v>5814</v>
      </c>
      <c r="D1981" s="307" t="s">
        <v>9706</v>
      </c>
      <c r="E1981" s="307" t="s">
        <v>3905</v>
      </c>
      <c r="F1981" s="307" t="s">
        <v>3906</v>
      </c>
      <c r="G1981" s="307" t="s">
        <v>3907</v>
      </c>
    </row>
    <row r="1982" spans="1:7" ht="13.5">
      <c r="A1982" s="307" t="s">
        <v>9707</v>
      </c>
      <c r="B1982" s="307" t="s">
        <v>9708</v>
      </c>
      <c r="C1982" s="307" t="s">
        <v>5814</v>
      </c>
      <c r="D1982" s="307" t="s">
        <v>9709</v>
      </c>
      <c r="E1982" s="307" t="s">
        <v>3905</v>
      </c>
      <c r="F1982" s="307" t="s">
        <v>3906</v>
      </c>
      <c r="G1982" s="307" t="s">
        <v>3907</v>
      </c>
    </row>
    <row r="1983" spans="1:7" ht="13.5">
      <c r="A1983" s="307" t="s">
        <v>9710</v>
      </c>
      <c r="B1983" s="307" t="s">
        <v>9711</v>
      </c>
      <c r="C1983" s="307" t="s">
        <v>5814</v>
      </c>
      <c r="D1983" s="307" t="s">
        <v>9712</v>
      </c>
      <c r="E1983" s="307" t="s">
        <v>3905</v>
      </c>
      <c r="F1983" s="307" t="s">
        <v>3906</v>
      </c>
      <c r="G1983" s="307" t="s">
        <v>3907</v>
      </c>
    </row>
    <row r="1984" spans="1:7" ht="13.5">
      <c r="A1984" s="307" t="s">
        <v>9713</v>
      </c>
      <c r="B1984" s="307" t="s">
        <v>9714</v>
      </c>
      <c r="C1984" s="307" t="s">
        <v>5814</v>
      </c>
      <c r="D1984" s="307" t="s">
        <v>9715</v>
      </c>
      <c r="E1984" s="307" t="s">
        <v>3905</v>
      </c>
      <c r="F1984" s="307" t="s">
        <v>3906</v>
      </c>
      <c r="G1984" s="307" t="s">
        <v>3907</v>
      </c>
    </row>
    <row r="1985" spans="1:7" ht="13.5">
      <c r="A1985" s="307" t="s">
        <v>9716</v>
      </c>
      <c r="B1985" s="307" t="s">
        <v>9717</v>
      </c>
      <c r="C1985" s="307" t="s">
        <v>5814</v>
      </c>
      <c r="D1985" s="307" t="s">
        <v>9718</v>
      </c>
      <c r="E1985" s="307" t="s">
        <v>3905</v>
      </c>
      <c r="F1985" s="307" t="s">
        <v>3906</v>
      </c>
      <c r="G1985" s="307" t="s">
        <v>3907</v>
      </c>
    </row>
    <row r="1986" spans="1:7" ht="13.5">
      <c r="A1986" s="307" t="s">
        <v>9719</v>
      </c>
      <c r="B1986" s="307" t="s">
        <v>9720</v>
      </c>
      <c r="C1986" s="307" t="s">
        <v>5814</v>
      </c>
      <c r="D1986" s="307" t="s">
        <v>9721</v>
      </c>
      <c r="E1986" s="307" t="s">
        <v>3905</v>
      </c>
      <c r="F1986" s="307" t="s">
        <v>3906</v>
      </c>
      <c r="G1986" s="307" t="s">
        <v>3907</v>
      </c>
    </row>
    <row r="1987" spans="1:7" ht="13.5">
      <c r="A1987" s="307" t="s">
        <v>9722</v>
      </c>
      <c r="B1987" s="307" t="s">
        <v>9723</v>
      </c>
      <c r="C1987" s="307" t="s">
        <v>5814</v>
      </c>
      <c r="D1987" s="307" t="s">
        <v>9724</v>
      </c>
      <c r="E1987" s="307" t="s">
        <v>3905</v>
      </c>
      <c r="F1987" s="307" t="s">
        <v>3906</v>
      </c>
      <c r="G1987" s="307" t="s">
        <v>3907</v>
      </c>
    </row>
    <row r="1988" spans="1:7" ht="13.5">
      <c r="A1988" s="307" t="s">
        <v>9725</v>
      </c>
      <c r="B1988" s="307" t="s">
        <v>9726</v>
      </c>
      <c r="C1988" s="307" t="s">
        <v>5814</v>
      </c>
      <c r="D1988" s="307" t="s">
        <v>9727</v>
      </c>
      <c r="E1988" s="307" t="s">
        <v>3905</v>
      </c>
      <c r="F1988" s="307" t="s">
        <v>3906</v>
      </c>
      <c r="G1988" s="307" t="s">
        <v>3907</v>
      </c>
    </row>
    <row r="1989" spans="1:7" ht="13.5">
      <c r="A1989" s="307" t="s">
        <v>9728</v>
      </c>
      <c r="B1989" s="307" t="s">
        <v>9729</v>
      </c>
      <c r="C1989" s="307" t="s">
        <v>5814</v>
      </c>
      <c r="D1989" s="307" t="s">
        <v>9730</v>
      </c>
      <c r="E1989" s="307" t="s">
        <v>3905</v>
      </c>
      <c r="F1989" s="307" t="s">
        <v>3906</v>
      </c>
      <c r="G1989" s="307" t="s">
        <v>3907</v>
      </c>
    </row>
    <row r="1990" spans="1:7" ht="13.5">
      <c r="A1990" s="307" t="s">
        <v>9731</v>
      </c>
      <c r="B1990" s="307" t="s">
        <v>9732</v>
      </c>
      <c r="C1990" s="307" t="s">
        <v>5814</v>
      </c>
      <c r="D1990" s="307" t="s">
        <v>9733</v>
      </c>
      <c r="E1990" s="307" t="s">
        <v>3905</v>
      </c>
      <c r="F1990" s="307" t="s">
        <v>3906</v>
      </c>
      <c r="G1990" s="307" t="s">
        <v>3907</v>
      </c>
    </row>
    <row r="1991" spans="1:7" ht="13.5">
      <c r="A1991" s="307" t="s">
        <v>9734</v>
      </c>
      <c r="B1991" s="307" t="s">
        <v>9735</v>
      </c>
      <c r="C1991" s="307" t="s">
        <v>5814</v>
      </c>
      <c r="D1991" s="307" t="s">
        <v>9736</v>
      </c>
      <c r="E1991" s="307" t="s">
        <v>4021</v>
      </c>
      <c r="F1991" s="307" t="s">
        <v>3906</v>
      </c>
      <c r="G1991" s="307" t="s">
        <v>3907</v>
      </c>
    </row>
    <row r="1992" spans="1:7" ht="13.5">
      <c r="A1992" s="307" t="s">
        <v>9737</v>
      </c>
      <c r="B1992" s="307" t="s">
        <v>9738</v>
      </c>
      <c r="C1992" s="307" t="s">
        <v>5814</v>
      </c>
      <c r="D1992" s="307" t="s">
        <v>9739</v>
      </c>
      <c r="E1992" s="307" t="s">
        <v>3905</v>
      </c>
      <c r="F1992" s="307" t="s">
        <v>3906</v>
      </c>
      <c r="G1992" s="307" t="s">
        <v>3907</v>
      </c>
    </row>
    <row r="1993" spans="1:7" ht="13.5">
      <c r="A1993" s="307" t="s">
        <v>9740</v>
      </c>
      <c r="B1993" s="307" t="s">
        <v>9741</v>
      </c>
      <c r="C1993" s="307" t="s">
        <v>5814</v>
      </c>
      <c r="D1993" s="307" t="s">
        <v>9742</v>
      </c>
      <c r="E1993" s="307" t="s">
        <v>4021</v>
      </c>
      <c r="F1993" s="307" t="s">
        <v>3906</v>
      </c>
      <c r="G1993" s="307" t="s">
        <v>3907</v>
      </c>
    </row>
    <row r="1994" spans="1:7" ht="13.5">
      <c r="A1994" s="307" t="s">
        <v>9743</v>
      </c>
      <c r="B1994" s="307" t="s">
        <v>9744</v>
      </c>
      <c r="C1994" s="307" t="s">
        <v>5814</v>
      </c>
      <c r="D1994" s="307" t="s">
        <v>9745</v>
      </c>
      <c r="E1994" s="307" t="s">
        <v>3905</v>
      </c>
      <c r="F1994" s="307" t="s">
        <v>3906</v>
      </c>
      <c r="G1994" s="307" t="s">
        <v>3907</v>
      </c>
    </row>
    <row r="1995" spans="1:7" ht="13.5">
      <c r="A1995" s="307" t="s">
        <v>9746</v>
      </c>
      <c r="B1995" s="307" t="s">
        <v>9747</v>
      </c>
      <c r="C1995" s="307" t="s">
        <v>5814</v>
      </c>
      <c r="D1995" s="307" t="s">
        <v>9748</v>
      </c>
      <c r="E1995" s="307" t="s">
        <v>3905</v>
      </c>
      <c r="F1995" s="307" t="s">
        <v>3906</v>
      </c>
      <c r="G1995" s="307" t="s">
        <v>3907</v>
      </c>
    </row>
    <row r="1996" spans="1:7" ht="13.5">
      <c r="A1996" s="307" t="s">
        <v>9749</v>
      </c>
      <c r="B1996" s="307" t="s">
        <v>9750</v>
      </c>
      <c r="C1996" s="307" t="s">
        <v>5814</v>
      </c>
      <c r="D1996" s="307" t="s">
        <v>9751</v>
      </c>
      <c r="E1996" s="307" t="s">
        <v>3905</v>
      </c>
      <c r="F1996" s="307" t="s">
        <v>3906</v>
      </c>
      <c r="G1996" s="307" t="s">
        <v>3907</v>
      </c>
    </row>
    <row r="1997" spans="1:7" ht="13.5">
      <c r="A1997" s="307" t="s">
        <v>9752</v>
      </c>
      <c r="B1997" s="307" t="s">
        <v>9753</v>
      </c>
      <c r="C1997" s="307" t="s">
        <v>5814</v>
      </c>
      <c r="D1997" s="307" t="s">
        <v>9754</v>
      </c>
      <c r="E1997" s="307" t="s">
        <v>3905</v>
      </c>
      <c r="F1997" s="307" t="s">
        <v>3906</v>
      </c>
      <c r="G1997" s="307" t="s">
        <v>3907</v>
      </c>
    </row>
    <row r="1998" spans="1:7" ht="13.5">
      <c r="A1998" s="307" t="s">
        <v>9755</v>
      </c>
      <c r="B1998" s="307" t="s">
        <v>9756</v>
      </c>
      <c r="C1998" s="307" t="s">
        <v>5814</v>
      </c>
      <c r="D1998" s="307" t="s">
        <v>9757</v>
      </c>
      <c r="E1998" s="307" t="s">
        <v>3905</v>
      </c>
      <c r="F1998" s="307" t="s">
        <v>3906</v>
      </c>
      <c r="G1998" s="307" t="s">
        <v>3907</v>
      </c>
    </row>
    <row r="1999" spans="1:7" ht="13.5">
      <c r="A1999" s="307" t="s">
        <v>9758</v>
      </c>
      <c r="B1999" s="307" t="s">
        <v>9759</v>
      </c>
      <c r="C1999" s="307" t="s">
        <v>5814</v>
      </c>
      <c r="D1999" s="307" t="s">
        <v>9760</v>
      </c>
      <c r="E1999" s="307" t="s">
        <v>3905</v>
      </c>
      <c r="F1999" s="307" t="s">
        <v>3906</v>
      </c>
      <c r="G1999" s="307" t="s">
        <v>3907</v>
      </c>
    </row>
    <row r="2000" spans="1:7" ht="13.5">
      <c r="A2000" s="307" t="s">
        <v>9761</v>
      </c>
      <c r="B2000" s="307" t="s">
        <v>9762</v>
      </c>
      <c r="C2000" s="307" t="s">
        <v>5814</v>
      </c>
      <c r="D2000" s="307" t="s">
        <v>9763</v>
      </c>
      <c r="E2000" s="307" t="s">
        <v>3905</v>
      </c>
      <c r="F2000" s="307" t="s">
        <v>3906</v>
      </c>
      <c r="G2000" s="307" t="s">
        <v>3907</v>
      </c>
    </row>
    <row r="2001" spans="1:7" ht="13.5">
      <c r="A2001" s="307" t="s">
        <v>9764</v>
      </c>
      <c r="B2001" s="307" t="s">
        <v>9765</v>
      </c>
      <c r="C2001" s="307" t="s">
        <v>5814</v>
      </c>
      <c r="D2001" s="307" t="s">
        <v>9766</v>
      </c>
      <c r="E2001" s="307" t="s">
        <v>3905</v>
      </c>
      <c r="F2001" s="307" t="s">
        <v>3906</v>
      </c>
      <c r="G2001" s="307" t="s">
        <v>3907</v>
      </c>
    </row>
    <row r="2002" spans="1:7" ht="13.5">
      <c r="A2002" s="307" t="s">
        <v>9767</v>
      </c>
      <c r="B2002" s="307" t="s">
        <v>9768</v>
      </c>
      <c r="C2002" s="307" t="s">
        <v>5814</v>
      </c>
      <c r="D2002" s="307" t="s">
        <v>9769</v>
      </c>
      <c r="E2002" s="307" t="s">
        <v>3905</v>
      </c>
      <c r="F2002" s="307" t="s">
        <v>3906</v>
      </c>
      <c r="G2002" s="307" t="s">
        <v>3907</v>
      </c>
    </row>
    <row r="2003" spans="1:7" ht="13.5">
      <c r="A2003" s="307" t="s">
        <v>9770</v>
      </c>
      <c r="B2003" s="307" t="s">
        <v>9771</v>
      </c>
      <c r="C2003" s="307" t="s">
        <v>5814</v>
      </c>
      <c r="D2003" s="307" t="s">
        <v>9772</v>
      </c>
      <c r="E2003" s="307" t="s">
        <v>3905</v>
      </c>
      <c r="F2003" s="307" t="s">
        <v>3906</v>
      </c>
      <c r="G2003" s="307" t="s">
        <v>3907</v>
      </c>
    </row>
    <row r="2004" spans="1:7" ht="13.5">
      <c r="A2004" s="307" t="s">
        <v>9773</v>
      </c>
      <c r="B2004" s="307" t="s">
        <v>9774</v>
      </c>
      <c r="C2004" s="307" t="s">
        <v>5814</v>
      </c>
      <c r="D2004" s="307" t="s">
        <v>9775</v>
      </c>
      <c r="E2004" s="307" t="s">
        <v>3905</v>
      </c>
      <c r="F2004" s="307" t="s">
        <v>3906</v>
      </c>
      <c r="G2004" s="307" t="s">
        <v>3907</v>
      </c>
    </row>
    <row r="2005" spans="1:7" ht="13.5">
      <c r="A2005" s="307" t="s">
        <v>9776</v>
      </c>
      <c r="B2005" s="307" t="s">
        <v>9777</v>
      </c>
      <c r="C2005" s="307" t="s">
        <v>5814</v>
      </c>
      <c r="D2005" s="307" t="s">
        <v>9778</v>
      </c>
      <c r="E2005" s="307" t="s">
        <v>3905</v>
      </c>
      <c r="F2005" s="307" t="s">
        <v>3906</v>
      </c>
      <c r="G2005" s="307" t="s">
        <v>3907</v>
      </c>
    </row>
    <row r="2006" spans="1:7" ht="13.5">
      <c r="A2006" s="307" t="s">
        <v>9779</v>
      </c>
      <c r="B2006" s="307" t="s">
        <v>9780</v>
      </c>
      <c r="C2006" s="307" t="s">
        <v>5814</v>
      </c>
      <c r="D2006" s="307" t="s">
        <v>9781</v>
      </c>
      <c r="E2006" s="307" t="s">
        <v>3905</v>
      </c>
      <c r="F2006" s="307" t="s">
        <v>3906</v>
      </c>
      <c r="G2006" s="307" t="s">
        <v>3907</v>
      </c>
    </row>
    <row r="2007" spans="1:7" ht="13.5">
      <c r="A2007" s="307" t="s">
        <v>9782</v>
      </c>
      <c r="B2007" s="307" t="s">
        <v>9783</v>
      </c>
      <c r="C2007" s="307" t="s">
        <v>5814</v>
      </c>
      <c r="D2007" s="307" t="s">
        <v>9784</v>
      </c>
      <c r="E2007" s="307" t="s">
        <v>3905</v>
      </c>
      <c r="F2007" s="307" t="s">
        <v>3906</v>
      </c>
      <c r="G2007" s="307" t="s">
        <v>3907</v>
      </c>
    </row>
    <row r="2008" spans="1:7" ht="13.5">
      <c r="A2008" s="307" t="s">
        <v>9785</v>
      </c>
      <c r="B2008" s="307" t="s">
        <v>9786</v>
      </c>
      <c r="C2008" s="307" t="s">
        <v>5814</v>
      </c>
      <c r="D2008" s="307" t="s">
        <v>9787</v>
      </c>
      <c r="E2008" s="307" t="s">
        <v>3905</v>
      </c>
      <c r="F2008" s="307" t="s">
        <v>3906</v>
      </c>
      <c r="G2008" s="307" t="s">
        <v>3907</v>
      </c>
    </row>
    <row r="2009" spans="1:7" ht="13.5">
      <c r="A2009" s="307" t="s">
        <v>9788</v>
      </c>
      <c r="B2009" s="307" t="s">
        <v>9789</v>
      </c>
      <c r="C2009" s="307" t="s">
        <v>5814</v>
      </c>
      <c r="D2009" s="307" t="s">
        <v>9790</v>
      </c>
      <c r="E2009" s="307" t="s">
        <v>3905</v>
      </c>
      <c r="F2009" s="307" t="s">
        <v>3906</v>
      </c>
      <c r="G2009" s="307" t="s">
        <v>3907</v>
      </c>
    </row>
    <row r="2010" spans="1:7" ht="13.5">
      <c r="A2010" s="307" t="s">
        <v>9791</v>
      </c>
      <c r="B2010" s="307" t="s">
        <v>9792</v>
      </c>
      <c r="C2010" s="307" t="s">
        <v>5814</v>
      </c>
      <c r="D2010" s="307" t="s">
        <v>9793</v>
      </c>
      <c r="E2010" s="307" t="s">
        <v>3905</v>
      </c>
      <c r="F2010" s="307" t="s">
        <v>3906</v>
      </c>
      <c r="G2010" s="307" t="s">
        <v>3907</v>
      </c>
    </row>
    <row r="2011" spans="1:7" ht="13.5">
      <c r="A2011" s="307" t="s">
        <v>9794</v>
      </c>
      <c r="B2011" s="307" t="s">
        <v>9795</v>
      </c>
      <c r="C2011" s="307" t="s">
        <v>5814</v>
      </c>
      <c r="D2011" s="307" t="s">
        <v>9796</v>
      </c>
      <c r="E2011" s="307" t="s">
        <v>3905</v>
      </c>
      <c r="F2011" s="307" t="s">
        <v>3906</v>
      </c>
      <c r="G2011" s="307" t="s">
        <v>3907</v>
      </c>
    </row>
    <row r="2012" spans="1:7" ht="13.5">
      <c r="A2012" s="307" t="s">
        <v>9797</v>
      </c>
      <c r="B2012" s="307" t="s">
        <v>9798</v>
      </c>
      <c r="C2012" s="307" t="s">
        <v>5814</v>
      </c>
      <c r="D2012" s="307" t="s">
        <v>9799</v>
      </c>
      <c r="E2012" s="307" t="s">
        <v>3905</v>
      </c>
      <c r="F2012" s="307" t="s">
        <v>3906</v>
      </c>
      <c r="G2012" s="307" t="s">
        <v>3907</v>
      </c>
    </row>
    <row r="2013" spans="1:7" ht="13.5">
      <c r="A2013" s="307" t="s">
        <v>9800</v>
      </c>
      <c r="B2013" s="307" t="s">
        <v>9801</v>
      </c>
      <c r="C2013" s="307" t="s">
        <v>5814</v>
      </c>
      <c r="D2013" s="307" t="s">
        <v>9802</v>
      </c>
      <c r="E2013" s="307" t="s">
        <v>3905</v>
      </c>
      <c r="F2013" s="307" t="s">
        <v>3906</v>
      </c>
      <c r="G2013" s="307" t="s">
        <v>3907</v>
      </c>
    </row>
    <row r="2014" spans="1:7" ht="13.5">
      <c r="A2014" s="307" t="s">
        <v>9803</v>
      </c>
      <c r="B2014" s="307" t="s">
        <v>9804</v>
      </c>
      <c r="C2014" s="307" t="s">
        <v>5814</v>
      </c>
      <c r="D2014" s="307" t="s">
        <v>9805</v>
      </c>
      <c r="E2014" s="307" t="s">
        <v>3905</v>
      </c>
      <c r="F2014" s="307" t="s">
        <v>3906</v>
      </c>
      <c r="G2014" s="307" t="s">
        <v>3907</v>
      </c>
    </row>
    <row r="2015" spans="1:7" ht="13.5">
      <c r="A2015" s="307" t="s">
        <v>9806</v>
      </c>
      <c r="B2015" s="307" t="s">
        <v>9807</v>
      </c>
      <c r="C2015" s="307" t="s">
        <v>5814</v>
      </c>
      <c r="D2015" s="307" t="s">
        <v>9808</v>
      </c>
      <c r="E2015" s="307" t="s">
        <v>3905</v>
      </c>
      <c r="F2015" s="307" t="s">
        <v>3906</v>
      </c>
      <c r="G2015" s="307" t="s">
        <v>3907</v>
      </c>
    </row>
    <row r="2016" spans="1:7" ht="13.5">
      <c r="A2016" s="307" t="s">
        <v>9809</v>
      </c>
      <c r="B2016" s="307" t="s">
        <v>9810</v>
      </c>
      <c r="C2016" s="307" t="s">
        <v>5814</v>
      </c>
      <c r="D2016" s="307" t="s">
        <v>9811</v>
      </c>
      <c r="E2016" s="307" t="s">
        <v>3905</v>
      </c>
      <c r="F2016" s="307" t="s">
        <v>3906</v>
      </c>
      <c r="G2016" s="307" t="s">
        <v>3907</v>
      </c>
    </row>
    <row r="2017" spans="1:7" ht="13.5">
      <c r="A2017" s="307" t="s">
        <v>9812</v>
      </c>
      <c r="B2017" s="307" t="s">
        <v>9813</v>
      </c>
      <c r="C2017" s="307" t="s">
        <v>5814</v>
      </c>
      <c r="D2017" s="307" t="s">
        <v>9814</v>
      </c>
      <c r="E2017" s="307" t="s">
        <v>3905</v>
      </c>
      <c r="F2017" s="307" t="s">
        <v>3906</v>
      </c>
      <c r="G2017" s="307" t="s">
        <v>3907</v>
      </c>
    </row>
    <row r="2018" spans="1:7" ht="13.5">
      <c r="A2018" s="307" t="s">
        <v>9815</v>
      </c>
      <c r="B2018" s="307" t="s">
        <v>9816</v>
      </c>
      <c r="C2018" s="307" t="s">
        <v>5814</v>
      </c>
      <c r="D2018" s="307" t="s">
        <v>9817</v>
      </c>
      <c r="E2018" s="307" t="s">
        <v>3905</v>
      </c>
      <c r="F2018" s="307" t="s">
        <v>3906</v>
      </c>
      <c r="G2018" s="307" t="s">
        <v>3907</v>
      </c>
    </row>
    <row r="2019" spans="1:7" ht="13.5">
      <c r="A2019" s="307" t="s">
        <v>9818</v>
      </c>
      <c r="B2019" s="307" t="s">
        <v>9819</v>
      </c>
      <c r="C2019" s="307" t="s">
        <v>5814</v>
      </c>
      <c r="D2019" s="307" t="s">
        <v>9820</v>
      </c>
      <c r="E2019" s="307" t="s">
        <v>3905</v>
      </c>
      <c r="F2019" s="307" t="s">
        <v>3906</v>
      </c>
      <c r="G2019" s="307" t="s">
        <v>3907</v>
      </c>
    </row>
    <row r="2020" spans="1:7" ht="13.5">
      <c r="A2020" s="307" t="s">
        <v>9821</v>
      </c>
      <c r="B2020" s="307" t="s">
        <v>9822</v>
      </c>
      <c r="C2020" s="307" t="s">
        <v>5814</v>
      </c>
      <c r="D2020" s="307" t="s">
        <v>9823</v>
      </c>
      <c r="E2020" s="307" t="s">
        <v>3905</v>
      </c>
      <c r="F2020" s="307" t="s">
        <v>3906</v>
      </c>
      <c r="G2020" s="307" t="s">
        <v>3907</v>
      </c>
    </row>
    <row r="2021" spans="1:7" ht="13.5">
      <c r="A2021" s="307" t="s">
        <v>9824</v>
      </c>
      <c r="B2021" s="307" t="s">
        <v>9825</v>
      </c>
      <c r="C2021" s="307" t="s">
        <v>5814</v>
      </c>
      <c r="D2021" s="307" t="s">
        <v>9826</v>
      </c>
      <c r="E2021" s="307" t="s">
        <v>3905</v>
      </c>
      <c r="F2021" s="307" t="s">
        <v>3906</v>
      </c>
      <c r="G2021" s="307" t="s">
        <v>3907</v>
      </c>
    </row>
    <row r="2022" spans="1:7" ht="13.5">
      <c r="A2022" s="307" t="s">
        <v>9827</v>
      </c>
      <c r="B2022" s="307" t="s">
        <v>9828</v>
      </c>
      <c r="C2022" s="307" t="s">
        <v>5814</v>
      </c>
      <c r="D2022" s="307" t="s">
        <v>9829</v>
      </c>
      <c r="E2022" s="307" t="s">
        <v>3905</v>
      </c>
      <c r="F2022" s="307" t="s">
        <v>3906</v>
      </c>
      <c r="G2022" s="307" t="s">
        <v>3907</v>
      </c>
    </row>
    <row r="2023" spans="1:7" ht="13.5">
      <c r="A2023" s="307" t="s">
        <v>9830</v>
      </c>
      <c r="B2023" s="307" t="s">
        <v>9831</v>
      </c>
      <c r="C2023" s="307" t="s">
        <v>5814</v>
      </c>
      <c r="D2023" s="307" t="s">
        <v>9832</v>
      </c>
      <c r="E2023" s="307" t="s">
        <v>3905</v>
      </c>
      <c r="F2023" s="307" t="s">
        <v>3906</v>
      </c>
      <c r="G2023" s="307" t="s">
        <v>3907</v>
      </c>
    </row>
    <row r="2024" spans="1:7" ht="13.5">
      <c r="A2024" s="307" t="s">
        <v>9833</v>
      </c>
      <c r="B2024" s="307" t="s">
        <v>9834</v>
      </c>
      <c r="C2024" s="307" t="s">
        <v>5814</v>
      </c>
      <c r="D2024" s="307" t="s">
        <v>9835</v>
      </c>
      <c r="E2024" s="307" t="s">
        <v>3905</v>
      </c>
      <c r="F2024" s="307" t="s">
        <v>3906</v>
      </c>
      <c r="G2024" s="307" t="s">
        <v>3907</v>
      </c>
    </row>
    <row r="2025" spans="1:7" ht="13.5">
      <c r="A2025" s="307" t="s">
        <v>9836</v>
      </c>
      <c r="B2025" s="307" t="s">
        <v>9837</v>
      </c>
      <c r="C2025" s="307" t="s">
        <v>5814</v>
      </c>
      <c r="D2025" s="307" t="s">
        <v>9838</v>
      </c>
      <c r="E2025" s="307" t="s">
        <v>3905</v>
      </c>
      <c r="F2025" s="307" t="s">
        <v>3906</v>
      </c>
      <c r="G2025" s="307" t="s">
        <v>3907</v>
      </c>
    </row>
    <row r="2026" spans="1:7" ht="13.5">
      <c r="A2026" s="307" t="s">
        <v>9839</v>
      </c>
      <c r="B2026" s="307" t="s">
        <v>9840</v>
      </c>
      <c r="C2026" s="307" t="s">
        <v>5814</v>
      </c>
      <c r="D2026" s="307" t="s">
        <v>9841</v>
      </c>
      <c r="E2026" s="307" t="s">
        <v>3905</v>
      </c>
      <c r="F2026" s="307" t="s">
        <v>3906</v>
      </c>
      <c r="G2026" s="307" t="s">
        <v>3907</v>
      </c>
    </row>
    <row r="2027" spans="1:7" ht="13.5">
      <c r="A2027" s="307" t="s">
        <v>9842</v>
      </c>
      <c r="B2027" s="307" t="s">
        <v>9843</v>
      </c>
      <c r="C2027" s="307" t="s">
        <v>5814</v>
      </c>
      <c r="D2027" s="307" t="s">
        <v>9844</v>
      </c>
      <c r="E2027" s="307" t="s">
        <v>3905</v>
      </c>
      <c r="F2027" s="307" t="s">
        <v>3906</v>
      </c>
      <c r="G2027" s="307" t="s">
        <v>3907</v>
      </c>
    </row>
    <row r="2028" spans="1:7" ht="13.5">
      <c r="A2028" s="307" t="s">
        <v>9845</v>
      </c>
      <c r="B2028" s="307" t="s">
        <v>9846</v>
      </c>
      <c r="C2028" s="307" t="s">
        <v>5814</v>
      </c>
      <c r="D2028" s="307" t="s">
        <v>9847</v>
      </c>
      <c r="E2028" s="307" t="s">
        <v>3905</v>
      </c>
      <c r="F2028" s="307" t="s">
        <v>3906</v>
      </c>
      <c r="G2028" s="307" t="s">
        <v>3907</v>
      </c>
    </row>
    <row r="2029" spans="1:7" ht="13.5">
      <c r="A2029" s="307" t="s">
        <v>9848</v>
      </c>
      <c r="B2029" s="307" t="s">
        <v>9849</v>
      </c>
      <c r="C2029" s="307" t="s">
        <v>5814</v>
      </c>
      <c r="D2029" s="307" t="s">
        <v>9850</v>
      </c>
      <c r="E2029" s="307" t="s">
        <v>3905</v>
      </c>
      <c r="F2029" s="307" t="s">
        <v>3906</v>
      </c>
      <c r="G2029" s="307" t="s">
        <v>3907</v>
      </c>
    </row>
    <row r="2030" spans="1:7" ht="13.5">
      <c r="A2030" s="307" t="s">
        <v>9851</v>
      </c>
      <c r="B2030" s="307" t="s">
        <v>9852</v>
      </c>
      <c r="C2030" s="307" t="s">
        <v>5814</v>
      </c>
      <c r="D2030" s="307" t="s">
        <v>9853</v>
      </c>
      <c r="E2030" s="307" t="s">
        <v>3905</v>
      </c>
      <c r="F2030" s="307" t="s">
        <v>3906</v>
      </c>
      <c r="G2030" s="307" t="s">
        <v>3907</v>
      </c>
    </row>
    <row r="2031" spans="1:7" ht="13.5">
      <c r="A2031" s="307" t="s">
        <v>9854</v>
      </c>
      <c r="B2031" s="307" t="s">
        <v>9855</v>
      </c>
      <c r="C2031" s="307" t="s">
        <v>5814</v>
      </c>
      <c r="D2031" s="307" t="s">
        <v>9856</v>
      </c>
      <c r="E2031" s="307" t="s">
        <v>3905</v>
      </c>
      <c r="F2031" s="307" t="s">
        <v>3906</v>
      </c>
      <c r="G2031" s="307" t="s">
        <v>3907</v>
      </c>
    </row>
    <row r="2032" spans="1:7" ht="13.5">
      <c r="A2032" s="307" t="s">
        <v>9857</v>
      </c>
      <c r="B2032" s="307" t="s">
        <v>9858</v>
      </c>
      <c r="C2032" s="307" t="s">
        <v>5814</v>
      </c>
      <c r="D2032" s="307" t="s">
        <v>9859</v>
      </c>
      <c r="E2032" s="307" t="s">
        <v>3905</v>
      </c>
      <c r="F2032" s="307" t="s">
        <v>3906</v>
      </c>
      <c r="G2032" s="307" t="s">
        <v>3907</v>
      </c>
    </row>
    <row r="2033" spans="1:7" ht="13.5">
      <c r="A2033" s="307" t="s">
        <v>9860</v>
      </c>
      <c r="B2033" s="307" t="s">
        <v>9861</v>
      </c>
      <c r="C2033" s="307" t="s">
        <v>5814</v>
      </c>
      <c r="D2033" s="307" t="s">
        <v>9862</v>
      </c>
      <c r="E2033" s="307" t="s">
        <v>3905</v>
      </c>
      <c r="F2033" s="307" t="s">
        <v>3906</v>
      </c>
      <c r="G2033" s="307" t="s">
        <v>3907</v>
      </c>
    </row>
    <row r="2034" spans="1:7" ht="13.5">
      <c r="A2034" s="307" t="s">
        <v>9863</v>
      </c>
      <c r="B2034" s="307" t="s">
        <v>9864</v>
      </c>
      <c r="C2034" s="307" t="s">
        <v>5814</v>
      </c>
      <c r="D2034" s="307" t="s">
        <v>9865</v>
      </c>
      <c r="E2034" s="307" t="s">
        <v>3905</v>
      </c>
      <c r="F2034" s="307" t="s">
        <v>3906</v>
      </c>
      <c r="G2034" s="307" t="s">
        <v>3907</v>
      </c>
    </row>
    <row r="2035" spans="1:7" ht="13.5">
      <c r="A2035" s="307" t="s">
        <v>9866</v>
      </c>
      <c r="B2035" s="307" t="s">
        <v>9867</v>
      </c>
      <c r="C2035" s="307" t="s">
        <v>5814</v>
      </c>
      <c r="D2035" s="307" t="s">
        <v>9868</v>
      </c>
      <c r="E2035" s="307" t="s">
        <v>3905</v>
      </c>
      <c r="F2035" s="307" t="s">
        <v>3906</v>
      </c>
      <c r="G2035" s="307" t="s">
        <v>3907</v>
      </c>
    </row>
    <row r="2036" spans="1:7" ht="13.5">
      <c r="A2036" s="307" t="s">
        <v>9869</v>
      </c>
      <c r="B2036" s="307" t="s">
        <v>9870</v>
      </c>
      <c r="C2036" s="307" t="s">
        <v>5814</v>
      </c>
      <c r="D2036" s="307" t="s">
        <v>9871</v>
      </c>
      <c r="E2036" s="307" t="s">
        <v>3905</v>
      </c>
      <c r="F2036" s="307" t="s">
        <v>3906</v>
      </c>
      <c r="G2036" s="307" t="s">
        <v>3907</v>
      </c>
    </row>
    <row r="2037" spans="1:7" ht="13.5">
      <c r="A2037" s="307" t="s">
        <v>9872</v>
      </c>
      <c r="B2037" s="307" t="s">
        <v>9873</v>
      </c>
      <c r="C2037" s="307" t="s">
        <v>5814</v>
      </c>
      <c r="D2037" s="307" t="s">
        <v>9874</v>
      </c>
      <c r="E2037" s="307" t="s">
        <v>3905</v>
      </c>
      <c r="F2037" s="307" t="s">
        <v>3906</v>
      </c>
      <c r="G2037" s="307" t="s">
        <v>3907</v>
      </c>
    </row>
    <row r="2038" spans="1:7" ht="13.5">
      <c r="A2038" s="307" t="s">
        <v>9875</v>
      </c>
      <c r="B2038" s="307" t="s">
        <v>9876</v>
      </c>
      <c r="C2038" s="307" t="s">
        <v>5814</v>
      </c>
      <c r="D2038" s="307" t="s">
        <v>9877</v>
      </c>
      <c r="E2038" s="307" t="s">
        <v>3905</v>
      </c>
      <c r="F2038" s="307" t="s">
        <v>3906</v>
      </c>
      <c r="G2038" s="307" t="s">
        <v>3907</v>
      </c>
    </row>
    <row r="2039" spans="1:7" ht="13.5">
      <c r="A2039" s="307" t="s">
        <v>9878</v>
      </c>
      <c r="B2039" s="307" t="s">
        <v>9879</v>
      </c>
      <c r="C2039" s="307" t="s">
        <v>5814</v>
      </c>
      <c r="D2039" s="307" t="s">
        <v>9880</v>
      </c>
      <c r="E2039" s="307" t="s">
        <v>3905</v>
      </c>
      <c r="F2039" s="307" t="s">
        <v>3906</v>
      </c>
      <c r="G2039" s="307" t="s">
        <v>3907</v>
      </c>
    </row>
    <row r="2040" spans="1:7" ht="13.5">
      <c r="A2040" s="307" t="s">
        <v>9881</v>
      </c>
      <c r="B2040" s="307" t="s">
        <v>9882</v>
      </c>
      <c r="C2040" s="307" t="s">
        <v>5814</v>
      </c>
      <c r="D2040" s="307" t="s">
        <v>9883</v>
      </c>
      <c r="E2040" s="307" t="s">
        <v>3905</v>
      </c>
      <c r="F2040" s="307" t="s">
        <v>3906</v>
      </c>
      <c r="G2040" s="307" t="s">
        <v>3907</v>
      </c>
    </row>
    <row r="2041" spans="1:7" ht="13.5">
      <c r="A2041" s="307" t="s">
        <v>9884</v>
      </c>
      <c r="B2041" s="307" t="s">
        <v>9885</v>
      </c>
      <c r="C2041" s="307" t="s">
        <v>5814</v>
      </c>
      <c r="D2041" s="307" t="s">
        <v>9886</v>
      </c>
      <c r="E2041" s="307" t="s">
        <v>3905</v>
      </c>
      <c r="F2041" s="307" t="s">
        <v>3906</v>
      </c>
      <c r="G2041" s="307" t="s">
        <v>3907</v>
      </c>
    </row>
    <row r="2042" spans="1:7" ht="13.5">
      <c r="A2042" s="307" t="s">
        <v>9887</v>
      </c>
      <c r="B2042" s="307" t="s">
        <v>9888</v>
      </c>
      <c r="C2042" s="307" t="s">
        <v>5814</v>
      </c>
      <c r="D2042" s="307" t="s">
        <v>9889</v>
      </c>
      <c r="E2042" s="307" t="s">
        <v>3905</v>
      </c>
      <c r="F2042" s="307" t="s">
        <v>3906</v>
      </c>
      <c r="G2042" s="307" t="s">
        <v>3907</v>
      </c>
    </row>
    <row r="2043" spans="1:7" ht="13.5">
      <c r="A2043" s="307" t="s">
        <v>9890</v>
      </c>
      <c r="B2043" s="307" t="s">
        <v>9891</v>
      </c>
      <c r="C2043" s="307" t="s">
        <v>5814</v>
      </c>
      <c r="D2043" s="307" t="s">
        <v>9892</v>
      </c>
      <c r="E2043" s="307" t="s">
        <v>3905</v>
      </c>
      <c r="F2043" s="307" t="s">
        <v>3906</v>
      </c>
      <c r="G2043" s="307" t="s">
        <v>3907</v>
      </c>
    </row>
    <row r="2044" spans="1:7" ht="13.5">
      <c r="A2044" s="307" t="s">
        <v>9893</v>
      </c>
      <c r="B2044" s="307" t="s">
        <v>9894</v>
      </c>
      <c r="C2044" s="307" t="s">
        <v>5814</v>
      </c>
      <c r="D2044" s="307" t="s">
        <v>9895</v>
      </c>
      <c r="E2044" s="307" t="s">
        <v>3905</v>
      </c>
      <c r="F2044" s="307" t="s">
        <v>3906</v>
      </c>
      <c r="G2044" s="307" t="s">
        <v>3907</v>
      </c>
    </row>
    <row r="2045" spans="1:7" ht="13.5">
      <c r="A2045" s="307" t="s">
        <v>9896</v>
      </c>
      <c r="B2045" s="307" t="s">
        <v>9897</v>
      </c>
      <c r="C2045" s="307" t="s">
        <v>5814</v>
      </c>
      <c r="D2045" s="307" t="s">
        <v>9898</v>
      </c>
      <c r="E2045" s="307" t="s">
        <v>3905</v>
      </c>
      <c r="F2045" s="307" t="s">
        <v>3906</v>
      </c>
      <c r="G2045" s="307" t="s">
        <v>3907</v>
      </c>
    </row>
    <row r="2046" spans="1:7" ht="13.5">
      <c r="A2046" s="307" t="s">
        <v>9899</v>
      </c>
      <c r="B2046" s="307" t="s">
        <v>9900</v>
      </c>
      <c r="C2046" s="307" t="s">
        <v>5814</v>
      </c>
      <c r="D2046" s="307" t="s">
        <v>9901</v>
      </c>
      <c r="E2046" s="307" t="s">
        <v>3905</v>
      </c>
      <c r="F2046" s="307" t="s">
        <v>3906</v>
      </c>
      <c r="G2046" s="307" t="s">
        <v>3907</v>
      </c>
    </row>
    <row r="2047" spans="1:7" ht="13.5">
      <c r="A2047" s="307" t="s">
        <v>9902</v>
      </c>
      <c r="B2047" s="307" t="s">
        <v>9903</v>
      </c>
      <c r="C2047" s="307" t="s">
        <v>5814</v>
      </c>
      <c r="D2047" s="307" t="s">
        <v>9904</v>
      </c>
      <c r="E2047" s="307" t="s">
        <v>3905</v>
      </c>
      <c r="F2047" s="307" t="s">
        <v>3906</v>
      </c>
      <c r="G2047" s="307" t="s">
        <v>3907</v>
      </c>
    </row>
    <row r="2048" spans="1:7" ht="13.5">
      <c r="A2048" s="307" t="s">
        <v>9905</v>
      </c>
      <c r="B2048" s="307" t="s">
        <v>9906</v>
      </c>
      <c r="C2048" s="307" t="s">
        <v>5814</v>
      </c>
      <c r="D2048" s="307" t="s">
        <v>9907</v>
      </c>
      <c r="E2048" s="307" t="s">
        <v>3905</v>
      </c>
      <c r="F2048" s="307" t="s">
        <v>3906</v>
      </c>
      <c r="G2048" s="307" t="s">
        <v>3907</v>
      </c>
    </row>
    <row r="2049" spans="1:7" ht="13.5">
      <c r="A2049" s="307" t="s">
        <v>9908</v>
      </c>
      <c r="B2049" s="307" t="s">
        <v>9909</v>
      </c>
      <c r="C2049" s="307" t="s">
        <v>5814</v>
      </c>
      <c r="D2049" s="307" t="s">
        <v>9910</v>
      </c>
      <c r="E2049" s="307" t="s">
        <v>3905</v>
      </c>
      <c r="F2049" s="307" t="s">
        <v>3906</v>
      </c>
      <c r="G2049" s="307" t="s">
        <v>3907</v>
      </c>
    </row>
    <row r="2050" spans="1:7" ht="13.5">
      <c r="A2050" s="307" t="s">
        <v>9911</v>
      </c>
      <c r="B2050" s="307" t="s">
        <v>9912</v>
      </c>
      <c r="C2050" s="307" t="s">
        <v>5814</v>
      </c>
      <c r="D2050" s="307" t="s">
        <v>9913</v>
      </c>
      <c r="E2050" s="307" t="s">
        <v>3905</v>
      </c>
      <c r="F2050" s="307" t="s">
        <v>3906</v>
      </c>
      <c r="G2050" s="307" t="s">
        <v>3907</v>
      </c>
    </row>
    <row r="2051" spans="1:7" ht="13.5">
      <c r="A2051" s="307" t="s">
        <v>9914</v>
      </c>
      <c r="B2051" s="307" t="s">
        <v>9915</v>
      </c>
      <c r="C2051" s="307" t="s">
        <v>5814</v>
      </c>
      <c r="D2051" s="307" t="s">
        <v>9916</v>
      </c>
      <c r="E2051" s="307" t="s">
        <v>3905</v>
      </c>
      <c r="F2051" s="307" t="s">
        <v>3906</v>
      </c>
      <c r="G2051" s="307" t="s">
        <v>3907</v>
      </c>
    </row>
    <row r="2052" spans="1:7" ht="13.5">
      <c r="A2052" s="307" t="s">
        <v>9917</v>
      </c>
      <c r="B2052" s="307" t="s">
        <v>9918</v>
      </c>
      <c r="C2052" s="307" t="s">
        <v>5814</v>
      </c>
      <c r="D2052" s="307" t="s">
        <v>9919</v>
      </c>
      <c r="E2052" s="307" t="s">
        <v>3905</v>
      </c>
      <c r="F2052" s="307" t="s">
        <v>3906</v>
      </c>
      <c r="G2052" s="307" t="s">
        <v>3907</v>
      </c>
    </row>
    <row r="2053" spans="1:7" ht="13.5">
      <c r="A2053" s="307" t="s">
        <v>9920</v>
      </c>
      <c r="B2053" s="307" t="s">
        <v>9921</v>
      </c>
      <c r="C2053" s="307" t="s">
        <v>5814</v>
      </c>
      <c r="D2053" s="307" t="s">
        <v>9922</v>
      </c>
      <c r="E2053" s="307" t="s">
        <v>3905</v>
      </c>
      <c r="F2053" s="307" t="s">
        <v>3906</v>
      </c>
      <c r="G2053" s="307" t="s">
        <v>3907</v>
      </c>
    </row>
    <row r="2054" spans="1:7" ht="13.5">
      <c r="A2054" s="307" t="s">
        <v>9923</v>
      </c>
      <c r="B2054" s="307" t="s">
        <v>9924</v>
      </c>
      <c r="C2054" s="307" t="s">
        <v>5814</v>
      </c>
      <c r="D2054" s="307" t="s">
        <v>9925</v>
      </c>
      <c r="E2054" s="307" t="s">
        <v>3905</v>
      </c>
      <c r="F2054" s="307" t="s">
        <v>3906</v>
      </c>
      <c r="G2054" s="307" t="s">
        <v>3907</v>
      </c>
    </row>
    <row r="2055" spans="1:7" ht="13.5">
      <c r="A2055" s="307" t="s">
        <v>9926</v>
      </c>
      <c r="B2055" s="307" t="s">
        <v>9927</v>
      </c>
      <c r="C2055" s="307" t="s">
        <v>5814</v>
      </c>
      <c r="D2055" s="307" t="s">
        <v>9928</v>
      </c>
      <c r="E2055" s="307" t="s">
        <v>3905</v>
      </c>
      <c r="F2055" s="307" t="s">
        <v>3906</v>
      </c>
      <c r="G2055" s="307" t="s">
        <v>3907</v>
      </c>
    </row>
    <row r="2056" spans="1:7" ht="13.5">
      <c r="A2056" s="307" t="s">
        <v>9929</v>
      </c>
      <c r="B2056" s="307" t="s">
        <v>9930</v>
      </c>
      <c r="C2056" s="307" t="s">
        <v>5814</v>
      </c>
      <c r="D2056" s="307" t="s">
        <v>9931</v>
      </c>
      <c r="E2056" s="307" t="s">
        <v>3905</v>
      </c>
      <c r="F2056" s="307" t="s">
        <v>3906</v>
      </c>
      <c r="G2056" s="307" t="s">
        <v>3907</v>
      </c>
    </row>
    <row r="2057" spans="1:7" ht="13.5">
      <c r="A2057" s="307" t="s">
        <v>9932</v>
      </c>
      <c r="B2057" s="307" t="s">
        <v>9933</v>
      </c>
      <c r="C2057" s="307" t="s">
        <v>5814</v>
      </c>
      <c r="D2057" s="307" t="s">
        <v>9934</v>
      </c>
      <c r="E2057" s="307" t="s">
        <v>3905</v>
      </c>
      <c r="F2057" s="307" t="s">
        <v>3906</v>
      </c>
      <c r="G2057" s="307" t="s">
        <v>3907</v>
      </c>
    </row>
    <row r="2058" spans="1:7" ht="13.5">
      <c r="A2058" s="307" t="s">
        <v>9935</v>
      </c>
      <c r="B2058" s="307" t="s">
        <v>9936</v>
      </c>
      <c r="C2058" s="307" t="s">
        <v>5814</v>
      </c>
      <c r="D2058" s="307" t="s">
        <v>9937</v>
      </c>
      <c r="E2058" s="307" t="s">
        <v>3905</v>
      </c>
      <c r="F2058" s="307" t="s">
        <v>3906</v>
      </c>
      <c r="G2058" s="307" t="s">
        <v>3907</v>
      </c>
    </row>
    <row r="2059" spans="1:7" ht="13.5">
      <c r="A2059" s="307" t="s">
        <v>9938</v>
      </c>
      <c r="B2059" s="307" t="s">
        <v>9939</v>
      </c>
      <c r="C2059" s="307" t="s">
        <v>5814</v>
      </c>
      <c r="D2059" s="307" t="s">
        <v>9940</v>
      </c>
      <c r="E2059" s="307" t="s">
        <v>3905</v>
      </c>
      <c r="F2059" s="307" t="s">
        <v>3906</v>
      </c>
      <c r="G2059" s="307" t="s">
        <v>3907</v>
      </c>
    </row>
    <row r="2060" spans="1:7" ht="13.5">
      <c r="A2060" s="307" t="s">
        <v>9941</v>
      </c>
      <c r="B2060" s="307" t="s">
        <v>9942</v>
      </c>
      <c r="C2060" s="307" t="s">
        <v>5814</v>
      </c>
      <c r="D2060" s="307" t="s">
        <v>9943</v>
      </c>
      <c r="E2060" s="307" t="s">
        <v>3905</v>
      </c>
      <c r="F2060" s="307" t="s">
        <v>3906</v>
      </c>
      <c r="G2060" s="307" t="s">
        <v>3907</v>
      </c>
    </row>
    <row r="2061" spans="1:7" ht="13.5">
      <c r="A2061" s="307" t="s">
        <v>9944</v>
      </c>
      <c r="B2061" s="307" t="s">
        <v>9945</v>
      </c>
      <c r="C2061" s="307" t="s">
        <v>5814</v>
      </c>
      <c r="D2061" s="307" t="s">
        <v>9946</v>
      </c>
      <c r="E2061" s="307" t="s">
        <v>3905</v>
      </c>
      <c r="F2061" s="307" t="s">
        <v>3906</v>
      </c>
      <c r="G2061" s="307" t="s">
        <v>3907</v>
      </c>
    </row>
    <row r="2062" spans="1:7" ht="13.5">
      <c r="A2062" s="307" t="s">
        <v>9947</v>
      </c>
      <c r="B2062" s="307" t="s">
        <v>9948</v>
      </c>
      <c r="C2062" s="307" t="s">
        <v>5814</v>
      </c>
      <c r="D2062" s="307" t="s">
        <v>9949</v>
      </c>
      <c r="E2062" s="307" t="s">
        <v>3905</v>
      </c>
      <c r="F2062" s="307" t="s">
        <v>3906</v>
      </c>
      <c r="G2062" s="307" t="s">
        <v>3907</v>
      </c>
    </row>
    <row r="2063" spans="1:7" ht="13.5">
      <c r="A2063" s="307" t="s">
        <v>9950</v>
      </c>
      <c r="B2063" s="307" t="s">
        <v>9951</v>
      </c>
      <c r="C2063" s="307" t="s">
        <v>5814</v>
      </c>
      <c r="D2063" s="307" t="s">
        <v>9952</v>
      </c>
      <c r="E2063" s="307" t="s">
        <v>3905</v>
      </c>
      <c r="F2063" s="307" t="s">
        <v>3906</v>
      </c>
      <c r="G2063" s="307" t="s">
        <v>3907</v>
      </c>
    </row>
    <row r="2064" spans="1:7" ht="13.5">
      <c r="A2064" s="307" t="s">
        <v>9953</v>
      </c>
      <c r="B2064" s="307" t="s">
        <v>9954</v>
      </c>
      <c r="C2064" s="307" t="s">
        <v>5814</v>
      </c>
      <c r="D2064" s="307" t="s">
        <v>9955</v>
      </c>
      <c r="E2064" s="307" t="s">
        <v>3905</v>
      </c>
      <c r="F2064" s="307" t="s">
        <v>3906</v>
      </c>
      <c r="G2064" s="307" t="s">
        <v>3907</v>
      </c>
    </row>
    <row r="2065" spans="1:7" ht="13.5">
      <c r="A2065" s="307" t="s">
        <v>9956</v>
      </c>
      <c r="B2065" s="307" t="s">
        <v>9957</v>
      </c>
      <c r="C2065" s="307" t="s">
        <v>5814</v>
      </c>
      <c r="D2065" s="307" t="s">
        <v>9958</v>
      </c>
      <c r="E2065" s="307" t="s">
        <v>3905</v>
      </c>
      <c r="F2065" s="307" t="s">
        <v>3906</v>
      </c>
      <c r="G2065" s="307" t="s">
        <v>3907</v>
      </c>
    </row>
    <row r="2066" spans="1:7" ht="13.5">
      <c r="A2066" s="307" t="s">
        <v>9959</v>
      </c>
      <c r="B2066" s="307" t="s">
        <v>9960</v>
      </c>
      <c r="C2066" s="307" t="s">
        <v>5814</v>
      </c>
      <c r="D2066" s="307" t="s">
        <v>9961</v>
      </c>
      <c r="E2066" s="307" t="s">
        <v>3905</v>
      </c>
      <c r="F2066" s="307" t="s">
        <v>3906</v>
      </c>
      <c r="G2066" s="307" t="s">
        <v>3907</v>
      </c>
    </row>
    <row r="2067" spans="1:7" ht="13.5">
      <c r="A2067" s="307" t="s">
        <v>9962</v>
      </c>
      <c r="B2067" s="307" t="s">
        <v>9963</v>
      </c>
      <c r="C2067" s="307" t="s">
        <v>5814</v>
      </c>
      <c r="D2067" s="307" t="s">
        <v>9964</v>
      </c>
      <c r="E2067" s="307" t="s">
        <v>3905</v>
      </c>
      <c r="F2067" s="307" t="s">
        <v>3906</v>
      </c>
      <c r="G2067" s="307" t="s">
        <v>3907</v>
      </c>
    </row>
    <row r="2068" spans="1:7" ht="13.5">
      <c r="A2068" s="307" t="s">
        <v>9965</v>
      </c>
      <c r="B2068" s="307" t="s">
        <v>9966</v>
      </c>
      <c r="C2068" s="307" t="s">
        <v>5814</v>
      </c>
      <c r="D2068" s="307" t="s">
        <v>9967</v>
      </c>
      <c r="E2068" s="307" t="s">
        <v>3905</v>
      </c>
      <c r="F2068" s="307" t="s">
        <v>3906</v>
      </c>
      <c r="G2068" s="307" t="s">
        <v>3907</v>
      </c>
    </row>
    <row r="2069" spans="1:7" ht="13.5">
      <c r="A2069" s="307" t="s">
        <v>9968</v>
      </c>
      <c r="B2069" s="307" t="s">
        <v>9969</v>
      </c>
      <c r="C2069" s="307" t="s">
        <v>5814</v>
      </c>
      <c r="D2069" s="307" t="s">
        <v>9970</v>
      </c>
      <c r="E2069" s="307" t="s">
        <v>3905</v>
      </c>
      <c r="F2069" s="307" t="s">
        <v>3906</v>
      </c>
      <c r="G2069" s="307" t="s">
        <v>3907</v>
      </c>
    </row>
    <row r="2070" spans="1:7" ht="13.5">
      <c r="A2070" s="307" t="s">
        <v>9971</v>
      </c>
      <c r="B2070" s="307" t="s">
        <v>9972</v>
      </c>
      <c r="C2070" s="307" t="s">
        <v>5814</v>
      </c>
      <c r="D2070" s="307" t="s">
        <v>9973</v>
      </c>
      <c r="E2070" s="307" t="s">
        <v>3905</v>
      </c>
      <c r="F2070" s="307" t="s">
        <v>3906</v>
      </c>
      <c r="G2070" s="307" t="s">
        <v>3907</v>
      </c>
    </row>
    <row r="2071" spans="1:7" ht="13.5">
      <c r="A2071" s="307" t="s">
        <v>9974</v>
      </c>
      <c r="B2071" s="307" t="s">
        <v>9975</v>
      </c>
      <c r="C2071" s="307" t="s">
        <v>5814</v>
      </c>
      <c r="D2071" s="307" t="s">
        <v>9976</v>
      </c>
      <c r="E2071" s="307" t="s">
        <v>3905</v>
      </c>
      <c r="F2071" s="307" t="s">
        <v>3906</v>
      </c>
      <c r="G2071" s="307" t="s">
        <v>3907</v>
      </c>
    </row>
    <row r="2072" spans="1:7" ht="13.5">
      <c r="A2072" s="307" t="s">
        <v>9977</v>
      </c>
      <c r="B2072" s="307" t="s">
        <v>9978</v>
      </c>
      <c r="C2072" s="307" t="s">
        <v>5814</v>
      </c>
      <c r="D2072" s="307" t="s">
        <v>9979</v>
      </c>
      <c r="E2072" s="307" t="s">
        <v>3905</v>
      </c>
      <c r="F2072" s="307" t="s">
        <v>3906</v>
      </c>
      <c r="G2072" s="307" t="s">
        <v>3907</v>
      </c>
    </row>
    <row r="2073" spans="1:7" ht="13.5">
      <c r="A2073" s="307" t="s">
        <v>9980</v>
      </c>
      <c r="B2073" s="307" t="s">
        <v>9981</v>
      </c>
      <c r="C2073" s="307" t="s">
        <v>5814</v>
      </c>
      <c r="D2073" s="307" t="s">
        <v>9982</v>
      </c>
      <c r="E2073" s="307" t="s">
        <v>4021</v>
      </c>
      <c r="F2073" s="307" t="s">
        <v>3906</v>
      </c>
      <c r="G2073" s="307" t="s">
        <v>3907</v>
      </c>
    </row>
    <row r="2074" spans="1:7" ht="13.5">
      <c r="A2074" s="307" t="s">
        <v>9983</v>
      </c>
      <c r="B2074" s="307" t="s">
        <v>9984</v>
      </c>
      <c r="C2074" s="307" t="s">
        <v>5814</v>
      </c>
      <c r="D2074" s="307" t="s">
        <v>9985</v>
      </c>
      <c r="E2074" s="307" t="s">
        <v>3905</v>
      </c>
      <c r="F2074" s="307" t="s">
        <v>3906</v>
      </c>
      <c r="G2074" s="307" t="s">
        <v>3907</v>
      </c>
    </row>
    <row r="2075" spans="1:7" ht="13.5">
      <c r="A2075" s="307" t="s">
        <v>9986</v>
      </c>
      <c r="B2075" s="307" t="s">
        <v>9987</v>
      </c>
      <c r="C2075" s="307" t="s">
        <v>5814</v>
      </c>
      <c r="D2075" s="307" t="s">
        <v>9988</v>
      </c>
      <c r="E2075" s="307" t="s">
        <v>3905</v>
      </c>
      <c r="F2075" s="307" t="s">
        <v>3906</v>
      </c>
      <c r="G2075" s="307" t="s">
        <v>3907</v>
      </c>
    </row>
    <row r="2076" spans="1:7" ht="13.5">
      <c r="A2076" s="307" t="s">
        <v>9989</v>
      </c>
      <c r="B2076" s="307" t="s">
        <v>9990</v>
      </c>
      <c r="C2076" s="307" t="s">
        <v>5814</v>
      </c>
      <c r="D2076" s="307" t="s">
        <v>9991</v>
      </c>
      <c r="E2076" s="307" t="s">
        <v>3905</v>
      </c>
      <c r="F2076" s="307" t="s">
        <v>3906</v>
      </c>
      <c r="G2076" s="307" t="s">
        <v>3907</v>
      </c>
    </row>
    <row r="2077" spans="1:7" ht="13.5">
      <c r="A2077" s="307" t="s">
        <v>9992</v>
      </c>
      <c r="B2077" s="307" t="s">
        <v>9993</v>
      </c>
      <c r="C2077" s="307" t="s">
        <v>5814</v>
      </c>
      <c r="D2077" s="307" t="s">
        <v>9994</v>
      </c>
      <c r="E2077" s="307" t="s">
        <v>4021</v>
      </c>
      <c r="F2077" s="307" t="s">
        <v>3906</v>
      </c>
      <c r="G2077" s="307" t="s">
        <v>3907</v>
      </c>
    </row>
    <row r="2078" spans="1:7" ht="13.5">
      <c r="A2078" s="307" t="s">
        <v>9995</v>
      </c>
      <c r="B2078" s="307" t="s">
        <v>9996</v>
      </c>
      <c r="C2078" s="307" t="s">
        <v>5814</v>
      </c>
      <c r="D2078" s="307" t="s">
        <v>9997</v>
      </c>
      <c r="E2078" s="307" t="s">
        <v>3905</v>
      </c>
      <c r="F2078" s="307" t="s">
        <v>3906</v>
      </c>
      <c r="G2078" s="307" t="s">
        <v>3907</v>
      </c>
    </row>
    <row r="2079" spans="1:7" ht="13.5">
      <c r="A2079" s="307" t="s">
        <v>9998</v>
      </c>
      <c r="B2079" s="307" t="s">
        <v>9999</v>
      </c>
      <c r="C2079" s="307" t="s">
        <v>5814</v>
      </c>
      <c r="D2079" s="307" t="s">
        <v>10000</v>
      </c>
      <c r="E2079" s="307" t="s">
        <v>3905</v>
      </c>
      <c r="F2079" s="307" t="s">
        <v>3906</v>
      </c>
      <c r="G2079" s="307" t="s">
        <v>3907</v>
      </c>
    </row>
    <row r="2080" spans="1:7" ht="13.5">
      <c r="A2080" s="307" t="s">
        <v>10001</v>
      </c>
      <c r="B2080" s="307" t="s">
        <v>10002</v>
      </c>
      <c r="C2080" s="307" t="s">
        <v>5814</v>
      </c>
      <c r="D2080" s="307" t="s">
        <v>10003</v>
      </c>
      <c r="E2080" s="307" t="s">
        <v>3905</v>
      </c>
      <c r="F2080" s="307" t="s">
        <v>3906</v>
      </c>
      <c r="G2080" s="307" t="s">
        <v>3907</v>
      </c>
    </row>
    <row r="2081" spans="1:7" ht="13.5">
      <c r="A2081" s="307" t="s">
        <v>10004</v>
      </c>
      <c r="B2081" s="307" t="s">
        <v>10005</v>
      </c>
      <c r="C2081" s="307" t="s">
        <v>5814</v>
      </c>
      <c r="D2081" s="307" t="s">
        <v>10006</v>
      </c>
      <c r="E2081" s="307" t="s">
        <v>3905</v>
      </c>
      <c r="F2081" s="307" t="s">
        <v>3906</v>
      </c>
      <c r="G2081" s="307" t="s">
        <v>3907</v>
      </c>
    </row>
    <row r="2082" spans="1:7" ht="13.5">
      <c r="A2082" s="307" t="s">
        <v>10007</v>
      </c>
      <c r="B2082" s="307" t="s">
        <v>10008</v>
      </c>
      <c r="C2082" s="307" t="s">
        <v>5814</v>
      </c>
      <c r="D2082" s="307" t="s">
        <v>10009</v>
      </c>
      <c r="E2082" s="307" t="s">
        <v>3905</v>
      </c>
      <c r="F2082" s="307" t="s">
        <v>3906</v>
      </c>
      <c r="G2082" s="307" t="s">
        <v>3907</v>
      </c>
    </row>
    <row r="2083" spans="1:7" ht="13.5">
      <c r="A2083" s="307" t="s">
        <v>10010</v>
      </c>
      <c r="B2083" s="307" t="s">
        <v>10011</v>
      </c>
      <c r="C2083" s="307" t="s">
        <v>5814</v>
      </c>
      <c r="D2083" s="307" t="s">
        <v>10012</v>
      </c>
      <c r="E2083" s="307" t="s">
        <v>3905</v>
      </c>
      <c r="F2083" s="307" t="s">
        <v>3906</v>
      </c>
      <c r="G2083" s="307" t="s">
        <v>3907</v>
      </c>
    </row>
    <row r="2084" spans="1:7" ht="13.5">
      <c r="A2084" s="307" t="s">
        <v>10013</v>
      </c>
      <c r="B2084" s="307" t="s">
        <v>10014</v>
      </c>
      <c r="C2084" s="307" t="s">
        <v>5814</v>
      </c>
      <c r="D2084" s="307" t="s">
        <v>10015</v>
      </c>
      <c r="E2084" s="307" t="s">
        <v>3905</v>
      </c>
      <c r="F2084" s="307" t="s">
        <v>3906</v>
      </c>
      <c r="G2084" s="307" t="s">
        <v>3907</v>
      </c>
    </row>
    <row r="2085" spans="1:7" ht="13.5">
      <c r="A2085" s="307" t="s">
        <v>10016</v>
      </c>
      <c r="B2085" s="307" t="s">
        <v>10017</v>
      </c>
      <c r="C2085" s="307" t="s">
        <v>5814</v>
      </c>
      <c r="D2085" s="307" t="s">
        <v>10018</v>
      </c>
      <c r="E2085" s="307" t="s">
        <v>3905</v>
      </c>
      <c r="F2085" s="307" t="s">
        <v>3906</v>
      </c>
      <c r="G2085" s="307" t="s">
        <v>3907</v>
      </c>
    </row>
    <row r="2086" spans="1:7" ht="13.5">
      <c r="A2086" s="307" t="s">
        <v>10019</v>
      </c>
      <c r="B2086" s="307" t="s">
        <v>10020</v>
      </c>
      <c r="C2086" s="307" t="s">
        <v>5814</v>
      </c>
      <c r="D2086" s="307" t="s">
        <v>10021</v>
      </c>
      <c r="E2086" s="307" t="s">
        <v>3905</v>
      </c>
      <c r="F2086" s="307" t="s">
        <v>3906</v>
      </c>
      <c r="G2086" s="307" t="s">
        <v>3907</v>
      </c>
    </row>
    <row r="2087" spans="1:7" ht="13.5">
      <c r="A2087" s="307" t="s">
        <v>10022</v>
      </c>
      <c r="B2087" s="307" t="s">
        <v>10023</v>
      </c>
      <c r="C2087" s="307" t="s">
        <v>5814</v>
      </c>
      <c r="D2087" s="307" t="s">
        <v>10024</v>
      </c>
      <c r="E2087" s="307" t="s">
        <v>3905</v>
      </c>
      <c r="F2087" s="307" t="s">
        <v>3906</v>
      </c>
      <c r="G2087" s="307" t="s">
        <v>3907</v>
      </c>
    </row>
    <row r="2088" spans="1:7" ht="13.5">
      <c r="A2088" s="307" t="s">
        <v>10025</v>
      </c>
      <c r="B2088" s="307" t="s">
        <v>10026</v>
      </c>
      <c r="C2088" s="307" t="s">
        <v>5814</v>
      </c>
      <c r="D2088" s="307" t="s">
        <v>10027</v>
      </c>
      <c r="E2088" s="307" t="s">
        <v>3905</v>
      </c>
      <c r="F2088" s="307" t="s">
        <v>3906</v>
      </c>
      <c r="G2088" s="307" t="s">
        <v>3907</v>
      </c>
    </row>
    <row r="2089" spans="1:7" ht="13.5">
      <c r="A2089" s="307" t="s">
        <v>10028</v>
      </c>
      <c r="B2089" s="307" t="s">
        <v>10029</v>
      </c>
      <c r="C2089" s="307" t="s">
        <v>5814</v>
      </c>
      <c r="D2089" s="307" t="s">
        <v>10030</v>
      </c>
      <c r="E2089" s="307" t="s">
        <v>3905</v>
      </c>
      <c r="F2089" s="307" t="s">
        <v>3906</v>
      </c>
      <c r="G2089" s="307" t="s">
        <v>3907</v>
      </c>
    </row>
    <row r="2090" spans="1:7" ht="13.5">
      <c r="A2090" s="307" t="s">
        <v>10031</v>
      </c>
      <c r="B2090" s="307" t="s">
        <v>10032</v>
      </c>
      <c r="C2090" s="307" t="s">
        <v>5814</v>
      </c>
      <c r="D2090" s="307" t="s">
        <v>10033</v>
      </c>
      <c r="E2090" s="307" t="s">
        <v>4021</v>
      </c>
      <c r="F2090" s="307" t="s">
        <v>3906</v>
      </c>
      <c r="G2090" s="307" t="s">
        <v>3907</v>
      </c>
    </row>
    <row r="2091" spans="1:7" ht="13.5">
      <c r="A2091" s="307" t="s">
        <v>10034</v>
      </c>
      <c r="B2091" s="307" t="s">
        <v>10035</v>
      </c>
      <c r="C2091" s="307" t="s">
        <v>5814</v>
      </c>
      <c r="D2091" s="307" t="s">
        <v>10036</v>
      </c>
      <c r="E2091" s="307" t="s">
        <v>3905</v>
      </c>
      <c r="F2091" s="307" t="s">
        <v>3906</v>
      </c>
      <c r="G2091" s="307" t="s">
        <v>3907</v>
      </c>
    </row>
    <row r="2092" spans="1:7" ht="13.5">
      <c r="A2092" s="307" t="s">
        <v>10037</v>
      </c>
      <c r="B2092" s="307" t="s">
        <v>10038</v>
      </c>
      <c r="C2092" s="307" t="s">
        <v>5814</v>
      </c>
      <c r="D2092" s="307" t="s">
        <v>10039</v>
      </c>
      <c r="E2092" s="307" t="s">
        <v>3905</v>
      </c>
      <c r="F2092" s="307" t="s">
        <v>3906</v>
      </c>
      <c r="G2092" s="307" t="s">
        <v>3907</v>
      </c>
    </row>
    <row r="2093" spans="1:7" ht="13.5">
      <c r="A2093" s="307" t="s">
        <v>10040</v>
      </c>
      <c r="B2093" s="307" t="s">
        <v>10041</v>
      </c>
      <c r="C2093" s="307" t="s">
        <v>5814</v>
      </c>
      <c r="D2093" s="307" t="s">
        <v>10042</v>
      </c>
      <c r="E2093" s="307" t="s">
        <v>3905</v>
      </c>
      <c r="F2093" s="307" t="s">
        <v>3906</v>
      </c>
      <c r="G2093" s="307" t="s">
        <v>3907</v>
      </c>
    </row>
    <row r="2094" spans="1:7" ht="13.5">
      <c r="A2094" s="307" t="s">
        <v>10043</v>
      </c>
      <c r="B2094" s="307" t="s">
        <v>10044</v>
      </c>
      <c r="C2094" s="307" t="s">
        <v>5814</v>
      </c>
      <c r="D2094" s="307" t="s">
        <v>10045</v>
      </c>
      <c r="E2094" s="307" t="s">
        <v>3905</v>
      </c>
      <c r="F2094" s="307" t="s">
        <v>3906</v>
      </c>
      <c r="G2094" s="307" t="s">
        <v>3907</v>
      </c>
    </row>
    <row r="2095" spans="1:7" ht="13.5">
      <c r="A2095" s="307" t="s">
        <v>10046</v>
      </c>
      <c r="B2095" s="307" t="s">
        <v>10047</v>
      </c>
      <c r="C2095" s="307" t="s">
        <v>5814</v>
      </c>
      <c r="D2095" s="307" t="s">
        <v>10048</v>
      </c>
      <c r="E2095" s="307" t="s">
        <v>3905</v>
      </c>
      <c r="F2095" s="307" t="s">
        <v>3906</v>
      </c>
      <c r="G2095" s="307" t="s">
        <v>3907</v>
      </c>
    </row>
    <row r="2096" spans="1:7" ht="13.5">
      <c r="A2096" s="307" t="s">
        <v>10049</v>
      </c>
      <c r="B2096" s="307" t="s">
        <v>10050</v>
      </c>
      <c r="C2096" s="307" t="s">
        <v>5814</v>
      </c>
      <c r="D2096" s="307" t="s">
        <v>10051</v>
      </c>
      <c r="E2096" s="307" t="s">
        <v>3905</v>
      </c>
      <c r="F2096" s="307" t="s">
        <v>3906</v>
      </c>
      <c r="G2096" s="307" t="s">
        <v>3907</v>
      </c>
    </row>
    <row r="2097" spans="1:7" ht="13.5">
      <c r="A2097" s="307" t="s">
        <v>10052</v>
      </c>
      <c r="B2097" s="307" t="s">
        <v>10053</v>
      </c>
      <c r="C2097" s="307" t="s">
        <v>5814</v>
      </c>
      <c r="D2097" s="307" t="s">
        <v>10054</v>
      </c>
      <c r="E2097" s="307" t="s">
        <v>3905</v>
      </c>
      <c r="F2097" s="307" t="s">
        <v>3906</v>
      </c>
      <c r="G2097" s="307" t="s">
        <v>3907</v>
      </c>
    </row>
    <row r="2098" spans="1:7" ht="13.5">
      <c r="A2098" s="307" t="s">
        <v>10055</v>
      </c>
      <c r="B2098" s="307" t="s">
        <v>10056</v>
      </c>
      <c r="C2098" s="307" t="s">
        <v>5814</v>
      </c>
      <c r="D2098" s="307" t="s">
        <v>10057</v>
      </c>
      <c r="E2098" s="307" t="s">
        <v>3905</v>
      </c>
      <c r="F2098" s="307" t="s">
        <v>3906</v>
      </c>
      <c r="G2098" s="307" t="s">
        <v>3907</v>
      </c>
    </row>
    <row r="2099" spans="1:7" ht="13.5">
      <c r="A2099" s="307" t="s">
        <v>10058</v>
      </c>
      <c r="B2099" s="307" t="s">
        <v>10059</v>
      </c>
      <c r="C2099" s="307" t="s">
        <v>5814</v>
      </c>
      <c r="D2099" s="307" t="s">
        <v>10060</v>
      </c>
      <c r="E2099" s="307" t="s">
        <v>3905</v>
      </c>
      <c r="F2099" s="307" t="s">
        <v>3906</v>
      </c>
      <c r="G2099" s="307" t="s">
        <v>3907</v>
      </c>
    </row>
    <row r="2100" spans="1:7" ht="13.5">
      <c r="A2100" s="307" t="s">
        <v>10061</v>
      </c>
      <c r="B2100" s="307" t="s">
        <v>10062</v>
      </c>
      <c r="C2100" s="307" t="s">
        <v>5814</v>
      </c>
      <c r="D2100" s="307" t="s">
        <v>10063</v>
      </c>
      <c r="E2100" s="307" t="s">
        <v>3905</v>
      </c>
      <c r="F2100" s="307" t="s">
        <v>3906</v>
      </c>
      <c r="G2100" s="307" t="s">
        <v>3907</v>
      </c>
    </row>
    <row r="2101" spans="1:7" ht="13.5">
      <c r="A2101" s="307" t="s">
        <v>10064</v>
      </c>
      <c r="B2101" s="307" t="s">
        <v>10065</v>
      </c>
      <c r="C2101" s="307" t="s">
        <v>5814</v>
      </c>
      <c r="D2101" s="307" t="s">
        <v>10066</v>
      </c>
      <c r="E2101" s="307" t="s">
        <v>3905</v>
      </c>
      <c r="F2101" s="307" t="s">
        <v>3906</v>
      </c>
      <c r="G2101" s="307" t="s">
        <v>3907</v>
      </c>
    </row>
    <row r="2102" spans="1:7" ht="13.5">
      <c r="A2102" s="307" t="s">
        <v>10067</v>
      </c>
      <c r="B2102" s="307" t="s">
        <v>10068</v>
      </c>
      <c r="C2102" s="307" t="s">
        <v>5814</v>
      </c>
      <c r="D2102" s="307" t="s">
        <v>10069</v>
      </c>
      <c r="E2102" s="307" t="s">
        <v>3905</v>
      </c>
      <c r="F2102" s="307" t="s">
        <v>3906</v>
      </c>
      <c r="G2102" s="307" t="s">
        <v>3907</v>
      </c>
    </row>
    <row r="2103" spans="1:7" ht="13.5">
      <c r="A2103" s="307" t="s">
        <v>10070</v>
      </c>
      <c r="B2103" s="307" t="s">
        <v>10071</v>
      </c>
      <c r="C2103" s="307" t="s">
        <v>5814</v>
      </c>
      <c r="D2103" s="307" t="s">
        <v>10072</v>
      </c>
      <c r="E2103" s="307" t="s">
        <v>3905</v>
      </c>
      <c r="F2103" s="307" t="s">
        <v>3906</v>
      </c>
      <c r="G2103" s="307" t="s">
        <v>3907</v>
      </c>
    </row>
    <row r="2104" spans="1:7" ht="13.5">
      <c r="A2104" s="307" t="s">
        <v>10073</v>
      </c>
      <c r="B2104" s="307" t="s">
        <v>10074</v>
      </c>
      <c r="C2104" s="307" t="s">
        <v>5814</v>
      </c>
      <c r="D2104" s="307" t="s">
        <v>10075</v>
      </c>
      <c r="E2104" s="307" t="s">
        <v>3905</v>
      </c>
      <c r="F2104" s="307" t="s">
        <v>3906</v>
      </c>
      <c r="G2104" s="307" t="s">
        <v>3907</v>
      </c>
    </row>
    <row r="2105" spans="1:7" ht="13.5">
      <c r="A2105" s="307" t="s">
        <v>10076</v>
      </c>
      <c r="B2105" s="307" t="s">
        <v>10077</v>
      </c>
      <c r="C2105" s="307" t="s">
        <v>5814</v>
      </c>
      <c r="D2105" s="307" t="s">
        <v>10078</v>
      </c>
      <c r="E2105" s="307" t="s">
        <v>3905</v>
      </c>
      <c r="F2105" s="307" t="s">
        <v>3906</v>
      </c>
      <c r="G2105" s="307" t="s">
        <v>3907</v>
      </c>
    </row>
    <row r="2106" spans="1:7" ht="13.5">
      <c r="A2106" s="307" t="s">
        <v>10079</v>
      </c>
      <c r="B2106" s="307" t="s">
        <v>10080</v>
      </c>
      <c r="C2106" s="307" t="s">
        <v>5814</v>
      </c>
      <c r="D2106" s="307" t="s">
        <v>10081</v>
      </c>
      <c r="E2106" s="307" t="s">
        <v>3905</v>
      </c>
      <c r="F2106" s="307" t="s">
        <v>3906</v>
      </c>
      <c r="G2106" s="307" t="s">
        <v>3907</v>
      </c>
    </row>
    <row r="2107" spans="1:7" ht="13.5">
      <c r="A2107" s="307" t="s">
        <v>10082</v>
      </c>
      <c r="B2107" s="307" t="s">
        <v>10083</v>
      </c>
      <c r="C2107" s="307" t="s">
        <v>5814</v>
      </c>
      <c r="D2107" s="307" t="s">
        <v>10084</v>
      </c>
      <c r="E2107" s="307" t="s">
        <v>3905</v>
      </c>
      <c r="F2107" s="307" t="s">
        <v>3906</v>
      </c>
      <c r="G2107" s="307" t="s">
        <v>3907</v>
      </c>
    </row>
    <row r="2108" spans="1:7" ht="13.5">
      <c r="A2108" s="307" t="s">
        <v>10085</v>
      </c>
      <c r="B2108" s="307" t="s">
        <v>10086</v>
      </c>
      <c r="C2108" s="307" t="s">
        <v>5814</v>
      </c>
      <c r="D2108" s="307" t="s">
        <v>10087</v>
      </c>
      <c r="E2108" s="307" t="s">
        <v>3905</v>
      </c>
      <c r="F2108" s="307" t="s">
        <v>3906</v>
      </c>
      <c r="G2108" s="307" t="s">
        <v>3907</v>
      </c>
    </row>
    <row r="2109" spans="1:7" ht="13.5">
      <c r="A2109" s="307" t="s">
        <v>10088</v>
      </c>
      <c r="B2109" s="307" t="s">
        <v>10089</v>
      </c>
      <c r="C2109" s="307" t="s">
        <v>5814</v>
      </c>
      <c r="D2109" s="307" t="s">
        <v>10090</v>
      </c>
      <c r="E2109" s="307" t="s">
        <v>3905</v>
      </c>
      <c r="F2109" s="307" t="s">
        <v>3906</v>
      </c>
      <c r="G2109" s="307" t="s">
        <v>3907</v>
      </c>
    </row>
    <row r="2110" spans="1:7" ht="13.5">
      <c r="A2110" s="307" t="s">
        <v>10091</v>
      </c>
      <c r="B2110" s="307" t="s">
        <v>10092</v>
      </c>
      <c r="C2110" s="307" t="s">
        <v>5814</v>
      </c>
      <c r="D2110" s="307" t="s">
        <v>10093</v>
      </c>
      <c r="E2110" s="307" t="s">
        <v>3905</v>
      </c>
      <c r="F2110" s="307" t="s">
        <v>3906</v>
      </c>
      <c r="G2110" s="307" t="s">
        <v>3907</v>
      </c>
    </row>
    <row r="2111" spans="1:7" ht="13.5">
      <c r="A2111" s="307" t="s">
        <v>10094</v>
      </c>
      <c r="B2111" s="307" t="s">
        <v>10095</v>
      </c>
      <c r="C2111" s="307" t="s">
        <v>5814</v>
      </c>
      <c r="D2111" s="307" t="s">
        <v>10096</v>
      </c>
      <c r="E2111" s="307" t="s">
        <v>3905</v>
      </c>
      <c r="F2111" s="307" t="s">
        <v>3906</v>
      </c>
      <c r="G2111" s="307" t="s">
        <v>3907</v>
      </c>
    </row>
    <row r="2112" spans="1:7" ht="13.5">
      <c r="A2112" s="307" t="s">
        <v>10097</v>
      </c>
      <c r="B2112" s="307" t="s">
        <v>10098</v>
      </c>
      <c r="C2112" s="307" t="s">
        <v>5814</v>
      </c>
      <c r="D2112" s="307" t="s">
        <v>10099</v>
      </c>
      <c r="E2112" s="307" t="s">
        <v>3905</v>
      </c>
      <c r="F2112" s="307" t="s">
        <v>3906</v>
      </c>
      <c r="G2112" s="307" t="s">
        <v>3907</v>
      </c>
    </row>
    <row r="2113" spans="1:7" ht="13.5">
      <c r="A2113" s="307" t="s">
        <v>10100</v>
      </c>
      <c r="B2113" s="307" t="s">
        <v>10101</v>
      </c>
      <c r="C2113" s="307" t="s">
        <v>5814</v>
      </c>
      <c r="D2113" s="307" t="s">
        <v>10102</v>
      </c>
      <c r="E2113" s="307" t="s">
        <v>3905</v>
      </c>
      <c r="F2113" s="307" t="s">
        <v>3906</v>
      </c>
      <c r="G2113" s="307" t="s">
        <v>3907</v>
      </c>
    </row>
    <row r="2114" spans="1:7" ht="13.5">
      <c r="A2114" s="307" t="s">
        <v>10103</v>
      </c>
      <c r="B2114" s="307" t="s">
        <v>10104</v>
      </c>
      <c r="C2114" s="307" t="s">
        <v>5814</v>
      </c>
      <c r="D2114" s="307" t="s">
        <v>10105</v>
      </c>
      <c r="E2114" s="307" t="s">
        <v>3905</v>
      </c>
      <c r="F2114" s="307" t="s">
        <v>3906</v>
      </c>
      <c r="G2114" s="307" t="s">
        <v>3907</v>
      </c>
    </row>
    <row r="2115" spans="1:7" ht="13.5">
      <c r="A2115" s="307" t="s">
        <v>10106</v>
      </c>
      <c r="B2115" s="307" t="s">
        <v>10107</v>
      </c>
      <c r="C2115" s="307" t="s">
        <v>5814</v>
      </c>
      <c r="D2115" s="307" t="s">
        <v>10108</v>
      </c>
      <c r="E2115" s="307" t="s">
        <v>3905</v>
      </c>
      <c r="F2115" s="307" t="s">
        <v>3906</v>
      </c>
      <c r="G2115" s="307" t="s">
        <v>3907</v>
      </c>
    </row>
    <row r="2116" spans="1:7" ht="13.5">
      <c r="A2116" s="307" t="s">
        <v>10109</v>
      </c>
      <c r="B2116" s="307" t="s">
        <v>10110</v>
      </c>
      <c r="C2116" s="307" t="s">
        <v>5814</v>
      </c>
      <c r="D2116" s="307" t="s">
        <v>10111</v>
      </c>
      <c r="E2116" s="307" t="s">
        <v>3905</v>
      </c>
      <c r="F2116" s="307" t="s">
        <v>3906</v>
      </c>
      <c r="G2116" s="307" t="s">
        <v>3907</v>
      </c>
    </row>
    <row r="2117" spans="1:7" ht="13.5">
      <c r="A2117" s="307" t="s">
        <v>10112</v>
      </c>
      <c r="B2117" s="307" t="s">
        <v>10113</v>
      </c>
      <c r="C2117" s="307" t="s">
        <v>5814</v>
      </c>
      <c r="D2117" s="307" t="s">
        <v>10114</v>
      </c>
      <c r="E2117" s="307" t="s">
        <v>3905</v>
      </c>
      <c r="F2117" s="307" t="s">
        <v>3906</v>
      </c>
      <c r="G2117" s="307" t="s">
        <v>3907</v>
      </c>
    </row>
    <row r="2118" spans="1:7" ht="13.5">
      <c r="A2118" s="307" t="s">
        <v>10115</v>
      </c>
      <c r="B2118" s="307" t="s">
        <v>10116</v>
      </c>
      <c r="C2118" s="307" t="s">
        <v>5814</v>
      </c>
      <c r="D2118" s="307" t="s">
        <v>10117</v>
      </c>
      <c r="E2118" s="307" t="s">
        <v>3905</v>
      </c>
      <c r="F2118" s="307" t="s">
        <v>3906</v>
      </c>
      <c r="G2118" s="307" t="s">
        <v>3907</v>
      </c>
    </row>
    <row r="2119" spans="1:7" ht="13.5">
      <c r="A2119" s="307" t="s">
        <v>10118</v>
      </c>
      <c r="B2119" s="307" t="s">
        <v>10119</v>
      </c>
      <c r="C2119" s="307" t="s">
        <v>5814</v>
      </c>
      <c r="D2119" s="307" t="s">
        <v>10120</v>
      </c>
      <c r="E2119" s="307" t="s">
        <v>3905</v>
      </c>
      <c r="F2119" s="307" t="s">
        <v>3906</v>
      </c>
      <c r="G2119" s="307" t="s">
        <v>3907</v>
      </c>
    </row>
    <row r="2120" spans="1:7" ht="13.5">
      <c r="A2120" s="307" t="s">
        <v>10121</v>
      </c>
      <c r="B2120" s="307" t="s">
        <v>10122</v>
      </c>
      <c r="C2120" s="307" t="s">
        <v>5814</v>
      </c>
      <c r="D2120" s="307" t="s">
        <v>2117</v>
      </c>
      <c r="E2120" s="307" t="s">
        <v>3905</v>
      </c>
      <c r="F2120" s="307" t="s">
        <v>3906</v>
      </c>
      <c r="G2120" s="307" t="s">
        <v>3907</v>
      </c>
    </row>
    <row r="2121" spans="1:7" ht="13.5">
      <c r="A2121" s="307" t="s">
        <v>10123</v>
      </c>
      <c r="B2121" s="307" t="s">
        <v>10124</v>
      </c>
      <c r="C2121" s="307" t="s">
        <v>5814</v>
      </c>
      <c r="D2121" s="307" t="s">
        <v>10125</v>
      </c>
      <c r="E2121" s="307" t="s">
        <v>3905</v>
      </c>
      <c r="F2121" s="307" t="s">
        <v>3906</v>
      </c>
      <c r="G2121" s="307" t="s">
        <v>3907</v>
      </c>
    </row>
    <row r="2122" spans="1:7" ht="13.5">
      <c r="A2122" s="307" t="s">
        <v>10126</v>
      </c>
      <c r="B2122" s="307" t="s">
        <v>10127</v>
      </c>
      <c r="C2122" s="307" t="s">
        <v>5814</v>
      </c>
      <c r="D2122" s="307" t="s">
        <v>10128</v>
      </c>
      <c r="E2122" s="307" t="s">
        <v>3905</v>
      </c>
      <c r="F2122" s="307" t="s">
        <v>3906</v>
      </c>
      <c r="G2122" s="307" t="s">
        <v>3907</v>
      </c>
    </row>
    <row r="2123" spans="1:7" ht="13.5">
      <c r="A2123" s="307" t="s">
        <v>10129</v>
      </c>
      <c r="B2123" s="307" t="s">
        <v>10130</v>
      </c>
      <c r="C2123" s="307" t="s">
        <v>5814</v>
      </c>
      <c r="D2123" s="307" t="s">
        <v>10131</v>
      </c>
      <c r="E2123" s="307" t="s">
        <v>3905</v>
      </c>
      <c r="F2123" s="307" t="s">
        <v>3906</v>
      </c>
      <c r="G2123" s="307" t="s">
        <v>3907</v>
      </c>
    </row>
    <row r="2124" spans="1:7" ht="13.5">
      <c r="A2124" s="307" t="s">
        <v>10132</v>
      </c>
      <c r="B2124" s="307" t="s">
        <v>10133</v>
      </c>
      <c r="C2124" s="307" t="s">
        <v>5814</v>
      </c>
      <c r="D2124" s="307" t="s">
        <v>10134</v>
      </c>
      <c r="E2124" s="307" t="s">
        <v>3905</v>
      </c>
      <c r="F2124" s="307" t="s">
        <v>3906</v>
      </c>
      <c r="G2124" s="307" t="s">
        <v>3907</v>
      </c>
    </row>
    <row r="2125" spans="1:7" ht="13.5">
      <c r="A2125" s="307" t="s">
        <v>10135</v>
      </c>
      <c r="B2125" s="307" t="s">
        <v>10136</v>
      </c>
      <c r="C2125" s="307" t="s">
        <v>5814</v>
      </c>
      <c r="D2125" s="307" t="s">
        <v>10137</v>
      </c>
      <c r="E2125" s="307" t="s">
        <v>3905</v>
      </c>
      <c r="F2125" s="307" t="s">
        <v>3906</v>
      </c>
      <c r="G2125" s="307" t="s">
        <v>3907</v>
      </c>
    </row>
    <row r="2126" spans="1:7" ht="13.5">
      <c r="A2126" s="307" t="s">
        <v>10138</v>
      </c>
      <c r="B2126" s="307" t="s">
        <v>10139</v>
      </c>
      <c r="C2126" s="307" t="s">
        <v>5814</v>
      </c>
      <c r="D2126" s="307" t="s">
        <v>10140</v>
      </c>
      <c r="E2126" s="307" t="s">
        <v>3905</v>
      </c>
      <c r="F2126" s="307" t="s">
        <v>3906</v>
      </c>
      <c r="G2126" s="307" t="s">
        <v>3907</v>
      </c>
    </row>
    <row r="2127" spans="1:7" ht="13.5">
      <c r="A2127" s="307" t="s">
        <v>10141</v>
      </c>
      <c r="B2127" s="307" t="s">
        <v>10142</v>
      </c>
      <c r="C2127" s="307" t="s">
        <v>5814</v>
      </c>
      <c r="D2127" s="307" t="s">
        <v>10143</v>
      </c>
      <c r="E2127" s="307" t="s">
        <v>3905</v>
      </c>
      <c r="F2127" s="307" t="s">
        <v>3906</v>
      </c>
      <c r="G2127" s="307" t="s">
        <v>3907</v>
      </c>
    </row>
    <row r="2128" spans="1:7" ht="13.5">
      <c r="A2128" s="307" t="s">
        <v>10144</v>
      </c>
      <c r="B2128" s="307" t="s">
        <v>10145</v>
      </c>
      <c r="C2128" s="307" t="s">
        <v>5814</v>
      </c>
      <c r="D2128" s="307" t="s">
        <v>10143</v>
      </c>
      <c r="E2128" s="307" t="s">
        <v>3905</v>
      </c>
      <c r="F2128" s="307" t="s">
        <v>3906</v>
      </c>
      <c r="G2128" s="307" t="s">
        <v>3907</v>
      </c>
    </row>
    <row r="2129" spans="1:7" ht="13.5">
      <c r="A2129" s="307" t="s">
        <v>10146</v>
      </c>
      <c r="B2129" s="307" t="s">
        <v>10147</v>
      </c>
      <c r="C2129" s="307" t="s">
        <v>5814</v>
      </c>
      <c r="D2129" s="307" t="s">
        <v>10148</v>
      </c>
      <c r="E2129" s="307" t="s">
        <v>3905</v>
      </c>
      <c r="F2129" s="307" t="s">
        <v>3906</v>
      </c>
      <c r="G2129" s="307" t="s">
        <v>3907</v>
      </c>
    </row>
    <row r="2130" spans="1:7" ht="13.5">
      <c r="A2130" s="307" t="s">
        <v>10149</v>
      </c>
      <c r="B2130" s="307" t="s">
        <v>10150</v>
      </c>
      <c r="C2130" s="307" t="s">
        <v>5814</v>
      </c>
      <c r="D2130" s="307" t="s">
        <v>10151</v>
      </c>
      <c r="E2130" s="307" t="s">
        <v>4021</v>
      </c>
      <c r="F2130" s="307" t="s">
        <v>3906</v>
      </c>
      <c r="G2130" s="307" t="s">
        <v>3907</v>
      </c>
    </row>
    <row r="2131" spans="1:7" ht="13.5">
      <c r="A2131" s="307" t="s">
        <v>10152</v>
      </c>
      <c r="B2131" s="307" t="s">
        <v>10153</v>
      </c>
      <c r="C2131" s="307" t="s">
        <v>5814</v>
      </c>
      <c r="D2131" s="307" t="s">
        <v>10154</v>
      </c>
      <c r="E2131" s="307" t="s">
        <v>3905</v>
      </c>
      <c r="F2131" s="307" t="s">
        <v>3906</v>
      </c>
      <c r="G2131" s="307" t="s">
        <v>3907</v>
      </c>
    </row>
    <row r="2132" spans="1:7" ht="13.5">
      <c r="A2132" s="307" t="s">
        <v>10155</v>
      </c>
      <c r="B2132" s="307" t="s">
        <v>10156</v>
      </c>
      <c r="C2132" s="307" t="s">
        <v>5814</v>
      </c>
      <c r="D2132" s="307" t="s">
        <v>10157</v>
      </c>
      <c r="E2132" s="307" t="s">
        <v>3905</v>
      </c>
      <c r="F2132" s="307" t="s">
        <v>3906</v>
      </c>
      <c r="G2132" s="307" t="s">
        <v>3907</v>
      </c>
    </row>
    <row r="2133" spans="1:7" ht="13.5">
      <c r="A2133" s="307" t="s">
        <v>10158</v>
      </c>
      <c r="B2133" s="307" t="s">
        <v>10159</v>
      </c>
      <c r="C2133" s="307" t="s">
        <v>5814</v>
      </c>
      <c r="D2133" s="307" t="s">
        <v>10160</v>
      </c>
      <c r="E2133" s="307" t="s">
        <v>3905</v>
      </c>
      <c r="F2133" s="307" t="s">
        <v>3906</v>
      </c>
      <c r="G2133" s="307" t="s">
        <v>3907</v>
      </c>
    </row>
    <row r="2134" spans="1:7" ht="13.5">
      <c r="A2134" s="307" t="s">
        <v>10161</v>
      </c>
      <c r="B2134" s="307" t="s">
        <v>10162</v>
      </c>
      <c r="C2134" s="307" t="s">
        <v>5814</v>
      </c>
      <c r="D2134" s="307" t="s">
        <v>10163</v>
      </c>
      <c r="E2134" s="307" t="s">
        <v>3905</v>
      </c>
      <c r="F2134" s="307" t="s">
        <v>3906</v>
      </c>
      <c r="G2134" s="307" t="s">
        <v>3907</v>
      </c>
    </row>
    <row r="2135" spans="1:7" ht="13.5">
      <c r="A2135" s="307" t="s">
        <v>10164</v>
      </c>
      <c r="B2135" s="307" t="s">
        <v>10165</v>
      </c>
      <c r="C2135" s="307" t="s">
        <v>5814</v>
      </c>
      <c r="D2135" s="307" t="s">
        <v>10166</v>
      </c>
      <c r="E2135" s="307" t="s">
        <v>3905</v>
      </c>
      <c r="F2135" s="307" t="s">
        <v>3906</v>
      </c>
      <c r="G2135" s="307" t="s">
        <v>3907</v>
      </c>
    </row>
    <row r="2136" spans="1:7" ht="13.5">
      <c r="A2136" s="307" t="s">
        <v>10167</v>
      </c>
      <c r="B2136" s="307" t="s">
        <v>10168</v>
      </c>
      <c r="C2136" s="307" t="s">
        <v>5814</v>
      </c>
      <c r="D2136" s="307" t="s">
        <v>10169</v>
      </c>
      <c r="E2136" s="307" t="s">
        <v>3905</v>
      </c>
      <c r="F2136" s="307" t="s">
        <v>3906</v>
      </c>
      <c r="G2136" s="307" t="s">
        <v>3907</v>
      </c>
    </row>
    <row r="2137" spans="1:7" ht="13.5">
      <c r="A2137" s="307" t="s">
        <v>10170</v>
      </c>
      <c r="B2137" s="307" t="s">
        <v>10171</v>
      </c>
      <c r="C2137" s="307" t="s">
        <v>5814</v>
      </c>
      <c r="D2137" s="307" t="s">
        <v>10172</v>
      </c>
      <c r="E2137" s="307" t="s">
        <v>3905</v>
      </c>
      <c r="F2137" s="307" t="s">
        <v>3906</v>
      </c>
      <c r="G2137" s="307" t="s">
        <v>3907</v>
      </c>
    </row>
    <row r="2138" spans="1:7" ht="13.5">
      <c r="A2138" s="307" t="s">
        <v>10173</v>
      </c>
      <c r="B2138" s="307" t="s">
        <v>10174</v>
      </c>
      <c r="C2138" s="307" t="s">
        <v>5814</v>
      </c>
      <c r="D2138" s="307" t="s">
        <v>10175</v>
      </c>
      <c r="E2138" s="307" t="s">
        <v>3905</v>
      </c>
      <c r="F2138" s="307" t="s">
        <v>3906</v>
      </c>
      <c r="G2138" s="307" t="s">
        <v>3907</v>
      </c>
    </row>
    <row r="2139" spans="1:7" ht="13.5">
      <c r="A2139" s="307" t="s">
        <v>10176</v>
      </c>
      <c r="B2139" s="307" t="s">
        <v>10177</v>
      </c>
      <c r="C2139" s="307" t="s">
        <v>5814</v>
      </c>
      <c r="D2139" s="307" t="s">
        <v>10178</v>
      </c>
      <c r="E2139" s="307" t="s">
        <v>3905</v>
      </c>
      <c r="F2139" s="307" t="s">
        <v>3906</v>
      </c>
      <c r="G2139" s="307" t="s">
        <v>3907</v>
      </c>
    </row>
    <row r="2140" spans="1:7" ht="13.5">
      <c r="A2140" s="307" t="s">
        <v>10179</v>
      </c>
      <c r="B2140" s="307" t="s">
        <v>10180</v>
      </c>
      <c r="C2140" s="307" t="s">
        <v>5814</v>
      </c>
      <c r="D2140" s="307" t="s">
        <v>10181</v>
      </c>
      <c r="E2140" s="307" t="s">
        <v>3905</v>
      </c>
      <c r="F2140" s="307" t="s">
        <v>3906</v>
      </c>
      <c r="G2140" s="307" t="s">
        <v>3907</v>
      </c>
    </row>
    <row r="2141" spans="1:7" ht="13.5">
      <c r="A2141" s="307" t="s">
        <v>10182</v>
      </c>
      <c r="B2141" s="307" t="s">
        <v>10183</v>
      </c>
      <c r="C2141" s="307" t="s">
        <v>5814</v>
      </c>
      <c r="D2141" s="307" t="s">
        <v>10184</v>
      </c>
      <c r="E2141" s="307" t="s">
        <v>3905</v>
      </c>
      <c r="F2141" s="307" t="s">
        <v>3906</v>
      </c>
      <c r="G2141" s="307" t="s">
        <v>3907</v>
      </c>
    </row>
    <row r="2142" spans="1:7" ht="13.5">
      <c r="A2142" s="307" t="s">
        <v>10185</v>
      </c>
      <c r="B2142" s="307" t="s">
        <v>10186</v>
      </c>
      <c r="C2142" s="307" t="s">
        <v>5814</v>
      </c>
      <c r="D2142" s="307" t="s">
        <v>10187</v>
      </c>
      <c r="E2142" s="307" t="s">
        <v>3905</v>
      </c>
      <c r="F2142" s="307" t="s">
        <v>3906</v>
      </c>
      <c r="G2142" s="307" t="s">
        <v>3907</v>
      </c>
    </row>
    <row r="2143" spans="1:7" ht="13.5">
      <c r="A2143" s="307" t="s">
        <v>10188</v>
      </c>
      <c r="B2143" s="307" t="s">
        <v>10189</v>
      </c>
      <c r="C2143" s="307" t="s">
        <v>5814</v>
      </c>
      <c r="D2143" s="307" t="s">
        <v>10190</v>
      </c>
      <c r="E2143" s="307" t="s">
        <v>3905</v>
      </c>
      <c r="F2143" s="307" t="s">
        <v>3906</v>
      </c>
      <c r="G2143" s="307" t="s">
        <v>3907</v>
      </c>
    </row>
    <row r="2144" spans="1:7" ht="13.5">
      <c r="A2144" s="307" t="s">
        <v>10191</v>
      </c>
      <c r="B2144" s="307" t="s">
        <v>10192</v>
      </c>
      <c r="C2144" s="307" t="s">
        <v>5814</v>
      </c>
      <c r="D2144" s="307" t="s">
        <v>10193</v>
      </c>
      <c r="E2144" s="307" t="s">
        <v>3905</v>
      </c>
      <c r="F2144" s="307" t="s">
        <v>3906</v>
      </c>
      <c r="G2144" s="307" t="s">
        <v>3907</v>
      </c>
    </row>
    <row r="2145" spans="1:7" ht="13.5">
      <c r="A2145" s="307" t="s">
        <v>10194</v>
      </c>
      <c r="B2145" s="307" t="s">
        <v>10195</v>
      </c>
      <c r="C2145" s="307" t="s">
        <v>5814</v>
      </c>
      <c r="D2145" s="307" t="s">
        <v>10196</v>
      </c>
      <c r="E2145" s="307" t="s">
        <v>3905</v>
      </c>
      <c r="F2145" s="307" t="s">
        <v>3906</v>
      </c>
      <c r="G2145" s="307" t="s">
        <v>3907</v>
      </c>
    </row>
    <row r="2146" spans="1:7" ht="13.5">
      <c r="A2146" s="307" t="s">
        <v>10197</v>
      </c>
      <c r="B2146" s="307" t="s">
        <v>10198</v>
      </c>
      <c r="C2146" s="307" t="s">
        <v>5814</v>
      </c>
      <c r="D2146" s="307" t="s">
        <v>10199</v>
      </c>
      <c r="E2146" s="307" t="s">
        <v>3905</v>
      </c>
      <c r="F2146" s="307" t="s">
        <v>3906</v>
      </c>
      <c r="G2146" s="307" t="s">
        <v>3907</v>
      </c>
    </row>
    <row r="2147" spans="1:7" ht="13.5">
      <c r="A2147" s="307" t="s">
        <v>10200</v>
      </c>
      <c r="B2147" s="307" t="s">
        <v>10201</v>
      </c>
      <c r="C2147" s="307" t="s">
        <v>5814</v>
      </c>
      <c r="D2147" s="307" t="s">
        <v>10202</v>
      </c>
      <c r="E2147" s="307" t="s">
        <v>3905</v>
      </c>
      <c r="F2147" s="307" t="s">
        <v>3906</v>
      </c>
      <c r="G2147" s="307" t="s">
        <v>3907</v>
      </c>
    </row>
    <row r="2148" spans="1:7" ht="13.5">
      <c r="A2148" s="307" t="s">
        <v>10203</v>
      </c>
      <c r="B2148" s="307" t="s">
        <v>10204</v>
      </c>
      <c r="C2148" s="307" t="s">
        <v>5814</v>
      </c>
      <c r="D2148" s="307" t="s">
        <v>10205</v>
      </c>
      <c r="E2148" s="307" t="s">
        <v>3905</v>
      </c>
      <c r="F2148" s="307" t="s">
        <v>3906</v>
      </c>
      <c r="G2148" s="307" t="s">
        <v>3907</v>
      </c>
    </row>
    <row r="2149" spans="1:7" ht="13.5">
      <c r="A2149" s="307" t="s">
        <v>10206</v>
      </c>
      <c r="B2149" s="307" t="s">
        <v>10207</v>
      </c>
      <c r="C2149" s="307" t="s">
        <v>5814</v>
      </c>
      <c r="D2149" s="307" t="s">
        <v>10208</v>
      </c>
      <c r="E2149" s="307" t="s">
        <v>3905</v>
      </c>
      <c r="F2149" s="307" t="s">
        <v>3906</v>
      </c>
      <c r="G2149" s="307" t="s">
        <v>3907</v>
      </c>
    </row>
    <row r="2150" spans="1:7" ht="13.5">
      <c r="A2150" s="307" t="s">
        <v>10209</v>
      </c>
      <c r="B2150" s="307" t="s">
        <v>10210</v>
      </c>
      <c r="C2150" s="307" t="s">
        <v>5814</v>
      </c>
      <c r="D2150" s="307" t="s">
        <v>10211</v>
      </c>
      <c r="E2150" s="307" t="s">
        <v>3905</v>
      </c>
      <c r="F2150" s="307" t="s">
        <v>3906</v>
      </c>
      <c r="G2150" s="307" t="s">
        <v>3907</v>
      </c>
    </row>
    <row r="2151" spans="1:7" ht="13.5">
      <c r="A2151" s="307" t="s">
        <v>10212</v>
      </c>
      <c r="B2151" s="307" t="s">
        <v>10213</v>
      </c>
      <c r="C2151" s="307" t="s">
        <v>5814</v>
      </c>
      <c r="D2151" s="307" t="s">
        <v>10214</v>
      </c>
      <c r="E2151" s="307" t="s">
        <v>3905</v>
      </c>
      <c r="F2151" s="307" t="s">
        <v>3906</v>
      </c>
      <c r="G2151" s="307" t="s">
        <v>3907</v>
      </c>
    </row>
    <row r="2152" spans="1:7" ht="13.5">
      <c r="A2152" s="307" t="s">
        <v>10215</v>
      </c>
      <c r="B2152" s="307" t="s">
        <v>10216</v>
      </c>
      <c r="C2152" s="307" t="s">
        <v>5814</v>
      </c>
      <c r="D2152" s="307" t="s">
        <v>10217</v>
      </c>
      <c r="E2152" s="307" t="s">
        <v>3905</v>
      </c>
      <c r="F2152" s="307" t="s">
        <v>3906</v>
      </c>
      <c r="G2152" s="307" t="s">
        <v>3907</v>
      </c>
    </row>
    <row r="2153" spans="1:7" ht="13.5">
      <c r="A2153" s="307" t="s">
        <v>10218</v>
      </c>
      <c r="B2153" s="307" t="s">
        <v>10219</v>
      </c>
      <c r="C2153" s="307" t="s">
        <v>5814</v>
      </c>
      <c r="D2153" s="307" t="s">
        <v>10220</v>
      </c>
      <c r="E2153" s="307" t="s">
        <v>3905</v>
      </c>
      <c r="F2153" s="307" t="s">
        <v>3906</v>
      </c>
      <c r="G2153" s="307" t="s">
        <v>3907</v>
      </c>
    </row>
    <row r="2154" spans="1:7" ht="13.5">
      <c r="A2154" s="307" t="s">
        <v>10221</v>
      </c>
      <c r="B2154" s="307" t="s">
        <v>10222</v>
      </c>
      <c r="C2154" s="307" t="s">
        <v>5814</v>
      </c>
      <c r="D2154" s="307" t="s">
        <v>10223</v>
      </c>
      <c r="E2154" s="307" t="s">
        <v>3905</v>
      </c>
      <c r="F2154" s="307" t="s">
        <v>3906</v>
      </c>
      <c r="G2154" s="307" t="s">
        <v>3907</v>
      </c>
    </row>
    <row r="2155" spans="1:7" ht="13.5">
      <c r="A2155" s="307" t="s">
        <v>10224</v>
      </c>
      <c r="B2155" s="307" t="s">
        <v>10225</v>
      </c>
      <c r="C2155" s="307" t="s">
        <v>5814</v>
      </c>
      <c r="D2155" s="307" t="s">
        <v>10226</v>
      </c>
      <c r="E2155" s="307" t="s">
        <v>3905</v>
      </c>
      <c r="F2155" s="307" t="s">
        <v>3906</v>
      </c>
      <c r="G2155" s="307" t="s">
        <v>3907</v>
      </c>
    </row>
    <row r="2156" spans="1:7" ht="13.5">
      <c r="A2156" s="307" t="s">
        <v>10227</v>
      </c>
      <c r="B2156" s="307" t="s">
        <v>10228</v>
      </c>
      <c r="C2156" s="307" t="s">
        <v>5814</v>
      </c>
      <c r="D2156" s="307" t="s">
        <v>10229</v>
      </c>
      <c r="E2156" s="307" t="s">
        <v>3905</v>
      </c>
      <c r="F2156" s="307" t="s">
        <v>3906</v>
      </c>
      <c r="G2156" s="307" t="s">
        <v>3907</v>
      </c>
    </row>
    <row r="2157" spans="1:7" ht="13.5">
      <c r="A2157" s="307" t="s">
        <v>10230</v>
      </c>
      <c r="B2157" s="307" t="s">
        <v>10231</v>
      </c>
      <c r="C2157" s="307" t="s">
        <v>5814</v>
      </c>
      <c r="D2157" s="307" t="s">
        <v>10232</v>
      </c>
      <c r="E2157" s="307" t="s">
        <v>3905</v>
      </c>
      <c r="F2157" s="307" t="s">
        <v>3906</v>
      </c>
      <c r="G2157" s="307" t="s">
        <v>3907</v>
      </c>
    </row>
    <row r="2158" spans="1:7" ht="13.5">
      <c r="A2158" s="307" t="s">
        <v>10233</v>
      </c>
      <c r="B2158" s="307" t="s">
        <v>10234</v>
      </c>
      <c r="C2158" s="307" t="s">
        <v>5814</v>
      </c>
      <c r="D2158" s="307" t="s">
        <v>10235</v>
      </c>
      <c r="E2158" s="307" t="s">
        <v>3905</v>
      </c>
      <c r="F2158" s="307" t="s">
        <v>3906</v>
      </c>
      <c r="G2158" s="307" t="s">
        <v>3907</v>
      </c>
    </row>
    <row r="2159" spans="1:7" ht="13.5">
      <c r="A2159" s="307" t="s">
        <v>10236</v>
      </c>
      <c r="B2159" s="307" t="s">
        <v>10237</v>
      </c>
      <c r="C2159" s="307" t="s">
        <v>5814</v>
      </c>
      <c r="D2159" s="307" t="s">
        <v>10238</v>
      </c>
      <c r="E2159" s="307" t="s">
        <v>3905</v>
      </c>
      <c r="F2159" s="307" t="s">
        <v>3906</v>
      </c>
      <c r="G2159" s="307" t="s">
        <v>3907</v>
      </c>
    </row>
    <row r="2160" spans="1:7" ht="13.5">
      <c r="A2160" s="307" t="s">
        <v>10239</v>
      </c>
      <c r="B2160" s="307" t="s">
        <v>10240</v>
      </c>
      <c r="C2160" s="307" t="s">
        <v>5814</v>
      </c>
      <c r="D2160" s="307" t="s">
        <v>10241</v>
      </c>
      <c r="E2160" s="307" t="s">
        <v>3905</v>
      </c>
      <c r="F2160" s="307" t="s">
        <v>3906</v>
      </c>
      <c r="G2160" s="307" t="s">
        <v>3907</v>
      </c>
    </row>
    <row r="2161" spans="1:7" ht="13.5">
      <c r="A2161" s="307" t="s">
        <v>10242</v>
      </c>
      <c r="B2161" s="307" t="s">
        <v>10243</v>
      </c>
      <c r="C2161" s="307" t="s">
        <v>5814</v>
      </c>
      <c r="D2161" s="307" t="s">
        <v>10244</v>
      </c>
      <c r="E2161" s="307" t="s">
        <v>3905</v>
      </c>
      <c r="F2161" s="307" t="s">
        <v>3906</v>
      </c>
      <c r="G2161" s="307" t="s">
        <v>3907</v>
      </c>
    </row>
    <row r="2162" spans="1:7" ht="13.5">
      <c r="A2162" s="307" t="s">
        <v>10245</v>
      </c>
      <c r="B2162" s="307" t="s">
        <v>10246</v>
      </c>
      <c r="C2162" s="307" t="s">
        <v>5814</v>
      </c>
      <c r="D2162" s="307" t="s">
        <v>10247</v>
      </c>
      <c r="E2162" s="307" t="s">
        <v>3905</v>
      </c>
      <c r="F2162" s="307" t="s">
        <v>3906</v>
      </c>
      <c r="G2162" s="307" t="s">
        <v>3907</v>
      </c>
    </row>
    <row r="2163" spans="1:7" ht="13.5">
      <c r="A2163" s="307" t="s">
        <v>10248</v>
      </c>
      <c r="B2163" s="307" t="s">
        <v>10249</v>
      </c>
      <c r="C2163" s="307" t="s">
        <v>5814</v>
      </c>
      <c r="D2163" s="307" t="s">
        <v>10250</v>
      </c>
      <c r="E2163" s="307" t="s">
        <v>3905</v>
      </c>
      <c r="F2163" s="307" t="s">
        <v>3906</v>
      </c>
      <c r="G2163" s="307" t="s">
        <v>3907</v>
      </c>
    </row>
    <row r="2164" spans="1:7" ht="13.5">
      <c r="A2164" s="307" t="s">
        <v>10251</v>
      </c>
      <c r="B2164" s="307" t="s">
        <v>10252</v>
      </c>
      <c r="C2164" s="307" t="s">
        <v>5814</v>
      </c>
      <c r="D2164" s="307" t="s">
        <v>10253</v>
      </c>
      <c r="E2164" s="307" t="s">
        <v>4021</v>
      </c>
      <c r="F2164" s="307" t="s">
        <v>3906</v>
      </c>
      <c r="G2164" s="307" t="s">
        <v>3907</v>
      </c>
    </row>
    <row r="2165" spans="1:7" ht="13.5">
      <c r="A2165" s="307" t="s">
        <v>10254</v>
      </c>
      <c r="B2165" s="307" t="s">
        <v>10255</v>
      </c>
      <c r="C2165" s="307" t="s">
        <v>5814</v>
      </c>
      <c r="D2165" s="307" t="s">
        <v>10256</v>
      </c>
      <c r="E2165" s="307" t="s">
        <v>3905</v>
      </c>
      <c r="F2165" s="307" t="s">
        <v>3906</v>
      </c>
      <c r="G2165" s="307" t="s">
        <v>3907</v>
      </c>
    </row>
    <row r="2166" spans="1:7" ht="13.5">
      <c r="A2166" s="307" t="s">
        <v>10257</v>
      </c>
      <c r="B2166" s="307" t="s">
        <v>10258</v>
      </c>
      <c r="C2166" s="307" t="s">
        <v>5814</v>
      </c>
      <c r="D2166" s="307" t="s">
        <v>10259</v>
      </c>
      <c r="E2166" s="307" t="s">
        <v>3905</v>
      </c>
      <c r="F2166" s="307" t="s">
        <v>3906</v>
      </c>
      <c r="G2166" s="307" t="s">
        <v>3907</v>
      </c>
    </row>
    <row r="2167" spans="1:7" ht="13.5">
      <c r="A2167" s="307" t="s">
        <v>10260</v>
      </c>
      <c r="B2167" s="307" t="s">
        <v>10261</v>
      </c>
      <c r="C2167" s="307" t="s">
        <v>5814</v>
      </c>
      <c r="D2167" s="307" t="s">
        <v>10262</v>
      </c>
      <c r="E2167" s="307" t="s">
        <v>3905</v>
      </c>
      <c r="F2167" s="307" t="s">
        <v>3906</v>
      </c>
      <c r="G2167" s="307" t="s">
        <v>3907</v>
      </c>
    </row>
    <row r="2168" spans="1:7" ht="13.5">
      <c r="A2168" s="307" t="s">
        <v>10263</v>
      </c>
      <c r="B2168" s="307" t="s">
        <v>10264</v>
      </c>
      <c r="C2168" s="307" t="s">
        <v>5814</v>
      </c>
      <c r="D2168" s="307" t="s">
        <v>10265</v>
      </c>
      <c r="E2168" s="307" t="s">
        <v>3905</v>
      </c>
      <c r="F2168" s="307" t="s">
        <v>3906</v>
      </c>
      <c r="G2168" s="307" t="s">
        <v>3907</v>
      </c>
    </row>
    <row r="2169" spans="1:7" ht="13.5">
      <c r="A2169" s="307" t="s">
        <v>10266</v>
      </c>
      <c r="B2169" s="307" t="s">
        <v>10267</v>
      </c>
      <c r="C2169" s="307" t="s">
        <v>5814</v>
      </c>
      <c r="D2169" s="307" t="s">
        <v>10268</v>
      </c>
      <c r="E2169" s="307" t="s">
        <v>3905</v>
      </c>
      <c r="F2169" s="307" t="s">
        <v>3906</v>
      </c>
      <c r="G2169" s="307" t="s">
        <v>3907</v>
      </c>
    </row>
    <row r="2170" spans="1:7" ht="13.5">
      <c r="A2170" s="307" t="s">
        <v>10269</v>
      </c>
      <c r="B2170" s="307" t="s">
        <v>10270</v>
      </c>
      <c r="C2170" s="307" t="s">
        <v>5814</v>
      </c>
      <c r="D2170" s="307" t="s">
        <v>10271</v>
      </c>
      <c r="E2170" s="307" t="s">
        <v>3905</v>
      </c>
      <c r="F2170" s="307" t="s">
        <v>3906</v>
      </c>
      <c r="G2170" s="307" t="s">
        <v>3907</v>
      </c>
    </row>
    <row r="2171" spans="1:7" ht="13.5">
      <c r="A2171" s="307" t="s">
        <v>10272</v>
      </c>
      <c r="B2171" s="307" t="s">
        <v>10273</v>
      </c>
      <c r="C2171" s="307" t="s">
        <v>5814</v>
      </c>
      <c r="D2171" s="307" t="s">
        <v>10274</v>
      </c>
      <c r="E2171" s="307" t="s">
        <v>3905</v>
      </c>
      <c r="F2171" s="307" t="s">
        <v>3906</v>
      </c>
      <c r="G2171" s="307" t="s">
        <v>3907</v>
      </c>
    </row>
    <row r="2172" spans="1:7" ht="13.5">
      <c r="A2172" s="307" t="s">
        <v>10275</v>
      </c>
      <c r="B2172" s="307" t="s">
        <v>10276</v>
      </c>
      <c r="C2172" s="307" t="s">
        <v>5814</v>
      </c>
      <c r="D2172" s="307" t="s">
        <v>10277</v>
      </c>
      <c r="E2172" s="307" t="s">
        <v>3905</v>
      </c>
      <c r="F2172" s="307" t="s">
        <v>3906</v>
      </c>
      <c r="G2172" s="307" t="s">
        <v>3907</v>
      </c>
    </row>
    <row r="2173" spans="1:7" ht="13.5">
      <c r="A2173" s="307" t="s">
        <v>10278</v>
      </c>
      <c r="B2173" s="307" t="s">
        <v>10279</v>
      </c>
      <c r="C2173" s="307" t="s">
        <v>5814</v>
      </c>
      <c r="D2173" s="307" t="s">
        <v>10280</v>
      </c>
      <c r="E2173" s="307" t="s">
        <v>3905</v>
      </c>
      <c r="F2173" s="307" t="s">
        <v>3906</v>
      </c>
      <c r="G2173" s="307" t="s">
        <v>3907</v>
      </c>
    </row>
    <row r="2174" spans="1:7" ht="13.5">
      <c r="A2174" s="307" t="s">
        <v>10281</v>
      </c>
      <c r="B2174" s="307" t="s">
        <v>10282</v>
      </c>
      <c r="C2174" s="307" t="s">
        <v>5814</v>
      </c>
      <c r="D2174" s="307" t="s">
        <v>10283</v>
      </c>
      <c r="E2174" s="307" t="s">
        <v>3905</v>
      </c>
      <c r="F2174" s="307" t="s">
        <v>3906</v>
      </c>
      <c r="G2174" s="307" t="s">
        <v>3907</v>
      </c>
    </row>
    <row r="2175" spans="1:7" ht="13.5">
      <c r="A2175" s="307" t="s">
        <v>10284</v>
      </c>
      <c r="B2175" s="307" t="s">
        <v>10285</v>
      </c>
      <c r="C2175" s="307" t="s">
        <v>5814</v>
      </c>
      <c r="D2175" s="307" t="s">
        <v>10286</v>
      </c>
      <c r="E2175" s="307" t="s">
        <v>3905</v>
      </c>
      <c r="F2175" s="307" t="s">
        <v>3906</v>
      </c>
      <c r="G2175" s="307" t="s">
        <v>3907</v>
      </c>
    </row>
    <row r="2176" spans="1:7" ht="13.5">
      <c r="A2176" s="307" t="s">
        <v>10287</v>
      </c>
      <c r="B2176" s="307" t="s">
        <v>10288</v>
      </c>
      <c r="C2176" s="307" t="s">
        <v>5814</v>
      </c>
      <c r="D2176" s="307" t="s">
        <v>10289</v>
      </c>
      <c r="E2176" s="307" t="s">
        <v>3905</v>
      </c>
      <c r="F2176" s="307" t="s">
        <v>3906</v>
      </c>
      <c r="G2176" s="307" t="s">
        <v>3907</v>
      </c>
    </row>
    <row r="2177" spans="1:7" ht="13.5">
      <c r="A2177" s="307" t="s">
        <v>10290</v>
      </c>
      <c r="B2177" s="307" t="s">
        <v>10291</v>
      </c>
      <c r="C2177" s="307" t="s">
        <v>5814</v>
      </c>
      <c r="D2177" s="307" t="s">
        <v>10292</v>
      </c>
      <c r="E2177" s="307" t="s">
        <v>3905</v>
      </c>
      <c r="F2177" s="307" t="s">
        <v>3906</v>
      </c>
      <c r="G2177" s="307" t="s">
        <v>3907</v>
      </c>
    </row>
    <row r="2178" spans="1:7" ht="13.5">
      <c r="A2178" s="307" t="s">
        <v>10293</v>
      </c>
      <c r="B2178" s="307" t="s">
        <v>10294</v>
      </c>
      <c r="C2178" s="307" t="s">
        <v>5814</v>
      </c>
      <c r="D2178" s="307" t="s">
        <v>10295</v>
      </c>
      <c r="E2178" s="307" t="s">
        <v>3905</v>
      </c>
      <c r="F2178" s="307" t="s">
        <v>3906</v>
      </c>
      <c r="G2178" s="307" t="s">
        <v>3907</v>
      </c>
    </row>
    <row r="2179" spans="1:7" ht="13.5">
      <c r="A2179" s="307" t="s">
        <v>10296</v>
      </c>
      <c r="B2179" s="307" t="s">
        <v>10297</v>
      </c>
      <c r="C2179" s="307" t="s">
        <v>5814</v>
      </c>
      <c r="D2179" s="307" t="s">
        <v>10298</v>
      </c>
      <c r="E2179" s="307" t="s">
        <v>3905</v>
      </c>
      <c r="F2179" s="307" t="s">
        <v>3906</v>
      </c>
      <c r="G2179" s="307" t="s">
        <v>3907</v>
      </c>
    </row>
    <row r="2180" spans="1:7" ht="13.5">
      <c r="A2180" s="307" t="s">
        <v>10299</v>
      </c>
      <c r="B2180" s="307" t="s">
        <v>10300</v>
      </c>
      <c r="C2180" s="307" t="s">
        <v>5814</v>
      </c>
      <c r="D2180" s="307" t="s">
        <v>10301</v>
      </c>
      <c r="E2180" s="307" t="s">
        <v>3905</v>
      </c>
      <c r="F2180" s="307" t="s">
        <v>3906</v>
      </c>
      <c r="G2180" s="307" t="s">
        <v>3907</v>
      </c>
    </row>
    <row r="2181" spans="1:7" ht="13.5">
      <c r="A2181" s="307" t="s">
        <v>10302</v>
      </c>
      <c r="B2181" s="307" t="s">
        <v>10303</v>
      </c>
      <c r="C2181" s="307" t="s">
        <v>5814</v>
      </c>
      <c r="D2181" s="307" t="s">
        <v>10304</v>
      </c>
      <c r="E2181" s="307" t="s">
        <v>3905</v>
      </c>
      <c r="F2181" s="307" t="s">
        <v>3906</v>
      </c>
      <c r="G2181" s="307" t="s">
        <v>3907</v>
      </c>
    </row>
    <row r="2182" spans="1:7" ht="13.5">
      <c r="A2182" s="307" t="s">
        <v>10305</v>
      </c>
      <c r="B2182" s="307" t="s">
        <v>10306</v>
      </c>
      <c r="C2182" s="307" t="s">
        <v>5814</v>
      </c>
      <c r="D2182" s="307" t="s">
        <v>3324</v>
      </c>
      <c r="E2182" s="307" t="s">
        <v>3905</v>
      </c>
      <c r="F2182" s="307" t="s">
        <v>3906</v>
      </c>
      <c r="G2182" s="307" t="s">
        <v>3907</v>
      </c>
    </row>
    <row r="2183" spans="1:7" ht="13.5">
      <c r="A2183" s="307" t="s">
        <v>10307</v>
      </c>
      <c r="B2183" s="307" t="s">
        <v>10308</v>
      </c>
      <c r="C2183" s="307" t="s">
        <v>5814</v>
      </c>
      <c r="D2183" s="307" t="s">
        <v>10309</v>
      </c>
      <c r="E2183" s="307" t="s">
        <v>3905</v>
      </c>
      <c r="F2183" s="307" t="s">
        <v>3906</v>
      </c>
      <c r="G2183" s="307" t="s">
        <v>3907</v>
      </c>
    </row>
    <row r="2184" spans="1:7" ht="13.5">
      <c r="A2184" s="307" t="s">
        <v>10310</v>
      </c>
      <c r="B2184" s="307" t="s">
        <v>10311</v>
      </c>
      <c r="C2184" s="307" t="s">
        <v>5814</v>
      </c>
      <c r="D2184" s="307" t="s">
        <v>10312</v>
      </c>
      <c r="E2184" s="307" t="s">
        <v>3905</v>
      </c>
      <c r="F2184" s="307" t="s">
        <v>3906</v>
      </c>
      <c r="G2184" s="307" t="s">
        <v>3907</v>
      </c>
    </row>
    <row r="2185" spans="1:7" ht="13.5">
      <c r="A2185" s="307" t="s">
        <v>10313</v>
      </c>
      <c r="B2185" s="307" t="s">
        <v>10314</v>
      </c>
      <c r="C2185" s="307" t="s">
        <v>5814</v>
      </c>
      <c r="D2185" s="307" t="s">
        <v>10315</v>
      </c>
      <c r="E2185" s="307" t="s">
        <v>3905</v>
      </c>
      <c r="F2185" s="307" t="s">
        <v>3906</v>
      </c>
      <c r="G2185" s="307" t="s">
        <v>3907</v>
      </c>
    </row>
    <row r="2186" spans="1:7" ht="13.5">
      <c r="A2186" s="307" t="s">
        <v>10316</v>
      </c>
      <c r="B2186" s="307" t="s">
        <v>10317</v>
      </c>
      <c r="C2186" s="307" t="s">
        <v>5814</v>
      </c>
      <c r="D2186" s="307" t="s">
        <v>10318</v>
      </c>
      <c r="E2186" s="307" t="s">
        <v>3905</v>
      </c>
      <c r="F2186" s="307" t="s">
        <v>3906</v>
      </c>
      <c r="G2186" s="307" t="s">
        <v>3907</v>
      </c>
    </row>
    <row r="2187" spans="1:7" ht="13.5">
      <c r="A2187" s="307" t="s">
        <v>10319</v>
      </c>
      <c r="B2187" s="307" t="s">
        <v>10320</v>
      </c>
      <c r="C2187" s="307" t="s">
        <v>5814</v>
      </c>
      <c r="D2187" s="307" t="s">
        <v>10321</v>
      </c>
      <c r="E2187" s="307" t="s">
        <v>3905</v>
      </c>
      <c r="F2187" s="307" t="s">
        <v>3906</v>
      </c>
      <c r="G2187" s="307" t="s">
        <v>3907</v>
      </c>
    </row>
    <row r="2188" spans="1:7" ht="13.5">
      <c r="A2188" s="307" t="s">
        <v>10322</v>
      </c>
      <c r="B2188" s="307" t="s">
        <v>10323</v>
      </c>
      <c r="C2188" s="307" t="s">
        <v>5814</v>
      </c>
      <c r="D2188" s="307" t="s">
        <v>10324</v>
      </c>
      <c r="E2188" s="307" t="s">
        <v>3905</v>
      </c>
      <c r="F2188" s="307" t="s">
        <v>3906</v>
      </c>
      <c r="G2188" s="307" t="s">
        <v>3907</v>
      </c>
    </row>
    <row r="2189" spans="1:7" ht="13.5">
      <c r="A2189" s="307" t="s">
        <v>10325</v>
      </c>
      <c r="B2189" s="307" t="s">
        <v>10326</v>
      </c>
      <c r="C2189" s="307" t="s">
        <v>5814</v>
      </c>
      <c r="D2189" s="307" t="s">
        <v>10327</v>
      </c>
      <c r="E2189" s="307" t="s">
        <v>3905</v>
      </c>
      <c r="F2189" s="307" t="s">
        <v>3906</v>
      </c>
      <c r="G2189" s="307" t="s">
        <v>3907</v>
      </c>
    </row>
    <row r="2190" spans="1:7" ht="13.5">
      <c r="A2190" s="307" t="s">
        <v>10328</v>
      </c>
      <c r="B2190" s="307" t="s">
        <v>10329</v>
      </c>
      <c r="C2190" s="307" t="s">
        <v>5814</v>
      </c>
      <c r="D2190" s="307" t="s">
        <v>10330</v>
      </c>
      <c r="E2190" s="307" t="s">
        <v>3905</v>
      </c>
      <c r="F2190" s="307" t="s">
        <v>3906</v>
      </c>
      <c r="G2190" s="307" t="s">
        <v>3907</v>
      </c>
    </row>
    <row r="2191" spans="1:7" ht="13.5">
      <c r="A2191" s="307" t="s">
        <v>10331</v>
      </c>
      <c r="B2191" s="307" t="s">
        <v>10332</v>
      </c>
      <c r="C2191" s="307" t="s">
        <v>5814</v>
      </c>
      <c r="D2191" s="307" t="s">
        <v>10333</v>
      </c>
      <c r="E2191" s="307" t="s">
        <v>3905</v>
      </c>
      <c r="F2191" s="307" t="s">
        <v>3906</v>
      </c>
      <c r="G2191" s="307" t="s">
        <v>3907</v>
      </c>
    </row>
    <row r="2192" spans="1:7" ht="13.5">
      <c r="A2192" s="307" t="s">
        <v>10334</v>
      </c>
      <c r="B2192" s="307" t="s">
        <v>10335</v>
      </c>
      <c r="C2192" s="307" t="s">
        <v>5814</v>
      </c>
      <c r="D2192" s="307" t="s">
        <v>10336</v>
      </c>
      <c r="E2192" s="307" t="s">
        <v>3905</v>
      </c>
      <c r="F2192" s="307" t="s">
        <v>3906</v>
      </c>
      <c r="G2192" s="307" t="s">
        <v>3907</v>
      </c>
    </row>
    <row r="2193" spans="1:7" ht="13.5">
      <c r="A2193" s="307" t="s">
        <v>10337</v>
      </c>
      <c r="B2193" s="307" t="s">
        <v>10338</v>
      </c>
      <c r="C2193" s="307" t="s">
        <v>5814</v>
      </c>
      <c r="D2193" s="307" t="s">
        <v>10339</v>
      </c>
      <c r="E2193" s="307" t="s">
        <v>3905</v>
      </c>
      <c r="F2193" s="307" t="s">
        <v>3906</v>
      </c>
      <c r="G2193" s="307" t="s">
        <v>3907</v>
      </c>
    </row>
    <row r="2194" spans="1:7" ht="13.5">
      <c r="A2194" s="307" t="s">
        <v>10340</v>
      </c>
      <c r="B2194" s="307" t="s">
        <v>10341</v>
      </c>
      <c r="C2194" s="307" t="s">
        <v>5814</v>
      </c>
      <c r="D2194" s="307" t="s">
        <v>10342</v>
      </c>
      <c r="E2194" s="307" t="s">
        <v>3905</v>
      </c>
      <c r="F2194" s="307" t="s">
        <v>3906</v>
      </c>
      <c r="G2194" s="307" t="s">
        <v>3907</v>
      </c>
    </row>
    <row r="2195" spans="1:7" ht="13.5">
      <c r="A2195" s="307" t="s">
        <v>10343</v>
      </c>
      <c r="B2195" s="307" t="s">
        <v>10344</v>
      </c>
      <c r="C2195" s="307" t="s">
        <v>5814</v>
      </c>
      <c r="D2195" s="307" t="s">
        <v>10345</v>
      </c>
      <c r="E2195" s="307" t="s">
        <v>3905</v>
      </c>
      <c r="F2195" s="307" t="s">
        <v>3906</v>
      </c>
      <c r="G2195" s="307" t="s">
        <v>3907</v>
      </c>
    </row>
    <row r="2196" spans="1:7" ht="13.5">
      <c r="A2196" s="307" t="s">
        <v>10346</v>
      </c>
      <c r="B2196" s="307" t="s">
        <v>10347</v>
      </c>
      <c r="C2196" s="307" t="s">
        <v>5814</v>
      </c>
      <c r="D2196" s="307" t="s">
        <v>10348</v>
      </c>
      <c r="E2196" s="307" t="s">
        <v>3905</v>
      </c>
      <c r="F2196" s="307" t="s">
        <v>3906</v>
      </c>
      <c r="G2196" s="307" t="s">
        <v>3907</v>
      </c>
    </row>
    <row r="2197" spans="1:7" ht="13.5">
      <c r="A2197" s="307" t="s">
        <v>10349</v>
      </c>
      <c r="B2197" s="307" t="s">
        <v>10350</v>
      </c>
      <c r="C2197" s="307" t="s">
        <v>5814</v>
      </c>
      <c r="D2197" s="307" t="s">
        <v>10351</v>
      </c>
      <c r="E2197" s="307" t="s">
        <v>3905</v>
      </c>
      <c r="F2197" s="307" t="s">
        <v>3906</v>
      </c>
      <c r="G2197" s="307" t="s">
        <v>3907</v>
      </c>
    </row>
    <row r="2198" spans="1:7" ht="13.5">
      <c r="A2198" s="307" t="s">
        <v>10352</v>
      </c>
      <c r="B2198" s="307" t="s">
        <v>10353</v>
      </c>
      <c r="C2198" s="307" t="s">
        <v>5814</v>
      </c>
      <c r="D2198" s="307" t="s">
        <v>10354</v>
      </c>
      <c r="E2198" s="307" t="s">
        <v>3905</v>
      </c>
      <c r="F2198" s="307" t="s">
        <v>3906</v>
      </c>
      <c r="G2198" s="307" t="s">
        <v>3907</v>
      </c>
    </row>
    <row r="2199" spans="1:7" ht="13.5">
      <c r="A2199" s="307" t="s">
        <v>10355</v>
      </c>
      <c r="B2199" s="307" t="s">
        <v>10356</v>
      </c>
      <c r="C2199" s="307" t="s">
        <v>5814</v>
      </c>
      <c r="D2199" s="307" t="s">
        <v>10357</v>
      </c>
      <c r="E2199" s="307" t="s">
        <v>3905</v>
      </c>
      <c r="F2199" s="307" t="s">
        <v>3906</v>
      </c>
      <c r="G2199" s="307" t="s">
        <v>3907</v>
      </c>
    </row>
    <row r="2200" spans="1:7" ht="13.5">
      <c r="A2200" s="307" t="s">
        <v>10358</v>
      </c>
      <c r="B2200" s="307" t="s">
        <v>10359</v>
      </c>
      <c r="C2200" s="307" t="s">
        <v>5814</v>
      </c>
      <c r="D2200" s="307" t="s">
        <v>10360</v>
      </c>
      <c r="E2200" s="307" t="s">
        <v>3905</v>
      </c>
      <c r="F2200" s="307" t="s">
        <v>3906</v>
      </c>
      <c r="G2200" s="307" t="s">
        <v>3907</v>
      </c>
    </row>
    <row r="2201" spans="1:7" ht="13.5">
      <c r="A2201" s="307" t="s">
        <v>10361</v>
      </c>
      <c r="B2201" s="307" t="s">
        <v>10362</v>
      </c>
      <c r="C2201" s="307" t="s">
        <v>5814</v>
      </c>
      <c r="D2201" s="307" t="s">
        <v>10363</v>
      </c>
      <c r="E2201" s="307" t="s">
        <v>3905</v>
      </c>
      <c r="F2201" s="307" t="s">
        <v>3906</v>
      </c>
      <c r="G2201" s="307" t="s">
        <v>3907</v>
      </c>
    </row>
    <row r="2202" spans="1:7" ht="13.5">
      <c r="A2202" s="307" t="s">
        <v>10364</v>
      </c>
      <c r="B2202" s="307" t="s">
        <v>10365</v>
      </c>
      <c r="C2202" s="307" t="s">
        <v>5814</v>
      </c>
      <c r="D2202" s="307" t="s">
        <v>10366</v>
      </c>
      <c r="E2202" s="307" t="s">
        <v>3905</v>
      </c>
      <c r="F2202" s="307" t="s">
        <v>3906</v>
      </c>
      <c r="G2202" s="307" t="s">
        <v>3907</v>
      </c>
    </row>
    <row r="2203" spans="1:7" ht="13.5">
      <c r="A2203" s="307" t="s">
        <v>10367</v>
      </c>
      <c r="B2203" s="307" t="s">
        <v>10368</v>
      </c>
      <c r="C2203" s="307" t="s">
        <v>5814</v>
      </c>
      <c r="D2203" s="307" t="s">
        <v>10369</v>
      </c>
      <c r="E2203" s="307" t="s">
        <v>3905</v>
      </c>
      <c r="F2203" s="307" t="s">
        <v>3906</v>
      </c>
      <c r="G2203" s="307" t="s">
        <v>3907</v>
      </c>
    </row>
    <row r="2204" spans="1:7" ht="13.5">
      <c r="A2204" s="307" t="s">
        <v>10370</v>
      </c>
      <c r="B2204" s="307" t="s">
        <v>10371</v>
      </c>
      <c r="C2204" s="307" t="s">
        <v>5814</v>
      </c>
      <c r="D2204" s="307" t="s">
        <v>10372</v>
      </c>
      <c r="E2204" s="307" t="s">
        <v>4021</v>
      </c>
      <c r="F2204" s="307" t="s">
        <v>3906</v>
      </c>
      <c r="G2204" s="307" t="s">
        <v>3907</v>
      </c>
    </row>
    <row r="2205" spans="1:7" ht="13.5">
      <c r="A2205" s="307" t="s">
        <v>10373</v>
      </c>
      <c r="B2205" s="307" t="s">
        <v>10374</v>
      </c>
      <c r="C2205" s="307" t="s">
        <v>5814</v>
      </c>
      <c r="D2205" s="307" t="s">
        <v>10375</v>
      </c>
      <c r="E2205" s="307" t="s">
        <v>3905</v>
      </c>
      <c r="F2205" s="307" t="s">
        <v>3906</v>
      </c>
      <c r="G2205" s="307" t="s">
        <v>3907</v>
      </c>
    </row>
    <row r="2206" spans="1:7" ht="13.5">
      <c r="A2206" s="307" t="s">
        <v>10376</v>
      </c>
      <c r="B2206" s="307" t="s">
        <v>10377</v>
      </c>
      <c r="C2206" s="307" t="s">
        <v>5814</v>
      </c>
      <c r="D2206" s="307" t="s">
        <v>10378</v>
      </c>
      <c r="E2206" s="307" t="s">
        <v>4021</v>
      </c>
      <c r="F2206" s="307" t="s">
        <v>3906</v>
      </c>
      <c r="G2206" s="307" t="s">
        <v>3907</v>
      </c>
    </row>
    <row r="2207" spans="1:7" ht="13.5">
      <c r="A2207" s="307" t="s">
        <v>10379</v>
      </c>
      <c r="B2207" s="307" t="s">
        <v>10380</v>
      </c>
      <c r="C2207" s="307" t="s">
        <v>5814</v>
      </c>
      <c r="D2207" s="307" t="s">
        <v>10381</v>
      </c>
      <c r="E2207" s="307" t="s">
        <v>3905</v>
      </c>
      <c r="F2207" s="307" t="s">
        <v>3906</v>
      </c>
      <c r="G2207" s="307" t="s">
        <v>3907</v>
      </c>
    </row>
    <row r="2208" spans="1:7" ht="13.5">
      <c r="A2208" s="307" t="s">
        <v>10382</v>
      </c>
      <c r="B2208" s="307" t="s">
        <v>10383</v>
      </c>
      <c r="C2208" s="307" t="s">
        <v>5814</v>
      </c>
      <c r="D2208" s="307" t="s">
        <v>10384</v>
      </c>
      <c r="E2208" s="307" t="s">
        <v>3905</v>
      </c>
      <c r="F2208" s="307" t="s">
        <v>3906</v>
      </c>
      <c r="G2208" s="307" t="s">
        <v>3907</v>
      </c>
    </row>
    <row r="2209" spans="1:7" ht="13.5">
      <c r="A2209" s="307" t="s">
        <v>10385</v>
      </c>
      <c r="B2209" s="307" t="s">
        <v>10386</v>
      </c>
      <c r="C2209" s="307" t="s">
        <v>5814</v>
      </c>
      <c r="D2209" s="307" t="s">
        <v>10387</v>
      </c>
      <c r="E2209" s="307" t="s">
        <v>3905</v>
      </c>
      <c r="F2209" s="307" t="s">
        <v>3906</v>
      </c>
      <c r="G2209" s="307" t="s">
        <v>3907</v>
      </c>
    </row>
    <row r="2210" spans="1:7" ht="13.5">
      <c r="A2210" s="307" t="s">
        <v>10388</v>
      </c>
      <c r="B2210" s="307" t="s">
        <v>10389</v>
      </c>
      <c r="C2210" s="307" t="s">
        <v>5814</v>
      </c>
      <c r="D2210" s="307" t="s">
        <v>10390</v>
      </c>
      <c r="E2210" s="307" t="s">
        <v>3905</v>
      </c>
      <c r="F2210" s="307" t="s">
        <v>3906</v>
      </c>
      <c r="G2210" s="307" t="s">
        <v>3907</v>
      </c>
    </row>
    <row r="2211" spans="1:7" ht="13.5">
      <c r="A2211" s="307" t="s">
        <v>10391</v>
      </c>
      <c r="B2211" s="307" t="s">
        <v>10392</v>
      </c>
      <c r="C2211" s="307" t="s">
        <v>5814</v>
      </c>
      <c r="D2211" s="307" t="s">
        <v>10393</v>
      </c>
      <c r="E2211" s="307" t="s">
        <v>3905</v>
      </c>
      <c r="F2211" s="307" t="s">
        <v>3906</v>
      </c>
      <c r="G2211" s="307" t="s">
        <v>3907</v>
      </c>
    </row>
    <row r="2212" spans="1:7" ht="13.5">
      <c r="A2212" s="307" t="s">
        <v>10394</v>
      </c>
      <c r="B2212" s="307" t="s">
        <v>10395</v>
      </c>
      <c r="C2212" s="307" t="s">
        <v>5814</v>
      </c>
      <c r="D2212" s="307" t="s">
        <v>10396</v>
      </c>
      <c r="E2212" s="307" t="s">
        <v>3905</v>
      </c>
      <c r="F2212" s="307" t="s">
        <v>3906</v>
      </c>
      <c r="G2212" s="307" t="s">
        <v>3907</v>
      </c>
    </row>
    <row r="2213" spans="1:7" ht="13.5">
      <c r="A2213" s="307" t="s">
        <v>10397</v>
      </c>
      <c r="B2213" s="307" t="s">
        <v>10398</v>
      </c>
      <c r="C2213" s="307" t="s">
        <v>5814</v>
      </c>
      <c r="D2213" s="307" t="s">
        <v>10399</v>
      </c>
      <c r="E2213" s="307" t="s">
        <v>3905</v>
      </c>
      <c r="F2213" s="307" t="s">
        <v>3906</v>
      </c>
      <c r="G2213" s="307" t="s">
        <v>3907</v>
      </c>
    </row>
    <row r="2214" spans="1:7" ht="13.5">
      <c r="A2214" s="307" t="s">
        <v>10400</v>
      </c>
      <c r="B2214" s="307" t="s">
        <v>10401</v>
      </c>
      <c r="C2214" s="307" t="s">
        <v>5814</v>
      </c>
      <c r="D2214" s="307" t="s">
        <v>10402</v>
      </c>
      <c r="E2214" s="307" t="s">
        <v>3905</v>
      </c>
      <c r="F2214" s="307" t="s">
        <v>3906</v>
      </c>
      <c r="G2214" s="307" t="s">
        <v>3907</v>
      </c>
    </row>
    <row r="2215" spans="1:7" ht="13.5">
      <c r="A2215" s="307" t="s">
        <v>10403</v>
      </c>
      <c r="B2215" s="307" t="s">
        <v>10404</v>
      </c>
      <c r="C2215" s="307" t="s">
        <v>5814</v>
      </c>
      <c r="D2215" s="307" t="s">
        <v>10405</v>
      </c>
      <c r="E2215" s="307" t="s">
        <v>3905</v>
      </c>
      <c r="F2215" s="307" t="s">
        <v>3906</v>
      </c>
      <c r="G2215" s="307" t="s">
        <v>3907</v>
      </c>
    </row>
    <row r="2216" spans="1:7" ht="13.5">
      <c r="A2216" s="307" t="s">
        <v>10406</v>
      </c>
      <c r="B2216" s="307" t="s">
        <v>10407</v>
      </c>
      <c r="C2216" s="307" t="s">
        <v>5814</v>
      </c>
      <c r="D2216" s="307" t="s">
        <v>10408</v>
      </c>
      <c r="E2216" s="307" t="s">
        <v>3905</v>
      </c>
      <c r="F2216" s="307" t="s">
        <v>3906</v>
      </c>
      <c r="G2216" s="307" t="s">
        <v>3907</v>
      </c>
    </row>
    <row r="2217" spans="1:7" ht="13.5">
      <c r="A2217" s="307" t="s">
        <v>10409</v>
      </c>
      <c r="B2217" s="307" t="s">
        <v>10410</v>
      </c>
      <c r="C2217" s="307" t="s">
        <v>5814</v>
      </c>
      <c r="D2217" s="307" t="s">
        <v>10411</v>
      </c>
      <c r="E2217" s="307" t="s">
        <v>3905</v>
      </c>
      <c r="F2217" s="307" t="s">
        <v>3906</v>
      </c>
      <c r="G2217" s="307" t="s">
        <v>3907</v>
      </c>
    </row>
    <row r="2218" spans="1:7" ht="13.5">
      <c r="A2218" s="307" t="s">
        <v>10412</v>
      </c>
      <c r="B2218" s="307" t="s">
        <v>10413</v>
      </c>
      <c r="C2218" s="307" t="s">
        <v>5814</v>
      </c>
      <c r="D2218" s="307" t="s">
        <v>10414</v>
      </c>
      <c r="E2218" s="307" t="s">
        <v>3905</v>
      </c>
      <c r="F2218" s="307" t="s">
        <v>3906</v>
      </c>
      <c r="G2218" s="307" t="s">
        <v>3907</v>
      </c>
    </row>
    <row r="2219" spans="1:7" ht="13.5">
      <c r="A2219" s="307" t="s">
        <v>10415</v>
      </c>
      <c r="B2219" s="307" t="s">
        <v>10416</v>
      </c>
      <c r="C2219" s="307" t="s">
        <v>5814</v>
      </c>
      <c r="D2219" s="307" t="s">
        <v>10417</v>
      </c>
      <c r="E2219" s="307" t="s">
        <v>3905</v>
      </c>
      <c r="F2219" s="307" t="s">
        <v>3906</v>
      </c>
      <c r="G2219" s="307" t="s">
        <v>3907</v>
      </c>
    </row>
    <row r="2220" spans="1:7" ht="13.5">
      <c r="A2220" s="307" t="s">
        <v>10418</v>
      </c>
      <c r="B2220" s="307" t="s">
        <v>10419</v>
      </c>
      <c r="C2220" s="307" t="s">
        <v>5814</v>
      </c>
      <c r="D2220" s="307" t="s">
        <v>10420</v>
      </c>
      <c r="E2220" s="307" t="s">
        <v>3905</v>
      </c>
      <c r="F2220" s="307" t="s">
        <v>3906</v>
      </c>
      <c r="G2220" s="307" t="s">
        <v>3907</v>
      </c>
    </row>
    <row r="2221" spans="1:7" ht="13.5">
      <c r="A2221" s="307" t="s">
        <v>10421</v>
      </c>
      <c r="B2221" s="307" t="s">
        <v>10422</v>
      </c>
      <c r="C2221" s="307" t="s">
        <v>5814</v>
      </c>
      <c r="D2221" s="307" t="s">
        <v>10423</v>
      </c>
      <c r="E2221" s="307" t="s">
        <v>3905</v>
      </c>
      <c r="F2221" s="307" t="s">
        <v>3906</v>
      </c>
      <c r="G2221" s="307" t="s">
        <v>3907</v>
      </c>
    </row>
    <row r="2222" spans="1:7" ht="13.5">
      <c r="A2222" s="307" t="s">
        <v>10424</v>
      </c>
      <c r="B2222" s="307" t="s">
        <v>10425</v>
      </c>
      <c r="C2222" s="307" t="s">
        <v>5814</v>
      </c>
      <c r="D2222" s="307" t="s">
        <v>10426</v>
      </c>
      <c r="E2222" s="307" t="s">
        <v>3905</v>
      </c>
      <c r="F2222" s="307" t="s">
        <v>3906</v>
      </c>
      <c r="G2222" s="307" t="s">
        <v>3907</v>
      </c>
    </row>
    <row r="2223" spans="1:7" ht="13.5">
      <c r="A2223" s="307" t="s">
        <v>10427</v>
      </c>
      <c r="B2223" s="307" t="s">
        <v>10428</v>
      </c>
      <c r="C2223" s="307" t="s">
        <v>5814</v>
      </c>
      <c r="D2223" s="307" t="s">
        <v>10426</v>
      </c>
      <c r="E2223" s="307" t="s">
        <v>3905</v>
      </c>
      <c r="F2223" s="307" t="s">
        <v>3906</v>
      </c>
      <c r="G2223" s="307" t="s">
        <v>3907</v>
      </c>
    </row>
    <row r="2224" spans="1:7" ht="13.5">
      <c r="A2224" s="307" t="s">
        <v>10429</v>
      </c>
      <c r="B2224" s="307" t="s">
        <v>10430</v>
      </c>
      <c r="C2224" s="307" t="s">
        <v>5814</v>
      </c>
      <c r="D2224" s="307" t="s">
        <v>10431</v>
      </c>
      <c r="E2224" s="307" t="s">
        <v>3905</v>
      </c>
      <c r="F2224" s="307" t="s">
        <v>3906</v>
      </c>
      <c r="G2224" s="307" t="s">
        <v>3907</v>
      </c>
    </row>
    <row r="2225" spans="1:7" ht="13.5">
      <c r="A2225" s="307" t="s">
        <v>10432</v>
      </c>
      <c r="B2225" s="307" t="s">
        <v>10433</v>
      </c>
      <c r="C2225" s="307" t="s">
        <v>5814</v>
      </c>
      <c r="D2225" s="307" t="s">
        <v>10434</v>
      </c>
      <c r="E2225" s="307" t="s">
        <v>3905</v>
      </c>
      <c r="F2225" s="307" t="s">
        <v>3906</v>
      </c>
      <c r="G2225" s="307" t="s">
        <v>3907</v>
      </c>
    </row>
    <row r="2226" spans="1:7" ht="13.5">
      <c r="A2226" s="307" t="s">
        <v>10435</v>
      </c>
      <c r="B2226" s="307" t="s">
        <v>10436</v>
      </c>
      <c r="C2226" s="307" t="s">
        <v>5814</v>
      </c>
      <c r="D2226" s="307" t="s">
        <v>10437</v>
      </c>
      <c r="E2226" s="307" t="s">
        <v>3905</v>
      </c>
      <c r="F2226" s="307" t="s">
        <v>3906</v>
      </c>
      <c r="G2226" s="307" t="s">
        <v>3907</v>
      </c>
    </row>
    <row r="2227" spans="1:7" ht="13.5">
      <c r="A2227" s="307" t="s">
        <v>10438</v>
      </c>
      <c r="B2227" s="307" t="s">
        <v>10439</v>
      </c>
      <c r="C2227" s="307" t="s">
        <v>5814</v>
      </c>
      <c r="D2227" s="307" t="s">
        <v>10440</v>
      </c>
      <c r="E2227" s="307" t="s">
        <v>3905</v>
      </c>
      <c r="F2227" s="307" t="s">
        <v>3906</v>
      </c>
      <c r="G2227" s="307" t="s">
        <v>3907</v>
      </c>
    </row>
    <row r="2228" spans="1:7" ht="13.5">
      <c r="A2228" s="307" t="s">
        <v>10441</v>
      </c>
      <c r="B2228" s="307" t="s">
        <v>10442</v>
      </c>
      <c r="C2228" s="307" t="s">
        <v>5814</v>
      </c>
      <c r="D2228" s="307" t="s">
        <v>10443</v>
      </c>
      <c r="E2228" s="307" t="s">
        <v>3905</v>
      </c>
      <c r="F2228" s="307" t="s">
        <v>3906</v>
      </c>
      <c r="G2228" s="307" t="s">
        <v>3907</v>
      </c>
    </row>
    <row r="2229" spans="1:7" ht="13.5">
      <c r="A2229" s="307" t="s">
        <v>10444</v>
      </c>
      <c r="B2229" s="307" t="s">
        <v>10445</v>
      </c>
      <c r="C2229" s="307" t="s">
        <v>5814</v>
      </c>
      <c r="D2229" s="307" t="s">
        <v>10446</v>
      </c>
      <c r="E2229" s="307" t="s">
        <v>3905</v>
      </c>
      <c r="F2229" s="307" t="s">
        <v>3906</v>
      </c>
      <c r="G2229" s="307" t="s">
        <v>3907</v>
      </c>
    </row>
    <row r="2230" spans="1:7" ht="13.5">
      <c r="A2230" s="307" t="s">
        <v>10447</v>
      </c>
      <c r="B2230" s="307" t="s">
        <v>10448</v>
      </c>
      <c r="C2230" s="307" t="s">
        <v>5814</v>
      </c>
      <c r="D2230" s="307" t="s">
        <v>10449</v>
      </c>
      <c r="E2230" s="307" t="s">
        <v>3905</v>
      </c>
      <c r="F2230" s="307" t="s">
        <v>3906</v>
      </c>
      <c r="G2230" s="307" t="s">
        <v>3907</v>
      </c>
    </row>
    <row r="2231" spans="1:7" ht="13.5">
      <c r="A2231" s="307" t="s">
        <v>10450</v>
      </c>
      <c r="B2231" s="307" t="s">
        <v>10451</v>
      </c>
      <c r="C2231" s="307" t="s">
        <v>5814</v>
      </c>
      <c r="D2231" s="307" t="s">
        <v>10452</v>
      </c>
      <c r="E2231" s="307" t="s">
        <v>3905</v>
      </c>
      <c r="F2231" s="307" t="s">
        <v>3906</v>
      </c>
      <c r="G2231" s="307" t="s">
        <v>3907</v>
      </c>
    </row>
    <row r="2232" spans="1:7" ht="13.5">
      <c r="A2232" s="307" t="s">
        <v>10453</v>
      </c>
      <c r="B2232" s="307" t="s">
        <v>10454</v>
      </c>
      <c r="C2232" s="307" t="s">
        <v>5814</v>
      </c>
      <c r="D2232" s="307" t="s">
        <v>10455</v>
      </c>
      <c r="E2232" s="307" t="s">
        <v>3905</v>
      </c>
      <c r="F2232" s="307" t="s">
        <v>3906</v>
      </c>
      <c r="G2232" s="307" t="s">
        <v>3907</v>
      </c>
    </row>
    <row r="2233" spans="1:7" ht="13.5">
      <c r="A2233" s="307" t="s">
        <v>10456</v>
      </c>
      <c r="B2233" s="307" t="s">
        <v>10457</v>
      </c>
      <c r="C2233" s="307" t="s">
        <v>5814</v>
      </c>
      <c r="D2233" s="307" t="s">
        <v>10458</v>
      </c>
      <c r="E2233" s="307" t="s">
        <v>3905</v>
      </c>
      <c r="F2233" s="307" t="s">
        <v>3906</v>
      </c>
      <c r="G2233" s="307" t="s">
        <v>3907</v>
      </c>
    </row>
    <row r="2234" spans="1:7" ht="13.5">
      <c r="A2234" s="307" t="s">
        <v>10459</v>
      </c>
      <c r="B2234" s="307" t="s">
        <v>10460</v>
      </c>
      <c r="C2234" s="307" t="s">
        <v>5814</v>
      </c>
      <c r="D2234" s="307" t="s">
        <v>10461</v>
      </c>
      <c r="E2234" s="307" t="s">
        <v>3905</v>
      </c>
      <c r="F2234" s="307" t="s">
        <v>3906</v>
      </c>
      <c r="G2234" s="307" t="s">
        <v>3907</v>
      </c>
    </row>
    <row r="2235" spans="1:7" ht="13.5">
      <c r="A2235" s="307" t="s">
        <v>10462</v>
      </c>
      <c r="B2235" s="307" t="s">
        <v>10463</v>
      </c>
      <c r="C2235" s="307" t="s">
        <v>5814</v>
      </c>
      <c r="D2235" s="307" t="s">
        <v>10464</v>
      </c>
      <c r="E2235" s="307" t="s">
        <v>3905</v>
      </c>
      <c r="F2235" s="307" t="s">
        <v>3906</v>
      </c>
      <c r="G2235" s="307" t="s">
        <v>3907</v>
      </c>
    </row>
    <row r="2236" spans="1:7" ht="13.5">
      <c r="A2236" s="307" t="s">
        <v>10465</v>
      </c>
      <c r="B2236" s="307" t="s">
        <v>10466</v>
      </c>
      <c r="C2236" s="307" t="s">
        <v>5814</v>
      </c>
      <c r="D2236" s="307" t="s">
        <v>10467</v>
      </c>
      <c r="E2236" s="307" t="s">
        <v>3905</v>
      </c>
      <c r="F2236" s="307" t="s">
        <v>3906</v>
      </c>
      <c r="G2236" s="307" t="s">
        <v>3907</v>
      </c>
    </row>
    <row r="2237" spans="1:7" ht="13.5">
      <c r="A2237" s="307" t="s">
        <v>10468</v>
      </c>
      <c r="B2237" s="307" t="s">
        <v>10469</v>
      </c>
      <c r="C2237" s="307" t="s">
        <v>5814</v>
      </c>
      <c r="D2237" s="307" t="s">
        <v>10470</v>
      </c>
      <c r="E2237" s="307" t="s">
        <v>3905</v>
      </c>
      <c r="F2237" s="307" t="s">
        <v>3906</v>
      </c>
      <c r="G2237" s="307" t="s">
        <v>3907</v>
      </c>
    </row>
    <row r="2238" spans="1:7" ht="13.5">
      <c r="A2238" s="307" t="s">
        <v>10471</v>
      </c>
      <c r="B2238" s="307" t="s">
        <v>10472</v>
      </c>
      <c r="C2238" s="307" t="s">
        <v>5814</v>
      </c>
      <c r="D2238" s="307" t="s">
        <v>10473</v>
      </c>
      <c r="E2238" s="307" t="s">
        <v>3905</v>
      </c>
      <c r="F2238" s="307" t="s">
        <v>3906</v>
      </c>
      <c r="G2238" s="307" t="s">
        <v>3907</v>
      </c>
    </row>
    <row r="2239" spans="1:7" ht="13.5">
      <c r="A2239" s="307" t="s">
        <v>10474</v>
      </c>
      <c r="B2239" s="307" t="s">
        <v>10475</v>
      </c>
      <c r="C2239" s="307" t="s">
        <v>5814</v>
      </c>
      <c r="D2239" s="307" t="s">
        <v>10476</v>
      </c>
      <c r="E2239" s="307" t="s">
        <v>3905</v>
      </c>
      <c r="F2239" s="307" t="s">
        <v>3906</v>
      </c>
      <c r="G2239" s="307" t="s">
        <v>3907</v>
      </c>
    </row>
    <row r="2240" spans="1:7" ht="13.5">
      <c r="A2240" s="307" t="s">
        <v>10477</v>
      </c>
      <c r="B2240" s="307" t="s">
        <v>10478</v>
      </c>
      <c r="C2240" s="307" t="s">
        <v>5814</v>
      </c>
      <c r="D2240" s="307" t="s">
        <v>10479</v>
      </c>
      <c r="E2240" s="307" t="s">
        <v>3905</v>
      </c>
      <c r="F2240" s="307" t="s">
        <v>3906</v>
      </c>
      <c r="G2240" s="307" t="s">
        <v>3907</v>
      </c>
    </row>
    <row r="2241" spans="1:7" ht="13.5">
      <c r="A2241" s="307" t="s">
        <v>10480</v>
      </c>
      <c r="B2241" s="307" t="s">
        <v>10481</v>
      </c>
      <c r="C2241" s="307" t="s">
        <v>5814</v>
      </c>
      <c r="D2241" s="307" t="s">
        <v>10482</v>
      </c>
      <c r="E2241" s="307" t="s">
        <v>3905</v>
      </c>
      <c r="F2241" s="307" t="s">
        <v>3906</v>
      </c>
      <c r="G2241" s="307" t="s">
        <v>3907</v>
      </c>
    </row>
    <row r="2242" spans="1:7" ht="13.5">
      <c r="A2242" s="307" t="s">
        <v>10483</v>
      </c>
      <c r="B2242" s="307" t="s">
        <v>10484</v>
      </c>
      <c r="C2242" s="307" t="s">
        <v>5814</v>
      </c>
      <c r="D2242" s="307" t="s">
        <v>10485</v>
      </c>
      <c r="E2242" s="307" t="s">
        <v>3905</v>
      </c>
      <c r="F2242" s="307" t="s">
        <v>3906</v>
      </c>
      <c r="G2242" s="307" t="s">
        <v>3907</v>
      </c>
    </row>
    <row r="2243" spans="1:7" ht="13.5">
      <c r="A2243" s="307" t="s">
        <v>10486</v>
      </c>
      <c r="B2243" s="307" t="s">
        <v>10487</v>
      </c>
      <c r="C2243" s="307" t="s">
        <v>5814</v>
      </c>
      <c r="D2243" s="307" t="s">
        <v>10488</v>
      </c>
      <c r="E2243" s="307" t="s">
        <v>4021</v>
      </c>
      <c r="F2243" s="307" t="s">
        <v>3906</v>
      </c>
      <c r="G2243" s="307" t="s">
        <v>3907</v>
      </c>
    </row>
    <row r="2244" spans="1:7" ht="13.5">
      <c r="A2244" s="307" t="s">
        <v>10489</v>
      </c>
      <c r="B2244" s="307" t="s">
        <v>10490</v>
      </c>
      <c r="C2244" s="307" t="s">
        <v>5814</v>
      </c>
      <c r="D2244" s="307" t="s">
        <v>10491</v>
      </c>
      <c r="E2244" s="307" t="s">
        <v>4021</v>
      </c>
      <c r="F2244" s="307" t="s">
        <v>3906</v>
      </c>
      <c r="G2244" s="307" t="s">
        <v>3907</v>
      </c>
    </row>
    <row r="2245" spans="1:7" ht="13.5">
      <c r="A2245" s="307" t="s">
        <v>10492</v>
      </c>
      <c r="B2245" s="307" t="s">
        <v>10493</v>
      </c>
      <c r="C2245" s="307" t="s">
        <v>5814</v>
      </c>
      <c r="D2245" s="307" t="s">
        <v>10494</v>
      </c>
      <c r="E2245" s="307" t="s">
        <v>4021</v>
      </c>
      <c r="F2245" s="307" t="s">
        <v>3906</v>
      </c>
      <c r="G2245" s="307" t="s">
        <v>3907</v>
      </c>
    </row>
    <row r="2246" spans="1:7" ht="13.5">
      <c r="A2246" s="307" t="s">
        <v>10495</v>
      </c>
      <c r="B2246" s="307" t="s">
        <v>10496</v>
      </c>
      <c r="C2246" s="307" t="s">
        <v>5814</v>
      </c>
      <c r="D2246" s="307" t="s">
        <v>10497</v>
      </c>
      <c r="E2246" s="307" t="s">
        <v>3905</v>
      </c>
      <c r="F2246" s="307" t="s">
        <v>3906</v>
      </c>
      <c r="G2246" s="307" t="s">
        <v>3907</v>
      </c>
    </row>
    <row r="2247" spans="1:7" ht="13.5">
      <c r="A2247" s="307" t="s">
        <v>10498</v>
      </c>
      <c r="B2247" s="307" t="s">
        <v>10499</v>
      </c>
      <c r="C2247" s="307" t="s">
        <v>5814</v>
      </c>
      <c r="D2247" s="307" t="s">
        <v>10500</v>
      </c>
      <c r="E2247" s="307" t="s">
        <v>3905</v>
      </c>
      <c r="F2247" s="307" t="s">
        <v>3906</v>
      </c>
      <c r="G2247" s="307" t="s">
        <v>3907</v>
      </c>
    </row>
    <row r="2248" spans="1:7" ht="13.5">
      <c r="A2248" s="307" t="s">
        <v>10501</v>
      </c>
      <c r="B2248" s="307" t="s">
        <v>10502</v>
      </c>
      <c r="C2248" s="307" t="s">
        <v>5814</v>
      </c>
      <c r="D2248" s="307" t="s">
        <v>10503</v>
      </c>
      <c r="E2248" s="307" t="s">
        <v>3905</v>
      </c>
      <c r="F2248" s="307" t="s">
        <v>3906</v>
      </c>
      <c r="G2248" s="307" t="s">
        <v>3907</v>
      </c>
    </row>
    <row r="2249" spans="1:7" ht="13.5">
      <c r="A2249" s="307" t="s">
        <v>10504</v>
      </c>
      <c r="B2249" s="307" t="s">
        <v>10505</v>
      </c>
      <c r="C2249" s="307" t="s">
        <v>5814</v>
      </c>
      <c r="D2249" s="307" t="s">
        <v>10506</v>
      </c>
      <c r="E2249" s="307" t="s">
        <v>3905</v>
      </c>
      <c r="F2249" s="307" t="s">
        <v>3906</v>
      </c>
      <c r="G2249" s="307" t="s">
        <v>3907</v>
      </c>
    </row>
    <row r="2250" spans="1:7" ht="13.5">
      <c r="A2250" s="307" t="s">
        <v>10507</v>
      </c>
      <c r="B2250" s="307" t="s">
        <v>10508</v>
      </c>
      <c r="C2250" s="307" t="s">
        <v>5814</v>
      </c>
      <c r="D2250" s="307" t="s">
        <v>10509</v>
      </c>
      <c r="E2250" s="307" t="s">
        <v>3905</v>
      </c>
      <c r="F2250" s="307" t="s">
        <v>3906</v>
      </c>
      <c r="G2250" s="307" t="s">
        <v>3907</v>
      </c>
    </row>
    <row r="2251" spans="1:7" ht="13.5">
      <c r="A2251" s="307" t="s">
        <v>10510</v>
      </c>
      <c r="B2251" s="307" t="s">
        <v>10511</v>
      </c>
      <c r="C2251" s="307" t="s">
        <v>5814</v>
      </c>
      <c r="D2251" s="307" t="s">
        <v>10512</v>
      </c>
      <c r="E2251" s="307" t="s">
        <v>3905</v>
      </c>
      <c r="F2251" s="307" t="s">
        <v>3906</v>
      </c>
      <c r="G2251" s="307" t="s">
        <v>3907</v>
      </c>
    </row>
    <row r="2252" spans="1:7" ht="13.5">
      <c r="A2252" s="307" t="s">
        <v>10513</v>
      </c>
      <c r="B2252" s="307" t="s">
        <v>10514</v>
      </c>
      <c r="C2252" s="307" t="s">
        <v>5814</v>
      </c>
      <c r="D2252" s="307" t="s">
        <v>10515</v>
      </c>
      <c r="E2252" s="307" t="s">
        <v>3905</v>
      </c>
      <c r="F2252" s="307" t="s">
        <v>3906</v>
      </c>
      <c r="G2252" s="307" t="s">
        <v>3907</v>
      </c>
    </row>
    <row r="2253" spans="1:7" ht="13.5">
      <c r="A2253" s="307" t="s">
        <v>10516</v>
      </c>
      <c r="B2253" s="307" t="s">
        <v>10517</v>
      </c>
      <c r="C2253" s="307" t="s">
        <v>5814</v>
      </c>
      <c r="D2253" s="307" t="s">
        <v>10518</v>
      </c>
      <c r="E2253" s="307" t="s">
        <v>3905</v>
      </c>
      <c r="F2253" s="307" t="s">
        <v>3906</v>
      </c>
      <c r="G2253" s="307" t="s">
        <v>3907</v>
      </c>
    </row>
    <row r="2254" spans="1:7" ht="13.5">
      <c r="A2254" s="307" t="s">
        <v>10519</v>
      </c>
      <c r="B2254" s="307" t="s">
        <v>10520</v>
      </c>
      <c r="C2254" s="307" t="s">
        <v>5814</v>
      </c>
      <c r="D2254" s="307" t="s">
        <v>10521</v>
      </c>
      <c r="E2254" s="307" t="s">
        <v>3905</v>
      </c>
      <c r="F2254" s="307" t="s">
        <v>3906</v>
      </c>
      <c r="G2254" s="307" t="s">
        <v>3907</v>
      </c>
    </row>
    <row r="2255" spans="1:7" ht="13.5">
      <c r="A2255" s="307" t="s">
        <v>10522</v>
      </c>
      <c r="B2255" s="307" t="s">
        <v>10523</v>
      </c>
      <c r="C2255" s="307" t="s">
        <v>5814</v>
      </c>
      <c r="D2255" s="307" t="s">
        <v>10524</v>
      </c>
      <c r="E2255" s="307" t="s">
        <v>3905</v>
      </c>
      <c r="F2255" s="307" t="s">
        <v>3906</v>
      </c>
      <c r="G2255" s="307" t="s">
        <v>3907</v>
      </c>
    </row>
    <row r="2256" spans="1:7" ht="13.5">
      <c r="A2256" s="307" t="s">
        <v>10525</v>
      </c>
      <c r="B2256" s="307" t="s">
        <v>10526</v>
      </c>
      <c r="C2256" s="307" t="s">
        <v>5814</v>
      </c>
      <c r="D2256" s="307" t="s">
        <v>10527</v>
      </c>
      <c r="E2256" s="307" t="s">
        <v>3905</v>
      </c>
      <c r="F2256" s="307" t="s">
        <v>3906</v>
      </c>
      <c r="G2256" s="307" t="s">
        <v>3907</v>
      </c>
    </row>
    <row r="2257" spans="1:7" ht="13.5">
      <c r="A2257" s="307" t="s">
        <v>10528</v>
      </c>
      <c r="B2257" s="307" t="s">
        <v>10529</v>
      </c>
      <c r="C2257" s="307" t="s">
        <v>5814</v>
      </c>
      <c r="D2257" s="307" t="s">
        <v>10530</v>
      </c>
      <c r="E2257" s="307" t="s">
        <v>3905</v>
      </c>
      <c r="F2257" s="307" t="s">
        <v>3906</v>
      </c>
      <c r="G2257" s="307" t="s">
        <v>3907</v>
      </c>
    </row>
    <row r="2258" spans="1:7" ht="13.5">
      <c r="A2258" s="307" t="s">
        <v>10531</v>
      </c>
      <c r="B2258" s="307" t="s">
        <v>10532</v>
      </c>
      <c r="C2258" s="307" t="s">
        <v>5814</v>
      </c>
      <c r="D2258" s="307" t="s">
        <v>10533</v>
      </c>
      <c r="E2258" s="307" t="s">
        <v>3905</v>
      </c>
      <c r="F2258" s="307" t="s">
        <v>3906</v>
      </c>
      <c r="G2258" s="307" t="s">
        <v>3907</v>
      </c>
    </row>
    <row r="2259" spans="1:7" ht="13.5">
      <c r="A2259" s="307" t="s">
        <v>10534</v>
      </c>
      <c r="B2259" s="307" t="s">
        <v>10535</v>
      </c>
      <c r="C2259" s="307" t="s">
        <v>5814</v>
      </c>
      <c r="D2259" s="307" t="s">
        <v>10536</v>
      </c>
      <c r="E2259" s="307" t="s">
        <v>3905</v>
      </c>
      <c r="F2259" s="307" t="s">
        <v>3906</v>
      </c>
      <c r="G2259" s="307" t="s">
        <v>3907</v>
      </c>
    </row>
    <row r="2260" spans="1:7" ht="13.5">
      <c r="A2260" s="307" t="s">
        <v>10537</v>
      </c>
      <c r="B2260" s="307" t="s">
        <v>10538</v>
      </c>
      <c r="C2260" s="307" t="s">
        <v>5814</v>
      </c>
      <c r="D2260" s="307" t="s">
        <v>10539</v>
      </c>
      <c r="E2260" s="307" t="s">
        <v>3905</v>
      </c>
      <c r="F2260" s="307" t="s">
        <v>3906</v>
      </c>
      <c r="G2260" s="307" t="s">
        <v>3907</v>
      </c>
    </row>
    <row r="2261" spans="1:7" ht="13.5">
      <c r="A2261" s="307" t="s">
        <v>10540</v>
      </c>
      <c r="B2261" s="307" t="s">
        <v>10541</v>
      </c>
      <c r="C2261" s="307" t="s">
        <v>5814</v>
      </c>
      <c r="D2261" s="307" t="s">
        <v>10542</v>
      </c>
      <c r="E2261" s="307" t="s">
        <v>3905</v>
      </c>
      <c r="F2261" s="307" t="s">
        <v>3906</v>
      </c>
      <c r="G2261" s="307" t="s">
        <v>3907</v>
      </c>
    </row>
    <row r="2262" spans="1:7" ht="13.5">
      <c r="A2262" s="307" t="s">
        <v>10543</v>
      </c>
      <c r="B2262" s="307" t="s">
        <v>10544</v>
      </c>
      <c r="C2262" s="307" t="s">
        <v>5814</v>
      </c>
      <c r="D2262" s="307" t="s">
        <v>10545</v>
      </c>
      <c r="E2262" s="307" t="s">
        <v>3905</v>
      </c>
      <c r="F2262" s="307" t="s">
        <v>3906</v>
      </c>
      <c r="G2262" s="307" t="s">
        <v>3907</v>
      </c>
    </row>
    <row r="2263" spans="1:7" ht="13.5">
      <c r="A2263" s="307" t="s">
        <v>10546</v>
      </c>
      <c r="B2263" s="307" t="s">
        <v>10547</v>
      </c>
      <c r="C2263" s="307" t="s">
        <v>5814</v>
      </c>
      <c r="D2263" s="307" t="s">
        <v>10548</v>
      </c>
      <c r="E2263" s="307" t="s">
        <v>3905</v>
      </c>
      <c r="F2263" s="307" t="s">
        <v>3906</v>
      </c>
      <c r="G2263" s="307" t="s">
        <v>3907</v>
      </c>
    </row>
    <row r="2264" spans="1:7" ht="13.5">
      <c r="A2264" s="307" t="s">
        <v>10549</v>
      </c>
      <c r="B2264" s="307" t="s">
        <v>10550</v>
      </c>
      <c r="C2264" s="307" t="s">
        <v>5814</v>
      </c>
      <c r="D2264" s="307" t="s">
        <v>10551</v>
      </c>
      <c r="E2264" s="307" t="s">
        <v>3905</v>
      </c>
      <c r="F2264" s="307" t="s">
        <v>3906</v>
      </c>
      <c r="G2264" s="307" t="s">
        <v>3907</v>
      </c>
    </row>
    <row r="2265" spans="1:7" ht="13.5">
      <c r="A2265" s="307" t="s">
        <v>10552</v>
      </c>
      <c r="B2265" s="307" t="s">
        <v>10553</v>
      </c>
      <c r="C2265" s="307" t="s">
        <v>5814</v>
      </c>
      <c r="D2265" s="307" t="s">
        <v>10554</v>
      </c>
      <c r="E2265" s="307" t="s">
        <v>3905</v>
      </c>
      <c r="F2265" s="307" t="s">
        <v>3906</v>
      </c>
      <c r="G2265" s="307" t="s">
        <v>3907</v>
      </c>
    </row>
    <row r="2266" spans="1:7" ht="13.5">
      <c r="A2266" s="307" t="s">
        <v>10555</v>
      </c>
      <c r="B2266" s="307" t="s">
        <v>10556</v>
      </c>
      <c r="C2266" s="307" t="s">
        <v>5814</v>
      </c>
      <c r="D2266" s="307" t="s">
        <v>10557</v>
      </c>
      <c r="E2266" s="307" t="s">
        <v>3905</v>
      </c>
      <c r="F2266" s="307" t="s">
        <v>3906</v>
      </c>
      <c r="G2266" s="307" t="s">
        <v>3907</v>
      </c>
    </row>
    <row r="2267" spans="1:7" ht="13.5">
      <c r="A2267" s="307" t="s">
        <v>10558</v>
      </c>
      <c r="B2267" s="307" t="s">
        <v>10559</v>
      </c>
      <c r="C2267" s="307" t="s">
        <v>5814</v>
      </c>
      <c r="D2267" s="307" t="s">
        <v>10560</v>
      </c>
      <c r="E2267" s="307" t="s">
        <v>4021</v>
      </c>
      <c r="F2267" s="307" t="s">
        <v>3906</v>
      </c>
      <c r="G2267" s="307" t="s">
        <v>3907</v>
      </c>
    </row>
    <row r="2268" spans="1:7" ht="13.5">
      <c r="A2268" s="307" t="s">
        <v>10561</v>
      </c>
      <c r="B2268" s="307" t="s">
        <v>10562</v>
      </c>
      <c r="C2268" s="307" t="s">
        <v>5814</v>
      </c>
      <c r="D2268" s="307" t="s">
        <v>10563</v>
      </c>
      <c r="E2268" s="307" t="s">
        <v>3905</v>
      </c>
      <c r="F2268" s="307" t="s">
        <v>3906</v>
      </c>
      <c r="G2268" s="307" t="s">
        <v>3907</v>
      </c>
    </row>
    <row r="2269" spans="1:7" ht="13.5">
      <c r="A2269" s="307" t="s">
        <v>10564</v>
      </c>
      <c r="B2269" s="307" t="s">
        <v>10565</v>
      </c>
      <c r="C2269" s="307" t="s">
        <v>5814</v>
      </c>
      <c r="D2269" s="307" t="s">
        <v>10566</v>
      </c>
      <c r="E2269" s="307" t="s">
        <v>3905</v>
      </c>
      <c r="F2269" s="307" t="s">
        <v>3906</v>
      </c>
      <c r="G2269" s="307" t="s">
        <v>3907</v>
      </c>
    </row>
    <row r="2270" spans="1:7" ht="13.5">
      <c r="A2270" s="307" t="s">
        <v>10567</v>
      </c>
      <c r="B2270" s="307" t="s">
        <v>10568</v>
      </c>
      <c r="C2270" s="307" t="s">
        <v>5814</v>
      </c>
      <c r="D2270" s="307" t="s">
        <v>10569</v>
      </c>
      <c r="E2270" s="307" t="s">
        <v>3905</v>
      </c>
      <c r="F2270" s="307" t="s">
        <v>3906</v>
      </c>
      <c r="G2270" s="307" t="s">
        <v>3907</v>
      </c>
    </row>
    <row r="2271" spans="1:7" ht="13.5">
      <c r="A2271" s="307" t="s">
        <v>10570</v>
      </c>
      <c r="B2271" s="307" t="s">
        <v>10571</v>
      </c>
      <c r="C2271" s="307" t="s">
        <v>5814</v>
      </c>
      <c r="D2271" s="307" t="s">
        <v>10572</v>
      </c>
      <c r="E2271" s="307" t="s">
        <v>3905</v>
      </c>
      <c r="F2271" s="307" t="s">
        <v>3906</v>
      </c>
      <c r="G2271" s="307" t="s">
        <v>3907</v>
      </c>
    </row>
    <row r="2272" spans="1:7" ht="13.5">
      <c r="A2272" s="307" t="s">
        <v>10573</v>
      </c>
      <c r="B2272" s="307" t="s">
        <v>10574</v>
      </c>
      <c r="C2272" s="307" t="s">
        <v>5814</v>
      </c>
      <c r="D2272" s="307" t="s">
        <v>10575</v>
      </c>
      <c r="E2272" s="307" t="s">
        <v>3905</v>
      </c>
      <c r="F2272" s="307" t="s">
        <v>3906</v>
      </c>
      <c r="G2272" s="307" t="s">
        <v>3907</v>
      </c>
    </row>
    <row r="2273" spans="1:7" ht="13.5">
      <c r="A2273" s="307" t="s">
        <v>10576</v>
      </c>
      <c r="B2273" s="307" t="s">
        <v>10577</v>
      </c>
      <c r="C2273" s="307" t="s">
        <v>5814</v>
      </c>
      <c r="D2273" s="307" t="s">
        <v>10578</v>
      </c>
      <c r="E2273" s="307" t="s">
        <v>3905</v>
      </c>
      <c r="F2273" s="307" t="s">
        <v>3906</v>
      </c>
      <c r="G2273" s="307" t="s">
        <v>3907</v>
      </c>
    </row>
    <row r="2274" spans="1:7" ht="13.5">
      <c r="A2274" s="307" t="s">
        <v>10579</v>
      </c>
      <c r="B2274" s="307" t="s">
        <v>10580</v>
      </c>
      <c r="C2274" s="307" t="s">
        <v>5814</v>
      </c>
      <c r="D2274" s="307" t="s">
        <v>10581</v>
      </c>
      <c r="E2274" s="307" t="s">
        <v>3905</v>
      </c>
      <c r="F2274" s="307" t="s">
        <v>3906</v>
      </c>
      <c r="G2274" s="307" t="s">
        <v>3907</v>
      </c>
    </row>
    <row r="2275" spans="1:7" ht="13.5">
      <c r="A2275" s="307" t="s">
        <v>10582</v>
      </c>
      <c r="B2275" s="307" t="s">
        <v>10583</v>
      </c>
      <c r="C2275" s="307" t="s">
        <v>5814</v>
      </c>
      <c r="D2275" s="307" t="s">
        <v>10584</v>
      </c>
      <c r="E2275" s="307" t="s">
        <v>3905</v>
      </c>
      <c r="F2275" s="307" t="s">
        <v>3906</v>
      </c>
      <c r="G2275" s="307" t="s">
        <v>3907</v>
      </c>
    </row>
    <row r="2276" spans="1:7" ht="13.5">
      <c r="A2276" s="307" t="s">
        <v>10585</v>
      </c>
      <c r="B2276" s="307" t="s">
        <v>10586</v>
      </c>
      <c r="C2276" s="307" t="s">
        <v>5814</v>
      </c>
      <c r="D2276" s="307" t="s">
        <v>10587</v>
      </c>
      <c r="E2276" s="307" t="s">
        <v>3905</v>
      </c>
      <c r="F2276" s="307" t="s">
        <v>3906</v>
      </c>
      <c r="G2276" s="307" t="s">
        <v>3907</v>
      </c>
    </row>
    <row r="2277" spans="1:7" ht="13.5">
      <c r="A2277" s="307" t="s">
        <v>10588</v>
      </c>
      <c r="B2277" s="307" t="s">
        <v>10589</v>
      </c>
      <c r="C2277" s="307" t="s">
        <v>5814</v>
      </c>
      <c r="D2277" s="307" t="s">
        <v>10590</v>
      </c>
      <c r="E2277" s="307" t="s">
        <v>3905</v>
      </c>
      <c r="F2277" s="307" t="s">
        <v>3906</v>
      </c>
      <c r="G2277" s="307" t="s">
        <v>3907</v>
      </c>
    </row>
    <row r="2278" spans="1:7" ht="13.5">
      <c r="A2278" s="307" t="s">
        <v>10591</v>
      </c>
      <c r="B2278" s="307" t="s">
        <v>10592</v>
      </c>
      <c r="C2278" s="307" t="s">
        <v>5814</v>
      </c>
      <c r="D2278" s="307" t="s">
        <v>10593</v>
      </c>
      <c r="E2278" s="307" t="s">
        <v>3905</v>
      </c>
      <c r="F2278" s="307" t="s">
        <v>3906</v>
      </c>
      <c r="G2278" s="307" t="s">
        <v>3907</v>
      </c>
    </row>
    <row r="2279" spans="1:7" ht="13.5">
      <c r="A2279" s="307" t="s">
        <v>10594</v>
      </c>
      <c r="B2279" s="307" t="s">
        <v>10595</v>
      </c>
      <c r="C2279" s="307" t="s">
        <v>5814</v>
      </c>
      <c r="D2279" s="307" t="s">
        <v>10596</v>
      </c>
      <c r="E2279" s="307" t="s">
        <v>3905</v>
      </c>
      <c r="F2279" s="307" t="s">
        <v>3906</v>
      </c>
      <c r="G2279" s="307" t="s">
        <v>3907</v>
      </c>
    </row>
    <row r="2280" spans="1:7" ht="13.5">
      <c r="A2280" s="307" t="s">
        <v>10597</v>
      </c>
      <c r="B2280" s="307" t="s">
        <v>10598</v>
      </c>
      <c r="C2280" s="307" t="s">
        <v>5814</v>
      </c>
      <c r="D2280" s="307" t="s">
        <v>10599</v>
      </c>
      <c r="E2280" s="307" t="s">
        <v>4021</v>
      </c>
      <c r="F2280" s="307" t="s">
        <v>3906</v>
      </c>
      <c r="G2280" s="307" t="s">
        <v>3907</v>
      </c>
    </row>
    <row r="2281" spans="1:7" ht="13.5">
      <c r="A2281" s="307" t="s">
        <v>10600</v>
      </c>
      <c r="B2281" s="307" t="s">
        <v>10601</v>
      </c>
      <c r="C2281" s="307" t="s">
        <v>5814</v>
      </c>
      <c r="D2281" s="307" t="s">
        <v>10602</v>
      </c>
      <c r="E2281" s="307" t="s">
        <v>3905</v>
      </c>
      <c r="F2281" s="307" t="s">
        <v>3906</v>
      </c>
      <c r="G2281" s="307" t="s">
        <v>3907</v>
      </c>
    </row>
    <row r="2282" spans="1:7" ht="13.5">
      <c r="A2282" s="307" t="s">
        <v>10603</v>
      </c>
      <c r="B2282" s="307" t="s">
        <v>10604</v>
      </c>
      <c r="C2282" s="307" t="s">
        <v>5814</v>
      </c>
      <c r="D2282" s="307" t="s">
        <v>10605</v>
      </c>
      <c r="E2282" s="307" t="s">
        <v>3905</v>
      </c>
      <c r="F2282" s="307" t="s">
        <v>3906</v>
      </c>
      <c r="G2282" s="307" t="s">
        <v>3907</v>
      </c>
    </row>
    <row r="2283" spans="1:7" ht="13.5">
      <c r="A2283" s="307" t="s">
        <v>10606</v>
      </c>
      <c r="B2283" s="307" t="s">
        <v>10607</v>
      </c>
      <c r="C2283" s="307" t="s">
        <v>5814</v>
      </c>
      <c r="D2283" s="307" t="s">
        <v>10608</v>
      </c>
      <c r="E2283" s="307" t="s">
        <v>3905</v>
      </c>
      <c r="F2283" s="307" t="s">
        <v>3906</v>
      </c>
      <c r="G2283" s="307" t="s">
        <v>3907</v>
      </c>
    </row>
    <row r="2284" spans="1:7" ht="13.5">
      <c r="A2284" s="307" t="s">
        <v>10609</v>
      </c>
      <c r="B2284" s="307" t="s">
        <v>10610</v>
      </c>
      <c r="C2284" s="307" t="s">
        <v>5814</v>
      </c>
      <c r="D2284" s="307" t="s">
        <v>10611</v>
      </c>
      <c r="E2284" s="307" t="s">
        <v>3905</v>
      </c>
      <c r="F2284" s="307" t="s">
        <v>3906</v>
      </c>
      <c r="G2284" s="307" t="s">
        <v>3907</v>
      </c>
    </row>
    <row r="2285" spans="1:7" ht="13.5">
      <c r="A2285" s="307" t="s">
        <v>10612</v>
      </c>
      <c r="B2285" s="307" t="s">
        <v>10613</v>
      </c>
      <c r="C2285" s="307" t="s">
        <v>5814</v>
      </c>
      <c r="D2285" s="307" t="s">
        <v>10614</v>
      </c>
      <c r="E2285" s="307" t="s">
        <v>3905</v>
      </c>
      <c r="F2285" s="307" t="s">
        <v>3906</v>
      </c>
      <c r="G2285" s="307" t="s">
        <v>3907</v>
      </c>
    </row>
    <row r="2286" spans="1:7" ht="13.5">
      <c r="A2286" s="307" t="s">
        <v>10615</v>
      </c>
      <c r="B2286" s="307" t="s">
        <v>10616</v>
      </c>
      <c r="C2286" s="307" t="s">
        <v>5814</v>
      </c>
      <c r="D2286" s="307" t="s">
        <v>10617</v>
      </c>
      <c r="E2286" s="307" t="s">
        <v>3905</v>
      </c>
      <c r="F2286" s="307" t="s">
        <v>3906</v>
      </c>
      <c r="G2286" s="307" t="s">
        <v>3907</v>
      </c>
    </row>
    <row r="2287" spans="1:7" ht="13.5">
      <c r="A2287" s="307" t="s">
        <v>10618</v>
      </c>
      <c r="B2287" s="307" t="s">
        <v>10619</v>
      </c>
      <c r="C2287" s="307" t="s">
        <v>5814</v>
      </c>
      <c r="D2287" s="307" t="s">
        <v>10620</v>
      </c>
      <c r="E2287" s="307" t="s">
        <v>3905</v>
      </c>
      <c r="F2287" s="307" t="s">
        <v>3906</v>
      </c>
      <c r="G2287" s="307" t="s">
        <v>3907</v>
      </c>
    </row>
    <row r="2288" spans="1:7" ht="13.5">
      <c r="A2288" s="307" t="s">
        <v>10621</v>
      </c>
      <c r="B2288" s="307" t="s">
        <v>10622</v>
      </c>
      <c r="C2288" s="307" t="s">
        <v>5814</v>
      </c>
      <c r="D2288" s="307" t="s">
        <v>10623</v>
      </c>
      <c r="E2288" s="307" t="s">
        <v>3905</v>
      </c>
      <c r="F2288" s="307" t="s">
        <v>3906</v>
      </c>
      <c r="G2288" s="307" t="s">
        <v>3907</v>
      </c>
    </row>
    <row r="2289" spans="1:7" ht="13.5">
      <c r="A2289" s="307" t="s">
        <v>10624</v>
      </c>
      <c r="B2289" s="307" t="s">
        <v>10625</v>
      </c>
      <c r="C2289" s="307" t="s">
        <v>5814</v>
      </c>
      <c r="D2289" s="307" t="s">
        <v>10626</v>
      </c>
      <c r="E2289" s="307" t="s">
        <v>4021</v>
      </c>
      <c r="F2289" s="307" t="s">
        <v>3906</v>
      </c>
      <c r="G2289" s="307" t="s">
        <v>3907</v>
      </c>
    </row>
    <row r="2290" spans="1:7" ht="13.5">
      <c r="A2290" s="307" t="s">
        <v>10627</v>
      </c>
      <c r="B2290" s="307" t="s">
        <v>10628</v>
      </c>
      <c r="C2290" s="307" t="s">
        <v>5814</v>
      </c>
      <c r="D2290" s="307" t="s">
        <v>10629</v>
      </c>
      <c r="E2290" s="307" t="s">
        <v>3905</v>
      </c>
      <c r="F2290" s="307" t="s">
        <v>3906</v>
      </c>
      <c r="G2290" s="307" t="s">
        <v>3907</v>
      </c>
    </row>
    <row r="2291" spans="1:7" ht="13.5">
      <c r="A2291" s="307" t="s">
        <v>10630</v>
      </c>
      <c r="B2291" s="307" t="s">
        <v>10631</v>
      </c>
      <c r="C2291" s="307" t="s">
        <v>5814</v>
      </c>
      <c r="D2291" s="307" t="s">
        <v>10632</v>
      </c>
      <c r="E2291" s="307" t="s">
        <v>3905</v>
      </c>
      <c r="F2291" s="307" t="s">
        <v>3906</v>
      </c>
      <c r="G2291" s="307" t="s">
        <v>3907</v>
      </c>
    </row>
    <row r="2292" spans="1:7" ht="13.5">
      <c r="A2292" s="307" t="s">
        <v>10633</v>
      </c>
      <c r="B2292" s="307" t="s">
        <v>10634</v>
      </c>
      <c r="C2292" s="307" t="s">
        <v>5814</v>
      </c>
      <c r="D2292" s="307" t="s">
        <v>10635</v>
      </c>
      <c r="E2292" s="307" t="s">
        <v>3905</v>
      </c>
      <c r="F2292" s="307" t="s">
        <v>3906</v>
      </c>
      <c r="G2292" s="307" t="s">
        <v>3907</v>
      </c>
    </row>
    <row r="2293" spans="1:7" ht="13.5">
      <c r="A2293" s="307" t="s">
        <v>10636</v>
      </c>
      <c r="B2293" s="307" t="s">
        <v>10637</v>
      </c>
      <c r="C2293" s="307" t="s">
        <v>5814</v>
      </c>
      <c r="D2293" s="307" t="s">
        <v>10637</v>
      </c>
      <c r="E2293" s="307" t="s">
        <v>3905</v>
      </c>
      <c r="F2293" s="307" t="s">
        <v>3906</v>
      </c>
      <c r="G2293" s="307" t="s">
        <v>3907</v>
      </c>
    </row>
    <row r="2294" spans="1:7" ht="13.5">
      <c r="A2294" s="307" t="s">
        <v>10638</v>
      </c>
      <c r="B2294" s="307" t="s">
        <v>10639</v>
      </c>
      <c r="C2294" s="307" t="s">
        <v>5814</v>
      </c>
      <c r="D2294" s="307" t="s">
        <v>10640</v>
      </c>
      <c r="E2294" s="307" t="s">
        <v>3905</v>
      </c>
      <c r="F2294" s="307" t="s">
        <v>3906</v>
      </c>
      <c r="G2294" s="307" t="s">
        <v>3907</v>
      </c>
    </row>
    <row r="2295" spans="1:7" ht="13.5">
      <c r="A2295" s="307" t="s">
        <v>10641</v>
      </c>
      <c r="B2295" s="307" t="s">
        <v>10642</v>
      </c>
      <c r="C2295" s="307" t="s">
        <v>5814</v>
      </c>
      <c r="D2295" s="307" t="s">
        <v>10643</v>
      </c>
      <c r="E2295" s="307" t="s">
        <v>3905</v>
      </c>
      <c r="F2295" s="307" t="s">
        <v>3906</v>
      </c>
      <c r="G2295" s="307" t="s">
        <v>3907</v>
      </c>
    </row>
    <row r="2296" spans="1:7" ht="13.5">
      <c r="A2296" s="307" t="s">
        <v>10644</v>
      </c>
      <c r="B2296" s="307" t="s">
        <v>10645</v>
      </c>
      <c r="C2296" s="307" t="s">
        <v>5814</v>
      </c>
      <c r="D2296" s="307" t="s">
        <v>10646</v>
      </c>
      <c r="E2296" s="307" t="s">
        <v>3905</v>
      </c>
      <c r="F2296" s="307" t="s">
        <v>3906</v>
      </c>
      <c r="G2296" s="307" t="s">
        <v>3907</v>
      </c>
    </row>
    <row r="2297" spans="1:7" ht="13.5">
      <c r="A2297" s="307" t="s">
        <v>10647</v>
      </c>
      <c r="B2297" s="307" t="s">
        <v>10648</v>
      </c>
      <c r="C2297" s="307" t="s">
        <v>5814</v>
      </c>
      <c r="D2297" s="307" t="s">
        <v>10649</v>
      </c>
      <c r="E2297" s="307" t="s">
        <v>3905</v>
      </c>
      <c r="F2297" s="307" t="s">
        <v>3906</v>
      </c>
      <c r="G2297" s="307" t="s">
        <v>3907</v>
      </c>
    </row>
    <row r="2298" spans="1:7" ht="13.5">
      <c r="A2298" s="307" t="s">
        <v>10650</v>
      </c>
      <c r="B2298" s="307" t="s">
        <v>10651</v>
      </c>
      <c r="C2298" s="307" t="s">
        <v>5814</v>
      </c>
      <c r="D2298" s="307" t="s">
        <v>10652</v>
      </c>
      <c r="E2298" s="307" t="s">
        <v>3905</v>
      </c>
      <c r="F2298" s="307" t="s">
        <v>3906</v>
      </c>
      <c r="G2298" s="307" t="s">
        <v>3907</v>
      </c>
    </row>
    <row r="2299" spans="1:7" ht="13.5">
      <c r="A2299" s="307" t="s">
        <v>10653</v>
      </c>
      <c r="B2299" s="307" t="s">
        <v>10654</v>
      </c>
      <c r="C2299" s="307" t="s">
        <v>5814</v>
      </c>
      <c r="D2299" s="307" t="s">
        <v>10655</v>
      </c>
      <c r="E2299" s="307" t="s">
        <v>3905</v>
      </c>
      <c r="F2299" s="307" t="s">
        <v>3906</v>
      </c>
      <c r="G2299" s="307" t="s">
        <v>3907</v>
      </c>
    </row>
    <row r="2300" spans="1:7" ht="13.5">
      <c r="A2300" s="307" t="s">
        <v>10656</v>
      </c>
      <c r="B2300" s="307" t="s">
        <v>10657</v>
      </c>
      <c r="C2300" s="307" t="s">
        <v>5814</v>
      </c>
      <c r="D2300" s="307" t="s">
        <v>10658</v>
      </c>
      <c r="E2300" s="307" t="s">
        <v>3905</v>
      </c>
      <c r="F2300" s="307" t="s">
        <v>3906</v>
      </c>
      <c r="G2300" s="307" t="s">
        <v>3907</v>
      </c>
    </row>
    <row r="2301" spans="1:7" ht="13.5">
      <c r="A2301" s="307" t="s">
        <v>10659</v>
      </c>
      <c r="B2301" s="307" t="s">
        <v>10660</v>
      </c>
      <c r="C2301" s="307" t="s">
        <v>5814</v>
      </c>
      <c r="D2301" s="307" t="s">
        <v>10661</v>
      </c>
      <c r="E2301" s="307" t="s">
        <v>3905</v>
      </c>
      <c r="F2301" s="307" t="s">
        <v>3906</v>
      </c>
      <c r="G2301" s="307" t="s">
        <v>3907</v>
      </c>
    </row>
    <row r="2302" spans="1:7" ht="13.5">
      <c r="A2302" s="307" t="s">
        <v>10662</v>
      </c>
      <c r="B2302" s="307" t="s">
        <v>10663</v>
      </c>
      <c r="C2302" s="307" t="s">
        <v>5814</v>
      </c>
      <c r="D2302" s="307" t="s">
        <v>10664</v>
      </c>
      <c r="E2302" s="307" t="s">
        <v>3905</v>
      </c>
      <c r="F2302" s="307" t="s">
        <v>3906</v>
      </c>
      <c r="G2302" s="307" t="s">
        <v>3907</v>
      </c>
    </row>
    <row r="2303" spans="1:7" ht="13.5">
      <c r="A2303" s="307" t="s">
        <v>10665</v>
      </c>
      <c r="B2303" s="307" t="s">
        <v>10666</v>
      </c>
      <c r="C2303" s="307" t="s">
        <v>5814</v>
      </c>
      <c r="D2303" s="307" t="s">
        <v>10667</v>
      </c>
      <c r="E2303" s="307" t="s">
        <v>3905</v>
      </c>
      <c r="F2303" s="307" t="s">
        <v>3906</v>
      </c>
      <c r="G2303" s="307" t="s">
        <v>3907</v>
      </c>
    </row>
    <row r="2304" spans="1:7" ht="13.5">
      <c r="A2304" s="307" t="s">
        <v>10668</v>
      </c>
      <c r="B2304" s="307" t="s">
        <v>10669</v>
      </c>
      <c r="C2304" s="307" t="s">
        <v>5814</v>
      </c>
      <c r="D2304" s="307" t="s">
        <v>10670</v>
      </c>
      <c r="E2304" s="307" t="s">
        <v>3905</v>
      </c>
      <c r="F2304" s="307" t="s">
        <v>3906</v>
      </c>
      <c r="G2304" s="307" t="s">
        <v>3907</v>
      </c>
    </row>
    <row r="2305" spans="1:7" ht="13.5">
      <c r="A2305" s="307" t="s">
        <v>10671</v>
      </c>
      <c r="B2305" s="307" t="s">
        <v>10672</v>
      </c>
      <c r="C2305" s="307" t="s">
        <v>5814</v>
      </c>
      <c r="D2305" s="307" t="s">
        <v>10673</v>
      </c>
      <c r="E2305" s="307" t="s">
        <v>3905</v>
      </c>
      <c r="F2305" s="307" t="s">
        <v>3906</v>
      </c>
      <c r="G2305" s="307" t="s">
        <v>3907</v>
      </c>
    </row>
    <row r="2306" spans="1:7" ht="13.5">
      <c r="A2306" s="307" t="s">
        <v>10674</v>
      </c>
      <c r="B2306" s="307" t="s">
        <v>10675</v>
      </c>
      <c r="C2306" s="307" t="s">
        <v>5814</v>
      </c>
      <c r="D2306" s="307" t="s">
        <v>10676</v>
      </c>
      <c r="E2306" s="307" t="s">
        <v>3905</v>
      </c>
      <c r="F2306" s="307" t="s">
        <v>3906</v>
      </c>
      <c r="G2306" s="307" t="s">
        <v>3907</v>
      </c>
    </row>
    <row r="2307" spans="1:7" ht="13.5">
      <c r="A2307" s="307" t="s">
        <v>10677</v>
      </c>
      <c r="B2307" s="307" t="s">
        <v>10678</v>
      </c>
      <c r="C2307" s="307" t="s">
        <v>5814</v>
      </c>
      <c r="D2307" s="307" t="s">
        <v>10679</v>
      </c>
      <c r="E2307" s="307" t="s">
        <v>3905</v>
      </c>
      <c r="F2307" s="307" t="s">
        <v>3906</v>
      </c>
      <c r="G2307" s="307" t="s">
        <v>3907</v>
      </c>
    </row>
    <row r="2308" spans="1:7" ht="13.5">
      <c r="A2308" s="307" t="s">
        <v>10680</v>
      </c>
      <c r="B2308" s="307" t="s">
        <v>10681</v>
      </c>
      <c r="C2308" s="307" t="s">
        <v>5814</v>
      </c>
      <c r="D2308" s="307" t="s">
        <v>10682</v>
      </c>
      <c r="E2308" s="307" t="s">
        <v>3905</v>
      </c>
      <c r="F2308" s="307" t="s">
        <v>3906</v>
      </c>
      <c r="G2308" s="307" t="s">
        <v>3907</v>
      </c>
    </row>
    <row r="2309" spans="1:7" ht="13.5">
      <c r="A2309" s="307" t="s">
        <v>10683</v>
      </c>
      <c r="B2309" s="307" t="s">
        <v>10684</v>
      </c>
      <c r="C2309" s="307" t="s">
        <v>5814</v>
      </c>
      <c r="D2309" s="307" t="s">
        <v>10685</v>
      </c>
      <c r="E2309" s="307" t="s">
        <v>3905</v>
      </c>
      <c r="F2309" s="307" t="s">
        <v>3906</v>
      </c>
      <c r="G2309" s="307" t="s">
        <v>3907</v>
      </c>
    </row>
    <row r="2310" spans="1:7" ht="13.5">
      <c r="A2310" s="307" t="s">
        <v>10686</v>
      </c>
      <c r="B2310" s="307" t="s">
        <v>10687</v>
      </c>
      <c r="C2310" s="307" t="s">
        <v>5814</v>
      </c>
      <c r="D2310" s="307" t="s">
        <v>10688</v>
      </c>
      <c r="E2310" s="307" t="s">
        <v>3905</v>
      </c>
      <c r="F2310" s="307" t="s">
        <v>3906</v>
      </c>
      <c r="G2310" s="307" t="s">
        <v>3907</v>
      </c>
    </row>
    <row r="2311" spans="1:7" ht="13.5">
      <c r="A2311" s="307" t="s">
        <v>10689</v>
      </c>
      <c r="B2311" s="307" t="s">
        <v>10690</v>
      </c>
      <c r="C2311" s="307" t="s">
        <v>5814</v>
      </c>
      <c r="D2311" s="307" t="s">
        <v>10691</v>
      </c>
      <c r="E2311" s="307" t="s">
        <v>3905</v>
      </c>
      <c r="F2311" s="307" t="s">
        <v>3906</v>
      </c>
      <c r="G2311" s="307" t="s">
        <v>3907</v>
      </c>
    </row>
    <row r="2312" spans="1:7" ht="13.5">
      <c r="A2312" s="307" t="s">
        <v>10692</v>
      </c>
      <c r="B2312" s="307" t="s">
        <v>10693</v>
      </c>
      <c r="C2312" s="307" t="s">
        <v>5814</v>
      </c>
      <c r="D2312" s="307" t="s">
        <v>10694</v>
      </c>
      <c r="E2312" s="307" t="s">
        <v>3905</v>
      </c>
      <c r="F2312" s="307" t="s">
        <v>3906</v>
      </c>
      <c r="G2312" s="307" t="s">
        <v>3907</v>
      </c>
    </row>
    <row r="2313" spans="1:7" ht="13.5">
      <c r="A2313" s="307" t="s">
        <v>10695</v>
      </c>
      <c r="B2313" s="307" t="s">
        <v>10696</v>
      </c>
      <c r="C2313" s="307" t="s">
        <v>5814</v>
      </c>
      <c r="D2313" s="307" t="s">
        <v>10697</v>
      </c>
      <c r="E2313" s="307" t="s">
        <v>3905</v>
      </c>
      <c r="F2313" s="307" t="s">
        <v>3906</v>
      </c>
      <c r="G2313" s="307" t="s">
        <v>3907</v>
      </c>
    </row>
    <row r="2314" spans="1:7" ht="13.5">
      <c r="A2314" s="307" t="s">
        <v>10698</v>
      </c>
      <c r="B2314" s="307" t="s">
        <v>10699</v>
      </c>
      <c r="C2314" s="307" t="s">
        <v>5814</v>
      </c>
      <c r="D2314" s="307" t="s">
        <v>10700</v>
      </c>
      <c r="E2314" s="307" t="s">
        <v>3905</v>
      </c>
      <c r="F2314" s="307" t="s">
        <v>3906</v>
      </c>
      <c r="G2314" s="307" t="s">
        <v>3907</v>
      </c>
    </row>
    <row r="2315" spans="1:7" ht="13.5">
      <c r="A2315" s="307" t="s">
        <v>10701</v>
      </c>
      <c r="B2315" s="307" t="s">
        <v>10702</v>
      </c>
      <c r="C2315" s="307" t="s">
        <v>5814</v>
      </c>
      <c r="D2315" s="307" t="s">
        <v>10703</v>
      </c>
      <c r="E2315" s="307" t="s">
        <v>3905</v>
      </c>
      <c r="F2315" s="307" t="s">
        <v>3906</v>
      </c>
      <c r="G2315" s="307" t="s">
        <v>3907</v>
      </c>
    </row>
    <row r="2316" spans="1:7" ht="13.5">
      <c r="A2316" s="307" t="s">
        <v>10704</v>
      </c>
      <c r="B2316" s="307" t="s">
        <v>10705</v>
      </c>
      <c r="C2316" s="307" t="s">
        <v>5814</v>
      </c>
      <c r="D2316" s="307" t="s">
        <v>10706</v>
      </c>
      <c r="E2316" s="307" t="s">
        <v>3905</v>
      </c>
      <c r="F2316" s="307" t="s">
        <v>3906</v>
      </c>
      <c r="G2316" s="307" t="s">
        <v>3907</v>
      </c>
    </row>
    <row r="2317" spans="1:7" ht="13.5">
      <c r="A2317" s="307" t="s">
        <v>10707</v>
      </c>
      <c r="B2317" s="307" t="s">
        <v>10708</v>
      </c>
      <c r="C2317" s="307" t="s">
        <v>5814</v>
      </c>
      <c r="D2317" s="307" t="s">
        <v>10709</v>
      </c>
      <c r="E2317" s="307" t="s">
        <v>4021</v>
      </c>
      <c r="F2317" s="307" t="s">
        <v>3906</v>
      </c>
      <c r="G2317" s="307" t="s">
        <v>3907</v>
      </c>
    </row>
    <row r="2318" spans="1:7" ht="13.5">
      <c r="A2318" s="307" t="s">
        <v>10710</v>
      </c>
      <c r="B2318" s="307" t="s">
        <v>10711</v>
      </c>
      <c r="C2318" s="307" t="s">
        <v>5814</v>
      </c>
      <c r="D2318" s="307" t="s">
        <v>10712</v>
      </c>
      <c r="E2318" s="307" t="s">
        <v>3905</v>
      </c>
      <c r="F2318" s="307" t="s">
        <v>3906</v>
      </c>
      <c r="G2318" s="307" t="s">
        <v>3907</v>
      </c>
    </row>
    <row r="2319" spans="1:7" ht="13.5">
      <c r="A2319" s="307" t="s">
        <v>10713</v>
      </c>
      <c r="B2319" s="307" t="s">
        <v>10714</v>
      </c>
      <c r="C2319" s="307" t="s">
        <v>5814</v>
      </c>
      <c r="D2319" s="307" t="s">
        <v>10715</v>
      </c>
      <c r="E2319" s="307" t="s">
        <v>3905</v>
      </c>
      <c r="F2319" s="307" t="s">
        <v>3906</v>
      </c>
      <c r="G2319" s="307" t="s">
        <v>3907</v>
      </c>
    </row>
    <row r="2320" spans="1:7" ht="13.5">
      <c r="A2320" s="307" t="s">
        <v>10716</v>
      </c>
      <c r="B2320" s="307" t="s">
        <v>10717</v>
      </c>
      <c r="C2320" s="307" t="s">
        <v>5814</v>
      </c>
      <c r="D2320" s="307" t="s">
        <v>10718</v>
      </c>
      <c r="E2320" s="307" t="s">
        <v>3905</v>
      </c>
      <c r="F2320" s="307" t="s">
        <v>3906</v>
      </c>
      <c r="G2320" s="307" t="s">
        <v>3907</v>
      </c>
    </row>
    <row r="2321" spans="1:7" ht="13.5">
      <c r="A2321" s="307" t="s">
        <v>10719</v>
      </c>
      <c r="B2321" s="307" t="s">
        <v>10720</v>
      </c>
      <c r="C2321" s="307" t="s">
        <v>5814</v>
      </c>
      <c r="D2321" s="307" t="s">
        <v>10721</v>
      </c>
      <c r="E2321" s="307" t="s">
        <v>4021</v>
      </c>
      <c r="F2321" s="307" t="s">
        <v>3906</v>
      </c>
      <c r="G2321" s="307" t="s">
        <v>3907</v>
      </c>
    </row>
    <row r="2322" spans="1:7" ht="13.5">
      <c r="A2322" s="307" t="s">
        <v>10722</v>
      </c>
      <c r="B2322" s="307" t="s">
        <v>10723</v>
      </c>
      <c r="C2322" s="307" t="s">
        <v>5814</v>
      </c>
      <c r="D2322" s="307" t="s">
        <v>10724</v>
      </c>
      <c r="E2322" s="307" t="s">
        <v>3905</v>
      </c>
      <c r="F2322" s="307" t="s">
        <v>3906</v>
      </c>
      <c r="G2322" s="307" t="s">
        <v>3907</v>
      </c>
    </row>
    <row r="2323" spans="1:7" ht="13.5">
      <c r="A2323" s="307" t="s">
        <v>10725</v>
      </c>
      <c r="B2323" s="307" t="s">
        <v>10726</v>
      </c>
      <c r="C2323" s="307" t="s">
        <v>5814</v>
      </c>
      <c r="D2323" s="307" t="s">
        <v>10727</v>
      </c>
      <c r="E2323" s="307" t="s">
        <v>3905</v>
      </c>
      <c r="F2323" s="307" t="s">
        <v>3906</v>
      </c>
      <c r="G2323" s="307" t="s">
        <v>3907</v>
      </c>
    </row>
    <row r="2324" spans="1:7" ht="13.5">
      <c r="A2324" s="307" t="s">
        <v>10728</v>
      </c>
      <c r="B2324" s="307" t="s">
        <v>10729</v>
      </c>
      <c r="C2324" s="307" t="s">
        <v>5814</v>
      </c>
      <c r="D2324" s="307" t="s">
        <v>10730</v>
      </c>
      <c r="E2324" s="307" t="s">
        <v>3905</v>
      </c>
      <c r="F2324" s="307" t="s">
        <v>3906</v>
      </c>
      <c r="G2324" s="307" t="s">
        <v>3907</v>
      </c>
    </row>
    <row r="2325" spans="1:7" ht="13.5">
      <c r="A2325" s="307" t="s">
        <v>10731</v>
      </c>
      <c r="B2325" s="307" t="s">
        <v>10732</v>
      </c>
      <c r="C2325" s="307" t="s">
        <v>5814</v>
      </c>
      <c r="D2325" s="307" t="s">
        <v>10733</v>
      </c>
      <c r="E2325" s="307" t="s">
        <v>3905</v>
      </c>
      <c r="F2325" s="307" t="s">
        <v>3906</v>
      </c>
      <c r="G2325" s="307" t="s">
        <v>3907</v>
      </c>
    </row>
    <row r="2326" spans="1:7" ht="13.5">
      <c r="A2326" s="307" t="s">
        <v>10734</v>
      </c>
      <c r="B2326" s="307" t="s">
        <v>10735</v>
      </c>
      <c r="C2326" s="307" t="s">
        <v>5814</v>
      </c>
      <c r="D2326" s="307" t="s">
        <v>10736</v>
      </c>
      <c r="E2326" s="307" t="s">
        <v>3905</v>
      </c>
      <c r="F2326" s="307" t="s">
        <v>3906</v>
      </c>
      <c r="G2326" s="307" t="s">
        <v>3907</v>
      </c>
    </row>
    <row r="2327" spans="1:7" ht="13.5">
      <c r="A2327" s="307" t="s">
        <v>10737</v>
      </c>
      <c r="B2327" s="307" t="s">
        <v>10738</v>
      </c>
      <c r="C2327" s="307" t="s">
        <v>5814</v>
      </c>
      <c r="D2327" s="307" t="s">
        <v>10739</v>
      </c>
      <c r="E2327" s="307" t="s">
        <v>3905</v>
      </c>
      <c r="F2327" s="307" t="s">
        <v>3906</v>
      </c>
      <c r="G2327" s="307" t="s">
        <v>3907</v>
      </c>
    </row>
    <row r="2328" spans="1:7" ht="13.5">
      <c r="A2328" s="307" t="s">
        <v>10740</v>
      </c>
      <c r="B2328" s="307" t="s">
        <v>10741</v>
      </c>
      <c r="C2328" s="307" t="s">
        <v>5814</v>
      </c>
      <c r="D2328" s="307" t="s">
        <v>10742</v>
      </c>
      <c r="E2328" s="307" t="s">
        <v>3905</v>
      </c>
      <c r="F2328" s="307" t="s">
        <v>3906</v>
      </c>
      <c r="G2328" s="307" t="s">
        <v>3907</v>
      </c>
    </row>
    <row r="2329" spans="1:7" ht="13.5">
      <c r="A2329" s="307" t="s">
        <v>10743</v>
      </c>
      <c r="B2329" s="307" t="s">
        <v>10744</v>
      </c>
      <c r="C2329" s="307" t="s">
        <v>5814</v>
      </c>
      <c r="D2329" s="307" t="s">
        <v>10745</v>
      </c>
      <c r="E2329" s="307" t="s">
        <v>3905</v>
      </c>
      <c r="F2329" s="307" t="s">
        <v>3906</v>
      </c>
      <c r="G2329" s="307" t="s">
        <v>3907</v>
      </c>
    </row>
    <row r="2330" spans="1:7" ht="13.5">
      <c r="A2330" s="307" t="s">
        <v>10746</v>
      </c>
      <c r="B2330" s="307" t="s">
        <v>10747</v>
      </c>
      <c r="C2330" s="307" t="s">
        <v>5814</v>
      </c>
      <c r="D2330" s="307" t="s">
        <v>10748</v>
      </c>
      <c r="E2330" s="307" t="s">
        <v>3905</v>
      </c>
      <c r="F2330" s="307" t="s">
        <v>3906</v>
      </c>
      <c r="G2330" s="307" t="s">
        <v>3907</v>
      </c>
    </row>
    <row r="2331" spans="1:7" ht="13.5">
      <c r="A2331" s="307" t="s">
        <v>10749</v>
      </c>
      <c r="B2331" s="307" t="s">
        <v>10750</v>
      </c>
      <c r="C2331" s="307" t="s">
        <v>5814</v>
      </c>
      <c r="D2331" s="307" t="s">
        <v>10751</v>
      </c>
      <c r="E2331" s="307" t="s">
        <v>3905</v>
      </c>
      <c r="F2331" s="307" t="s">
        <v>3906</v>
      </c>
      <c r="G2331" s="307" t="s">
        <v>3907</v>
      </c>
    </row>
    <row r="2332" spans="1:7" ht="13.5">
      <c r="A2332" s="307" t="s">
        <v>10752</v>
      </c>
      <c r="B2332" s="307" t="s">
        <v>10753</v>
      </c>
      <c r="C2332" s="307" t="s">
        <v>5814</v>
      </c>
      <c r="D2332" s="307" t="s">
        <v>10754</v>
      </c>
      <c r="E2332" s="307" t="s">
        <v>3905</v>
      </c>
      <c r="F2332" s="307" t="s">
        <v>3906</v>
      </c>
      <c r="G2332" s="307" t="s">
        <v>3907</v>
      </c>
    </row>
    <row r="2333" spans="1:7" ht="13.5">
      <c r="A2333" s="307" t="s">
        <v>10755</v>
      </c>
      <c r="B2333" s="307" t="s">
        <v>10756</v>
      </c>
      <c r="C2333" s="307" t="s">
        <v>5814</v>
      </c>
      <c r="D2333" s="307" t="s">
        <v>10757</v>
      </c>
      <c r="E2333" s="307" t="s">
        <v>3905</v>
      </c>
      <c r="F2333" s="307" t="s">
        <v>3906</v>
      </c>
      <c r="G2333" s="307" t="s">
        <v>3907</v>
      </c>
    </row>
    <row r="2334" spans="1:7" ht="13.5">
      <c r="A2334" s="307" t="s">
        <v>10758</v>
      </c>
      <c r="B2334" s="307" t="s">
        <v>10759</v>
      </c>
      <c r="C2334" s="307" t="s">
        <v>5814</v>
      </c>
      <c r="D2334" s="307" t="s">
        <v>10760</v>
      </c>
      <c r="E2334" s="307" t="s">
        <v>3905</v>
      </c>
      <c r="F2334" s="307" t="s">
        <v>3906</v>
      </c>
      <c r="G2334" s="307" t="s">
        <v>3907</v>
      </c>
    </row>
    <row r="2335" spans="1:7" ht="13.5">
      <c r="A2335" s="307" t="s">
        <v>10761</v>
      </c>
      <c r="B2335" s="307" t="s">
        <v>10762</v>
      </c>
      <c r="C2335" s="307" t="s">
        <v>5814</v>
      </c>
      <c r="D2335" s="307" t="s">
        <v>10763</v>
      </c>
      <c r="E2335" s="307" t="s">
        <v>3905</v>
      </c>
      <c r="F2335" s="307" t="s">
        <v>3906</v>
      </c>
      <c r="G2335" s="307" t="s">
        <v>3907</v>
      </c>
    </row>
    <row r="2336" spans="1:7" ht="13.5">
      <c r="A2336" s="307" t="s">
        <v>10764</v>
      </c>
      <c r="B2336" s="307" t="s">
        <v>10765</v>
      </c>
      <c r="C2336" s="307" t="s">
        <v>5814</v>
      </c>
      <c r="D2336" s="307" t="s">
        <v>10766</v>
      </c>
      <c r="E2336" s="307" t="s">
        <v>3905</v>
      </c>
      <c r="F2336" s="307" t="s">
        <v>3906</v>
      </c>
      <c r="G2336" s="307" t="s">
        <v>3907</v>
      </c>
    </row>
    <row r="2337" spans="1:7" ht="13.5">
      <c r="A2337" s="307" t="s">
        <v>10767</v>
      </c>
      <c r="B2337" s="307" t="s">
        <v>10768</v>
      </c>
      <c r="C2337" s="307" t="s">
        <v>5814</v>
      </c>
      <c r="D2337" s="307" t="s">
        <v>10769</v>
      </c>
      <c r="E2337" s="307" t="s">
        <v>3905</v>
      </c>
      <c r="F2337" s="307" t="s">
        <v>3906</v>
      </c>
      <c r="G2337" s="307" t="s">
        <v>3907</v>
      </c>
    </row>
    <row r="2338" spans="1:7" ht="13.5">
      <c r="A2338" s="307" t="s">
        <v>10770</v>
      </c>
      <c r="B2338" s="307" t="s">
        <v>10771</v>
      </c>
      <c r="C2338" s="307" t="s">
        <v>5814</v>
      </c>
      <c r="D2338" s="307" t="s">
        <v>10772</v>
      </c>
      <c r="E2338" s="307" t="s">
        <v>3905</v>
      </c>
      <c r="F2338" s="307" t="s">
        <v>3906</v>
      </c>
      <c r="G2338" s="307" t="s">
        <v>3907</v>
      </c>
    </row>
    <row r="2339" spans="1:7" ht="13.5">
      <c r="A2339" s="307" t="s">
        <v>10773</v>
      </c>
      <c r="B2339" s="307" t="s">
        <v>10774</v>
      </c>
      <c r="C2339" s="307" t="s">
        <v>5814</v>
      </c>
      <c r="D2339" s="307" t="s">
        <v>10775</v>
      </c>
      <c r="E2339" s="307" t="s">
        <v>3905</v>
      </c>
      <c r="F2339" s="307" t="s">
        <v>3906</v>
      </c>
      <c r="G2339" s="307" t="s">
        <v>3907</v>
      </c>
    </row>
    <row r="2340" spans="1:7" ht="13.5">
      <c r="A2340" s="307" t="s">
        <v>10776</v>
      </c>
      <c r="B2340" s="307" t="s">
        <v>10777</v>
      </c>
      <c r="C2340" s="307" t="s">
        <v>5814</v>
      </c>
      <c r="D2340" s="307" t="s">
        <v>10778</v>
      </c>
      <c r="E2340" s="307" t="s">
        <v>3905</v>
      </c>
      <c r="F2340" s="307" t="s">
        <v>3906</v>
      </c>
      <c r="G2340" s="307" t="s">
        <v>3907</v>
      </c>
    </row>
    <row r="2341" spans="1:7" ht="13.5">
      <c r="A2341" s="307" t="s">
        <v>10779</v>
      </c>
      <c r="B2341" s="307" t="s">
        <v>10780</v>
      </c>
      <c r="C2341" s="307" t="s">
        <v>5814</v>
      </c>
      <c r="D2341" s="307" t="s">
        <v>10781</v>
      </c>
      <c r="E2341" s="307" t="s">
        <v>3905</v>
      </c>
      <c r="F2341" s="307" t="s">
        <v>3906</v>
      </c>
      <c r="G2341" s="307" t="s">
        <v>3907</v>
      </c>
    </row>
    <row r="2342" spans="1:7" ht="13.5">
      <c r="A2342" s="307" t="s">
        <v>10782</v>
      </c>
      <c r="B2342" s="307" t="s">
        <v>10783</v>
      </c>
      <c r="C2342" s="307" t="s">
        <v>5814</v>
      </c>
      <c r="D2342" s="307" t="s">
        <v>10784</v>
      </c>
      <c r="E2342" s="307" t="s">
        <v>4021</v>
      </c>
      <c r="F2342" s="307" t="s">
        <v>3906</v>
      </c>
      <c r="G2342" s="307" t="s">
        <v>3907</v>
      </c>
    </row>
    <row r="2343" spans="1:7" ht="13.5">
      <c r="A2343" s="307" t="s">
        <v>10785</v>
      </c>
      <c r="B2343" s="307" t="s">
        <v>10786</v>
      </c>
      <c r="C2343" s="307" t="s">
        <v>5814</v>
      </c>
      <c r="D2343" s="307" t="s">
        <v>10787</v>
      </c>
      <c r="E2343" s="307" t="s">
        <v>3905</v>
      </c>
      <c r="F2343" s="307" t="s">
        <v>3906</v>
      </c>
      <c r="G2343" s="307" t="s">
        <v>3907</v>
      </c>
    </row>
    <row r="2344" spans="1:7" ht="13.5">
      <c r="A2344" s="307" t="s">
        <v>10788</v>
      </c>
      <c r="B2344" s="307" t="s">
        <v>10789</v>
      </c>
      <c r="C2344" s="307" t="s">
        <v>5814</v>
      </c>
      <c r="D2344" s="307" t="s">
        <v>10790</v>
      </c>
      <c r="E2344" s="307" t="s">
        <v>4021</v>
      </c>
      <c r="F2344" s="307" t="s">
        <v>3906</v>
      </c>
      <c r="G2344" s="307" t="s">
        <v>3907</v>
      </c>
    </row>
    <row r="2345" spans="1:7" ht="13.5">
      <c r="A2345" s="307" t="s">
        <v>10791</v>
      </c>
      <c r="B2345" s="307" t="s">
        <v>10792</v>
      </c>
      <c r="C2345" s="307" t="s">
        <v>5814</v>
      </c>
      <c r="D2345" s="307" t="s">
        <v>10793</v>
      </c>
      <c r="E2345" s="307" t="s">
        <v>4021</v>
      </c>
      <c r="F2345" s="307" t="s">
        <v>3906</v>
      </c>
      <c r="G2345" s="307" t="s">
        <v>3907</v>
      </c>
    </row>
    <row r="2346" spans="1:7" ht="13.5">
      <c r="A2346" s="307" t="s">
        <v>10794</v>
      </c>
      <c r="B2346" s="307" t="s">
        <v>10795</v>
      </c>
      <c r="C2346" s="307" t="s">
        <v>5814</v>
      </c>
      <c r="D2346" s="307" t="s">
        <v>10796</v>
      </c>
      <c r="E2346" s="307" t="s">
        <v>3905</v>
      </c>
      <c r="F2346" s="307" t="s">
        <v>3906</v>
      </c>
      <c r="G2346" s="307" t="s">
        <v>3907</v>
      </c>
    </row>
    <row r="2347" spans="1:7" ht="13.5">
      <c r="A2347" s="307" t="s">
        <v>10797</v>
      </c>
      <c r="B2347" s="307" t="s">
        <v>10798</v>
      </c>
      <c r="C2347" s="307" t="s">
        <v>5814</v>
      </c>
      <c r="D2347" s="307" t="s">
        <v>10799</v>
      </c>
      <c r="E2347" s="307" t="s">
        <v>3905</v>
      </c>
      <c r="F2347" s="307" t="s">
        <v>3906</v>
      </c>
      <c r="G2347" s="307" t="s">
        <v>3907</v>
      </c>
    </row>
    <row r="2348" spans="1:7" ht="13.5">
      <c r="A2348" s="307" t="s">
        <v>10800</v>
      </c>
      <c r="B2348" s="307" t="s">
        <v>10801</v>
      </c>
      <c r="C2348" s="307" t="s">
        <v>5814</v>
      </c>
      <c r="D2348" s="307" t="s">
        <v>10802</v>
      </c>
      <c r="E2348" s="307" t="s">
        <v>3905</v>
      </c>
      <c r="F2348" s="307" t="s">
        <v>3906</v>
      </c>
      <c r="G2348" s="307" t="s">
        <v>3907</v>
      </c>
    </row>
    <row r="2349" spans="1:7" ht="13.5">
      <c r="A2349" s="307" t="s">
        <v>10803</v>
      </c>
      <c r="B2349" s="307" t="s">
        <v>10804</v>
      </c>
      <c r="C2349" s="307" t="s">
        <v>5814</v>
      </c>
      <c r="D2349" s="307" t="s">
        <v>10805</v>
      </c>
      <c r="E2349" s="307" t="s">
        <v>3905</v>
      </c>
      <c r="F2349" s="307" t="s">
        <v>3906</v>
      </c>
      <c r="G2349" s="307" t="s">
        <v>3907</v>
      </c>
    </row>
    <row r="2350" spans="1:7" ht="13.5">
      <c r="A2350" s="307" t="s">
        <v>10806</v>
      </c>
      <c r="B2350" s="307" t="s">
        <v>10807</v>
      </c>
      <c r="C2350" s="307" t="s">
        <v>5814</v>
      </c>
      <c r="D2350" s="307" t="s">
        <v>10808</v>
      </c>
      <c r="E2350" s="307" t="s">
        <v>3905</v>
      </c>
      <c r="F2350" s="307" t="s">
        <v>3906</v>
      </c>
      <c r="G2350" s="307" t="s">
        <v>3907</v>
      </c>
    </row>
    <row r="2351" spans="1:7" ht="13.5">
      <c r="A2351" s="307" t="s">
        <v>10809</v>
      </c>
      <c r="B2351" s="307" t="s">
        <v>10810</v>
      </c>
      <c r="C2351" s="307" t="s">
        <v>5814</v>
      </c>
      <c r="D2351" s="307" t="s">
        <v>10811</v>
      </c>
      <c r="E2351" s="307" t="s">
        <v>3905</v>
      </c>
      <c r="F2351" s="307" t="s">
        <v>3906</v>
      </c>
      <c r="G2351" s="307" t="s">
        <v>3907</v>
      </c>
    </row>
    <row r="2352" spans="1:7" ht="13.5">
      <c r="A2352" s="307" t="s">
        <v>10812</v>
      </c>
      <c r="B2352" s="307" t="s">
        <v>10813</v>
      </c>
      <c r="C2352" s="307" t="s">
        <v>5814</v>
      </c>
      <c r="D2352" s="307" t="s">
        <v>10814</v>
      </c>
      <c r="E2352" s="307" t="s">
        <v>3905</v>
      </c>
      <c r="F2352" s="307" t="s">
        <v>3906</v>
      </c>
      <c r="G2352" s="307" t="s">
        <v>3907</v>
      </c>
    </row>
    <row r="2353" spans="1:7" ht="13.5">
      <c r="A2353" s="307" t="s">
        <v>10815</v>
      </c>
      <c r="B2353" s="307" t="s">
        <v>10816</v>
      </c>
      <c r="C2353" s="307" t="s">
        <v>5814</v>
      </c>
      <c r="D2353" s="307" t="s">
        <v>10817</v>
      </c>
      <c r="E2353" s="307" t="s">
        <v>3905</v>
      </c>
      <c r="F2353" s="307" t="s">
        <v>3906</v>
      </c>
      <c r="G2353" s="307" t="s">
        <v>3907</v>
      </c>
    </row>
    <row r="2354" spans="1:7" ht="13.5">
      <c r="A2354" s="307" t="s">
        <v>10818</v>
      </c>
      <c r="B2354" s="307" t="s">
        <v>10819</v>
      </c>
      <c r="C2354" s="307" t="s">
        <v>5814</v>
      </c>
      <c r="D2354" s="307" t="s">
        <v>10820</v>
      </c>
      <c r="E2354" s="307" t="s">
        <v>3905</v>
      </c>
      <c r="F2354" s="307" t="s">
        <v>3906</v>
      </c>
      <c r="G2354" s="307" t="s">
        <v>3907</v>
      </c>
    </row>
    <row r="2355" spans="1:7" ht="13.5">
      <c r="A2355" s="307" t="s">
        <v>10821</v>
      </c>
      <c r="B2355" s="307" t="s">
        <v>10822</v>
      </c>
      <c r="C2355" s="307" t="s">
        <v>5814</v>
      </c>
      <c r="D2355" s="307" t="s">
        <v>10823</v>
      </c>
      <c r="E2355" s="307" t="s">
        <v>3905</v>
      </c>
      <c r="F2355" s="307" t="s">
        <v>3906</v>
      </c>
      <c r="G2355" s="307" t="s">
        <v>3907</v>
      </c>
    </row>
    <row r="2356" spans="1:7" ht="13.5">
      <c r="A2356" s="307" t="s">
        <v>10824</v>
      </c>
      <c r="B2356" s="307" t="s">
        <v>10825</v>
      </c>
      <c r="C2356" s="307" t="s">
        <v>5814</v>
      </c>
      <c r="D2356" s="307" t="s">
        <v>10826</v>
      </c>
      <c r="E2356" s="307" t="s">
        <v>3905</v>
      </c>
      <c r="F2356" s="307" t="s">
        <v>3906</v>
      </c>
      <c r="G2356" s="307" t="s">
        <v>3907</v>
      </c>
    </row>
    <row r="2357" spans="1:7" ht="13.5">
      <c r="A2357" s="307" t="s">
        <v>10827</v>
      </c>
      <c r="B2357" s="307" t="s">
        <v>10828</v>
      </c>
      <c r="C2357" s="307" t="s">
        <v>5814</v>
      </c>
      <c r="D2357" s="307" t="s">
        <v>10829</v>
      </c>
      <c r="E2357" s="307" t="s">
        <v>3905</v>
      </c>
      <c r="F2357" s="307" t="s">
        <v>3906</v>
      </c>
      <c r="G2357" s="307" t="s">
        <v>3907</v>
      </c>
    </row>
    <row r="2358" spans="1:7" ht="13.5">
      <c r="A2358" s="307" t="s">
        <v>10830</v>
      </c>
      <c r="B2358" s="307" t="s">
        <v>10831</v>
      </c>
      <c r="C2358" s="307" t="s">
        <v>5814</v>
      </c>
      <c r="D2358" s="307" t="s">
        <v>10832</v>
      </c>
      <c r="E2358" s="307" t="s">
        <v>3905</v>
      </c>
      <c r="F2358" s="307" t="s">
        <v>3906</v>
      </c>
      <c r="G2358" s="307" t="s">
        <v>3907</v>
      </c>
    </row>
    <row r="2359" spans="1:7" ht="13.5">
      <c r="A2359" s="307" t="s">
        <v>10833</v>
      </c>
      <c r="B2359" s="307" t="s">
        <v>10834</v>
      </c>
      <c r="C2359" s="307" t="s">
        <v>5814</v>
      </c>
      <c r="D2359" s="307" t="s">
        <v>10835</v>
      </c>
      <c r="E2359" s="307" t="s">
        <v>3905</v>
      </c>
      <c r="F2359" s="307" t="s">
        <v>3906</v>
      </c>
      <c r="G2359" s="307" t="s">
        <v>3907</v>
      </c>
    </row>
    <row r="2360" spans="1:7" ht="13.5">
      <c r="A2360" s="307" t="s">
        <v>10836</v>
      </c>
      <c r="B2360" s="307" t="s">
        <v>10837</v>
      </c>
      <c r="C2360" s="307" t="s">
        <v>5814</v>
      </c>
      <c r="D2360" s="307" t="s">
        <v>10838</v>
      </c>
      <c r="E2360" s="307" t="s">
        <v>3905</v>
      </c>
      <c r="F2360" s="307" t="s">
        <v>3906</v>
      </c>
      <c r="G2360" s="307" t="s">
        <v>3907</v>
      </c>
    </row>
    <row r="2361" spans="1:7" ht="13.5">
      <c r="A2361" s="307" t="s">
        <v>10839</v>
      </c>
      <c r="B2361" s="307" t="s">
        <v>10840</v>
      </c>
      <c r="C2361" s="307" t="s">
        <v>5814</v>
      </c>
      <c r="D2361" s="307" t="s">
        <v>10841</v>
      </c>
      <c r="E2361" s="307" t="s">
        <v>3905</v>
      </c>
      <c r="F2361" s="307" t="s">
        <v>3906</v>
      </c>
      <c r="G2361" s="307" t="s">
        <v>3907</v>
      </c>
    </row>
    <row r="2362" spans="1:7" ht="13.5">
      <c r="A2362" s="307" t="s">
        <v>10842</v>
      </c>
      <c r="B2362" s="307" t="s">
        <v>10843</v>
      </c>
      <c r="C2362" s="307" t="s">
        <v>5814</v>
      </c>
      <c r="D2362" s="307" t="s">
        <v>10844</v>
      </c>
      <c r="E2362" s="307" t="s">
        <v>3905</v>
      </c>
      <c r="F2362" s="307" t="s">
        <v>3906</v>
      </c>
      <c r="G2362" s="307" t="s">
        <v>3907</v>
      </c>
    </row>
    <row r="2363" spans="1:7" ht="13.5">
      <c r="A2363" s="307" t="s">
        <v>10845</v>
      </c>
      <c r="B2363" s="307" t="s">
        <v>10846</v>
      </c>
      <c r="C2363" s="307" t="s">
        <v>5814</v>
      </c>
      <c r="D2363" s="307" t="s">
        <v>10847</v>
      </c>
      <c r="E2363" s="307" t="s">
        <v>3905</v>
      </c>
      <c r="F2363" s="307" t="s">
        <v>3906</v>
      </c>
      <c r="G2363" s="307" t="s">
        <v>3907</v>
      </c>
    </row>
    <row r="2364" spans="1:7" ht="13.5">
      <c r="A2364" s="307" t="s">
        <v>10848</v>
      </c>
      <c r="B2364" s="307" t="s">
        <v>10849</v>
      </c>
      <c r="C2364" s="307" t="s">
        <v>5814</v>
      </c>
      <c r="D2364" s="307" t="s">
        <v>10850</v>
      </c>
      <c r="E2364" s="307" t="s">
        <v>3905</v>
      </c>
      <c r="F2364" s="307" t="s">
        <v>3906</v>
      </c>
      <c r="G2364" s="307" t="s">
        <v>3907</v>
      </c>
    </row>
    <row r="2365" spans="1:7" ht="13.5">
      <c r="A2365" s="307" t="s">
        <v>10851</v>
      </c>
      <c r="B2365" s="307" t="s">
        <v>10852</v>
      </c>
      <c r="C2365" s="307" t="s">
        <v>5814</v>
      </c>
      <c r="D2365" s="307" t="s">
        <v>10853</v>
      </c>
      <c r="E2365" s="307" t="s">
        <v>3905</v>
      </c>
      <c r="F2365" s="307" t="s">
        <v>3906</v>
      </c>
      <c r="G2365" s="307" t="s">
        <v>3907</v>
      </c>
    </row>
    <row r="2366" spans="1:7" ht="13.5">
      <c r="A2366" s="307" t="s">
        <v>10854</v>
      </c>
      <c r="B2366" s="307" t="s">
        <v>10855</v>
      </c>
      <c r="C2366" s="307" t="s">
        <v>5814</v>
      </c>
      <c r="D2366" s="307" t="s">
        <v>10856</v>
      </c>
      <c r="E2366" s="307" t="s">
        <v>3905</v>
      </c>
      <c r="F2366" s="307" t="s">
        <v>3906</v>
      </c>
      <c r="G2366" s="307" t="s">
        <v>3907</v>
      </c>
    </row>
    <row r="2367" spans="1:7" ht="13.5">
      <c r="A2367" s="307" t="s">
        <v>10857</v>
      </c>
      <c r="B2367" s="307" t="s">
        <v>10858</v>
      </c>
      <c r="C2367" s="307" t="s">
        <v>5814</v>
      </c>
      <c r="D2367" s="307" t="s">
        <v>10859</v>
      </c>
      <c r="E2367" s="307" t="s">
        <v>3905</v>
      </c>
      <c r="F2367" s="307" t="s">
        <v>3906</v>
      </c>
      <c r="G2367" s="307" t="s">
        <v>3907</v>
      </c>
    </row>
    <row r="2368" spans="1:7" ht="13.5">
      <c r="A2368" s="307" t="s">
        <v>10860</v>
      </c>
      <c r="B2368" s="307" t="s">
        <v>10861</v>
      </c>
      <c r="C2368" s="307" t="s">
        <v>5814</v>
      </c>
      <c r="D2368" s="307" t="s">
        <v>10862</v>
      </c>
      <c r="E2368" s="307" t="s">
        <v>3905</v>
      </c>
      <c r="F2368" s="307" t="s">
        <v>3906</v>
      </c>
      <c r="G2368" s="307" t="s">
        <v>3907</v>
      </c>
    </row>
    <row r="2369" spans="1:7" ht="13.5">
      <c r="A2369" s="307" t="s">
        <v>10863</v>
      </c>
      <c r="B2369" s="307" t="s">
        <v>10864</v>
      </c>
      <c r="C2369" s="307" t="s">
        <v>5814</v>
      </c>
      <c r="D2369" s="307" t="s">
        <v>10865</v>
      </c>
      <c r="E2369" s="307" t="s">
        <v>3905</v>
      </c>
      <c r="F2369" s="307" t="s">
        <v>3906</v>
      </c>
      <c r="G2369" s="307" t="s">
        <v>3907</v>
      </c>
    </row>
    <row r="2370" spans="1:7" ht="13.5">
      <c r="A2370" s="307" t="s">
        <v>10866</v>
      </c>
      <c r="B2370" s="307" t="s">
        <v>10867</v>
      </c>
      <c r="C2370" s="307" t="s">
        <v>5814</v>
      </c>
      <c r="D2370" s="307" t="s">
        <v>2614</v>
      </c>
      <c r="E2370" s="307" t="s">
        <v>3905</v>
      </c>
      <c r="F2370" s="307" t="s">
        <v>3906</v>
      </c>
      <c r="G2370" s="307" t="s">
        <v>3907</v>
      </c>
    </row>
    <row r="2371" spans="1:7" ht="13.5">
      <c r="A2371" s="307" t="s">
        <v>10868</v>
      </c>
      <c r="B2371" s="307" t="s">
        <v>10869</v>
      </c>
      <c r="C2371" s="307" t="s">
        <v>5814</v>
      </c>
      <c r="D2371" s="307" t="s">
        <v>2731</v>
      </c>
      <c r="E2371" s="307" t="s">
        <v>3905</v>
      </c>
      <c r="F2371" s="307" t="s">
        <v>3906</v>
      </c>
      <c r="G2371" s="307" t="s">
        <v>3907</v>
      </c>
    </row>
    <row r="2372" spans="1:7" ht="13.5">
      <c r="A2372" s="307" t="s">
        <v>10870</v>
      </c>
      <c r="B2372" s="307" t="s">
        <v>10871</v>
      </c>
      <c r="C2372" s="307" t="s">
        <v>5814</v>
      </c>
      <c r="D2372" s="307" t="s">
        <v>10872</v>
      </c>
      <c r="E2372" s="307" t="s">
        <v>3905</v>
      </c>
      <c r="F2372" s="307" t="s">
        <v>3906</v>
      </c>
      <c r="G2372" s="307" t="s">
        <v>3907</v>
      </c>
    </row>
    <row r="2373" spans="1:7" ht="13.5">
      <c r="A2373" s="307" t="s">
        <v>10873</v>
      </c>
      <c r="B2373" s="307" t="s">
        <v>10874</v>
      </c>
      <c r="C2373" s="307" t="s">
        <v>5814</v>
      </c>
      <c r="D2373" s="307" t="s">
        <v>10875</v>
      </c>
      <c r="E2373" s="307" t="s">
        <v>3905</v>
      </c>
      <c r="F2373" s="307" t="s">
        <v>3906</v>
      </c>
      <c r="G2373" s="307" t="s">
        <v>3907</v>
      </c>
    </row>
    <row r="2374" spans="1:7" ht="13.5">
      <c r="A2374" s="307" t="s">
        <v>10876</v>
      </c>
      <c r="B2374" s="307" t="s">
        <v>10877</v>
      </c>
      <c r="C2374" s="307" t="s">
        <v>5814</v>
      </c>
      <c r="D2374" s="307" t="s">
        <v>10878</v>
      </c>
      <c r="E2374" s="307" t="s">
        <v>3905</v>
      </c>
      <c r="F2374" s="307" t="s">
        <v>3906</v>
      </c>
      <c r="G2374" s="307" t="s">
        <v>3907</v>
      </c>
    </row>
    <row r="2375" spans="1:7" ht="13.5">
      <c r="A2375" s="307" t="s">
        <v>10879</v>
      </c>
      <c r="B2375" s="307" t="s">
        <v>10880</v>
      </c>
      <c r="C2375" s="307" t="s">
        <v>5814</v>
      </c>
      <c r="D2375" s="307" t="s">
        <v>10881</v>
      </c>
      <c r="E2375" s="307" t="s">
        <v>3905</v>
      </c>
      <c r="F2375" s="307" t="s">
        <v>3906</v>
      </c>
      <c r="G2375" s="307" t="s">
        <v>3907</v>
      </c>
    </row>
    <row r="2376" spans="1:7" ht="13.5">
      <c r="A2376" s="307" t="s">
        <v>10882</v>
      </c>
      <c r="B2376" s="307" t="s">
        <v>10883</v>
      </c>
      <c r="C2376" s="307" t="s">
        <v>5814</v>
      </c>
      <c r="D2376" s="307" t="s">
        <v>10884</v>
      </c>
      <c r="E2376" s="307" t="s">
        <v>3905</v>
      </c>
      <c r="F2376" s="307" t="s">
        <v>3906</v>
      </c>
      <c r="G2376" s="307" t="s">
        <v>3907</v>
      </c>
    </row>
    <row r="2377" spans="1:7" ht="13.5">
      <c r="A2377" s="307" t="s">
        <v>10885</v>
      </c>
      <c r="B2377" s="307" t="s">
        <v>10886</v>
      </c>
      <c r="C2377" s="307" t="s">
        <v>5814</v>
      </c>
      <c r="D2377" s="307" t="s">
        <v>10887</v>
      </c>
      <c r="E2377" s="307" t="s">
        <v>3905</v>
      </c>
      <c r="F2377" s="307" t="s">
        <v>3906</v>
      </c>
      <c r="G2377" s="307" t="s">
        <v>3907</v>
      </c>
    </row>
    <row r="2378" spans="1:7" ht="13.5">
      <c r="A2378" s="307" t="s">
        <v>10888</v>
      </c>
      <c r="B2378" s="307" t="s">
        <v>10889</v>
      </c>
      <c r="C2378" s="307" t="s">
        <v>5814</v>
      </c>
      <c r="D2378" s="307" t="s">
        <v>10890</v>
      </c>
      <c r="E2378" s="307" t="s">
        <v>3905</v>
      </c>
      <c r="F2378" s="307" t="s">
        <v>3906</v>
      </c>
      <c r="G2378" s="307" t="s">
        <v>3907</v>
      </c>
    </row>
    <row r="2379" spans="1:7" ht="13.5">
      <c r="A2379" s="307" t="s">
        <v>10891</v>
      </c>
      <c r="B2379" s="307" t="s">
        <v>10892</v>
      </c>
      <c r="C2379" s="307" t="s">
        <v>5814</v>
      </c>
      <c r="D2379" s="307" t="s">
        <v>10893</v>
      </c>
      <c r="E2379" s="307" t="s">
        <v>3905</v>
      </c>
      <c r="F2379" s="307" t="s">
        <v>3906</v>
      </c>
      <c r="G2379" s="307" t="s">
        <v>3907</v>
      </c>
    </row>
    <row r="2380" spans="1:7" ht="13.5">
      <c r="A2380" s="307" t="s">
        <v>10894</v>
      </c>
      <c r="B2380" s="307" t="s">
        <v>10895</v>
      </c>
      <c r="C2380" s="307" t="s">
        <v>5814</v>
      </c>
      <c r="D2380" s="307" t="s">
        <v>10896</v>
      </c>
      <c r="E2380" s="307" t="s">
        <v>3905</v>
      </c>
      <c r="F2380" s="307" t="s">
        <v>3906</v>
      </c>
      <c r="G2380" s="307" t="s">
        <v>3907</v>
      </c>
    </row>
    <row r="2381" spans="1:7" ht="13.5">
      <c r="A2381" s="307" t="s">
        <v>10897</v>
      </c>
      <c r="B2381" s="307" t="s">
        <v>10898</v>
      </c>
      <c r="C2381" s="307" t="s">
        <v>5814</v>
      </c>
      <c r="D2381" s="307" t="s">
        <v>10899</v>
      </c>
      <c r="E2381" s="307" t="s">
        <v>3905</v>
      </c>
      <c r="F2381" s="307" t="s">
        <v>3906</v>
      </c>
      <c r="G2381" s="307" t="s">
        <v>3907</v>
      </c>
    </row>
    <row r="2382" spans="1:7" ht="13.5">
      <c r="A2382" s="307" t="s">
        <v>10900</v>
      </c>
      <c r="B2382" s="307" t="s">
        <v>10901</v>
      </c>
      <c r="C2382" s="307" t="s">
        <v>5814</v>
      </c>
      <c r="D2382" s="307" t="s">
        <v>10902</v>
      </c>
      <c r="E2382" s="307" t="s">
        <v>3905</v>
      </c>
      <c r="F2382" s="307" t="s">
        <v>3906</v>
      </c>
      <c r="G2382" s="307" t="s">
        <v>3907</v>
      </c>
    </row>
    <row r="2383" spans="1:7" ht="13.5">
      <c r="A2383" s="307" t="s">
        <v>10903</v>
      </c>
      <c r="B2383" s="307" t="s">
        <v>10904</v>
      </c>
      <c r="C2383" s="307" t="s">
        <v>5814</v>
      </c>
      <c r="D2383" s="307" t="s">
        <v>10905</v>
      </c>
      <c r="E2383" s="307" t="s">
        <v>3905</v>
      </c>
      <c r="F2383" s="307" t="s">
        <v>3906</v>
      </c>
      <c r="G2383" s="307" t="s">
        <v>3907</v>
      </c>
    </row>
    <row r="2384" spans="1:7" ht="13.5">
      <c r="A2384" s="307" t="s">
        <v>10906</v>
      </c>
      <c r="B2384" s="307" t="s">
        <v>10907</v>
      </c>
      <c r="C2384" s="307" t="s">
        <v>5814</v>
      </c>
      <c r="D2384" s="307" t="s">
        <v>10908</v>
      </c>
      <c r="E2384" s="307" t="s">
        <v>4021</v>
      </c>
      <c r="F2384" s="307" t="s">
        <v>3906</v>
      </c>
      <c r="G2384" s="307" t="s">
        <v>3907</v>
      </c>
    </row>
    <row r="2385" spans="1:7" ht="13.5">
      <c r="A2385" s="307" t="s">
        <v>10909</v>
      </c>
      <c r="B2385" s="307" t="s">
        <v>10910</v>
      </c>
      <c r="C2385" s="307" t="s">
        <v>5814</v>
      </c>
      <c r="D2385" s="307" t="s">
        <v>10911</v>
      </c>
      <c r="E2385" s="307" t="s">
        <v>3905</v>
      </c>
      <c r="F2385" s="307" t="s">
        <v>3906</v>
      </c>
      <c r="G2385" s="307" t="s">
        <v>3907</v>
      </c>
    </row>
    <row r="2386" spans="1:7" ht="13.5">
      <c r="A2386" s="307" t="s">
        <v>10912</v>
      </c>
      <c r="B2386" s="307" t="s">
        <v>10913</v>
      </c>
      <c r="C2386" s="307" t="s">
        <v>5814</v>
      </c>
      <c r="D2386" s="307" t="s">
        <v>10914</v>
      </c>
      <c r="E2386" s="307" t="s">
        <v>3905</v>
      </c>
      <c r="F2386" s="307" t="s">
        <v>3906</v>
      </c>
      <c r="G2386" s="307" t="s">
        <v>3907</v>
      </c>
    </row>
    <row r="2387" spans="1:7" ht="13.5">
      <c r="A2387" s="307" t="s">
        <v>10915</v>
      </c>
      <c r="B2387" s="307" t="s">
        <v>10916</v>
      </c>
      <c r="C2387" s="307" t="s">
        <v>5814</v>
      </c>
      <c r="D2387" s="307" t="s">
        <v>10917</v>
      </c>
      <c r="E2387" s="307" t="s">
        <v>3905</v>
      </c>
      <c r="F2387" s="307" t="s">
        <v>3906</v>
      </c>
      <c r="G2387" s="307" t="s">
        <v>3907</v>
      </c>
    </row>
    <row r="2388" spans="1:7" ht="13.5">
      <c r="A2388" s="307" t="s">
        <v>10918</v>
      </c>
      <c r="B2388" s="307" t="s">
        <v>10919</v>
      </c>
      <c r="C2388" s="307" t="s">
        <v>5814</v>
      </c>
      <c r="D2388" s="307" t="s">
        <v>10920</v>
      </c>
      <c r="E2388" s="307" t="s">
        <v>3905</v>
      </c>
      <c r="F2388" s="307" t="s">
        <v>3906</v>
      </c>
      <c r="G2388" s="307" t="s">
        <v>3907</v>
      </c>
    </row>
    <row r="2389" spans="1:7" ht="13.5">
      <c r="A2389" s="307" t="s">
        <v>10921</v>
      </c>
      <c r="B2389" s="307" t="s">
        <v>10922</v>
      </c>
      <c r="C2389" s="307" t="s">
        <v>5814</v>
      </c>
      <c r="D2389" s="307" t="s">
        <v>10923</v>
      </c>
      <c r="E2389" s="307" t="s">
        <v>3905</v>
      </c>
      <c r="F2389" s="307" t="s">
        <v>3906</v>
      </c>
      <c r="G2389" s="307" t="s">
        <v>3907</v>
      </c>
    </row>
    <row r="2390" spans="1:7" ht="13.5">
      <c r="A2390" s="307" t="s">
        <v>10924</v>
      </c>
      <c r="B2390" s="307" t="s">
        <v>10925</v>
      </c>
      <c r="C2390" s="307" t="s">
        <v>5814</v>
      </c>
      <c r="D2390" s="307" t="s">
        <v>10926</v>
      </c>
      <c r="E2390" s="307" t="s">
        <v>3905</v>
      </c>
      <c r="F2390" s="307" t="s">
        <v>3906</v>
      </c>
      <c r="G2390" s="307" t="s">
        <v>3907</v>
      </c>
    </row>
    <row r="2391" spans="1:7" ht="13.5">
      <c r="A2391" s="307" t="s">
        <v>10927</v>
      </c>
      <c r="B2391" s="307" t="s">
        <v>10928</v>
      </c>
      <c r="C2391" s="307" t="s">
        <v>5814</v>
      </c>
      <c r="D2391" s="307" t="s">
        <v>10929</v>
      </c>
      <c r="E2391" s="307" t="s">
        <v>4021</v>
      </c>
      <c r="F2391" s="307" t="s">
        <v>3906</v>
      </c>
      <c r="G2391" s="307" t="s">
        <v>3907</v>
      </c>
    </row>
    <row r="2392" spans="1:7" ht="13.5">
      <c r="A2392" s="307" t="s">
        <v>10930</v>
      </c>
      <c r="B2392" s="307" t="s">
        <v>10931</v>
      </c>
      <c r="C2392" s="307" t="s">
        <v>5814</v>
      </c>
      <c r="D2392" s="307" t="s">
        <v>10932</v>
      </c>
      <c r="E2392" s="307" t="s">
        <v>3905</v>
      </c>
      <c r="F2392" s="307" t="s">
        <v>3906</v>
      </c>
      <c r="G2392" s="307" t="s">
        <v>3907</v>
      </c>
    </row>
    <row r="2393" spans="1:7" ht="13.5">
      <c r="A2393" s="307" t="s">
        <v>10933</v>
      </c>
      <c r="B2393" s="307" t="s">
        <v>10934</v>
      </c>
      <c r="C2393" s="307" t="s">
        <v>5814</v>
      </c>
      <c r="D2393" s="307" t="s">
        <v>10935</v>
      </c>
      <c r="E2393" s="307" t="s">
        <v>3905</v>
      </c>
      <c r="F2393" s="307" t="s">
        <v>3906</v>
      </c>
      <c r="G2393" s="307" t="s">
        <v>3907</v>
      </c>
    </row>
    <row r="2394" spans="1:7" ht="13.5">
      <c r="A2394" s="307" t="s">
        <v>10936</v>
      </c>
      <c r="B2394" s="307" t="s">
        <v>10937</v>
      </c>
      <c r="C2394" s="307" t="s">
        <v>5814</v>
      </c>
      <c r="D2394" s="307" t="s">
        <v>10938</v>
      </c>
      <c r="E2394" s="307" t="s">
        <v>3905</v>
      </c>
      <c r="F2394" s="307" t="s">
        <v>3906</v>
      </c>
      <c r="G2394" s="307" t="s">
        <v>3907</v>
      </c>
    </row>
    <row r="2395" spans="1:7" ht="13.5">
      <c r="A2395" s="307" t="s">
        <v>10939</v>
      </c>
      <c r="B2395" s="307" t="s">
        <v>10940</v>
      </c>
      <c r="C2395" s="307" t="s">
        <v>5814</v>
      </c>
      <c r="D2395" s="307" t="s">
        <v>10941</v>
      </c>
      <c r="E2395" s="307" t="s">
        <v>3905</v>
      </c>
      <c r="F2395" s="307" t="s">
        <v>3906</v>
      </c>
      <c r="G2395" s="307" t="s">
        <v>3907</v>
      </c>
    </row>
    <row r="2396" spans="1:7" ht="13.5">
      <c r="A2396" s="307" t="s">
        <v>10942</v>
      </c>
      <c r="B2396" s="307" t="s">
        <v>10943</v>
      </c>
      <c r="C2396" s="307" t="s">
        <v>5814</v>
      </c>
      <c r="D2396" s="307" t="s">
        <v>10944</v>
      </c>
      <c r="E2396" s="307" t="s">
        <v>3905</v>
      </c>
      <c r="F2396" s="307" t="s">
        <v>3906</v>
      </c>
      <c r="G2396" s="307" t="s">
        <v>3907</v>
      </c>
    </row>
    <row r="2397" spans="1:7" ht="13.5">
      <c r="A2397" s="307" t="s">
        <v>10945</v>
      </c>
      <c r="B2397" s="307" t="s">
        <v>10946</v>
      </c>
      <c r="C2397" s="307" t="s">
        <v>5814</v>
      </c>
      <c r="D2397" s="307" t="s">
        <v>10947</v>
      </c>
      <c r="E2397" s="307" t="s">
        <v>3905</v>
      </c>
      <c r="F2397" s="307" t="s">
        <v>3906</v>
      </c>
      <c r="G2397" s="307" t="s">
        <v>3907</v>
      </c>
    </row>
    <row r="2398" spans="1:7" ht="13.5">
      <c r="A2398" s="307" t="s">
        <v>10948</v>
      </c>
      <c r="B2398" s="307" t="s">
        <v>10949</v>
      </c>
      <c r="C2398" s="307" t="s">
        <v>5814</v>
      </c>
      <c r="D2398" s="307" t="s">
        <v>10950</v>
      </c>
      <c r="E2398" s="307" t="s">
        <v>3905</v>
      </c>
      <c r="F2398" s="307" t="s">
        <v>3906</v>
      </c>
      <c r="G2398" s="307" t="s">
        <v>3907</v>
      </c>
    </row>
    <row r="2399" spans="1:7" ht="13.5">
      <c r="A2399" s="307" t="s">
        <v>10951</v>
      </c>
      <c r="B2399" s="307" t="s">
        <v>10952</v>
      </c>
      <c r="C2399" s="307" t="s">
        <v>5814</v>
      </c>
      <c r="D2399" s="307" t="s">
        <v>10953</v>
      </c>
      <c r="E2399" s="307" t="s">
        <v>3905</v>
      </c>
      <c r="F2399" s="307" t="s">
        <v>3906</v>
      </c>
      <c r="G2399" s="307" t="s">
        <v>3907</v>
      </c>
    </row>
    <row r="2400" spans="1:7" ht="13.5">
      <c r="A2400" s="307" t="s">
        <v>10954</v>
      </c>
      <c r="B2400" s="307" t="s">
        <v>10955</v>
      </c>
      <c r="C2400" s="307" t="s">
        <v>5814</v>
      </c>
      <c r="D2400" s="307" t="s">
        <v>10956</v>
      </c>
      <c r="E2400" s="307" t="s">
        <v>3905</v>
      </c>
      <c r="F2400" s="307" t="s">
        <v>3906</v>
      </c>
      <c r="G2400" s="307" t="s">
        <v>3907</v>
      </c>
    </row>
    <row r="2401" spans="1:7" ht="13.5">
      <c r="A2401" s="307" t="s">
        <v>10957</v>
      </c>
      <c r="B2401" s="307" t="s">
        <v>10958</v>
      </c>
      <c r="C2401" s="307" t="s">
        <v>5814</v>
      </c>
      <c r="D2401" s="307" t="s">
        <v>10959</v>
      </c>
      <c r="E2401" s="307" t="s">
        <v>3905</v>
      </c>
      <c r="F2401" s="307" t="s">
        <v>3906</v>
      </c>
      <c r="G2401" s="307" t="s">
        <v>3907</v>
      </c>
    </row>
    <row r="2402" spans="1:7" ht="13.5">
      <c r="A2402" s="307" t="s">
        <v>10960</v>
      </c>
      <c r="B2402" s="307" t="s">
        <v>10961</v>
      </c>
      <c r="C2402" s="307" t="s">
        <v>5814</v>
      </c>
      <c r="D2402" s="307" t="s">
        <v>10962</v>
      </c>
      <c r="E2402" s="307" t="s">
        <v>3905</v>
      </c>
      <c r="F2402" s="307" t="s">
        <v>3906</v>
      </c>
      <c r="G2402" s="307" t="s">
        <v>3907</v>
      </c>
    </row>
    <row r="2403" spans="1:7" ht="13.5">
      <c r="A2403" s="307" t="s">
        <v>10963</v>
      </c>
      <c r="B2403" s="307" t="s">
        <v>10964</v>
      </c>
      <c r="C2403" s="307" t="s">
        <v>5814</v>
      </c>
      <c r="D2403" s="307" t="s">
        <v>10965</v>
      </c>
      <c r="E2403" s="307" t="s">
        <v>3905</v>
      </c>
      <c r="F2403" s="307" t="s">
        <v>3906</v>
      </c>
      <c r="G2403" s="307" t="s">
        <v>3907</v>
      </c>
    </row>
    <row r="2404" spans="1:7" ht="13.5">
      <c r="A2404" s="307" t="s">
        <v>10966</v>
      </c>
      <c r="B2404" s="307" t="s">
        <v>10967</v>
      </c>
      <c r="C2404" s="307" t="s">
        <v>5814</v>
      </c>
      <c r="D2404" s="307" t="s">
        <v>10968</v>
      </c>
      <c r="E2404" s="307" t="s">
        <v>3905</v>
      </c>
      <c r="F2404" s="307" t="s">
        <v>3906</v>
      </c>
      <c r="G2404" s="307" t="s">
        <v>3907</v>
      </c>
    </row>
    <row r="2405" spans="1:7" ht="13.5">
      <c r="A2405" s="307" t="s">
        <v>10969</v>
      </c>
      <c r="B2405" s="307" t="s">
        <v>10970</v>
      </c>
      <c r="C2405" s="307" t="s">
        <v>5814</v>
      </c>
      <c r="D2405" s="307" t="s">
        <v>10971</v>
      </c>
      <c r="E2405" s="307" t="s">
        <v>3905</v>
      </c>
      <c r="F2405" s="307" t="s">
        <v>3906</v>
      </c>
      <c r="G2405" s="307" t="s">
        <v>3907</v>
      </c>
    </row>
    <row r="2406" spans="1:7" ht="13.5">
      <c r="A2406" s="307" t="s">
        <v>10972</v>
      </c>
      <c r="B2406" s="307" t="s">
        <v>10973</v>
      </c>
      <c r="C2406" s="307" t="s">
        <v>5814</v>
      </c>
      <c r="D2406" s="307" t="s">
        <v>10974</v>
      </c>
      <c r="E2406" s="307" t="s">
        <v>3905</v>
      </c>
      <c r="F2406" s="307" t="s">
        <v>3906</v>
      </c>
      <c r="G2406" s="307" t="s">
        <v>3907</v>
      </c>
    </row>
    <row r="2407" spans="1:7" ht="13.5">
      <c r="A2407" s="307" t="s">
        <v>10975</v>
      </c>
      <c r="B2407" s="307" t="s">
        <v>10976</v>
      </c>
      <c r="C2407" s="307" t="s">
        <v>5814</v>
      </c>
      <c r="D2407" s="307" t="s">
        <v>10977</v>
      </c>
      <c r="E2407" s="307" t="s">
        <v>3905</v>
      </c>
      <c r="F2407" s="307" t="s">
        <v>3906</v>
      </c>
      <c r="G2407" s="307" t="s">
        <v>3907</v>
      </c>
    </row>
    <row r="2408" spans="1:7" ht="13.5">
      <c r="A2408" s="307" t="s">
        <v>10978</v>
      </c>
      <c r="B2408" s="307" t="s">
        <v>10979</v>
      </c>
      <c r="C2408" s="307" t="s">
        <v>5814</v>
      </c>
      <c r="D2408" s="307" t="s">
        <v>10980</v>
      </c>
      <c r="E2408" s="307" t="s">
        <v>3905</v>
      </c>
      <c r="F2408" s="307" t="s">
        <v>3906</v>
      </c>
      <c r="G2408" s="307" t="s">
        <v>3907</v>
      </c>
    </row>
    <row r="2409" spans="1:7" ht="13.5">
      <c r="A2409" s="307" t="s">
        <v>10981</v>
      </c>
      <c r="B2409" s="307" t="s">
        <v>10982</v>
      </c>
      <c r="C2409" s="307" t="s">
        <v>5814</v>
      </c>
      <c r="D2409" s="307" t="s">
        <v>10983</v>
      </c>
      <c r="E2409" s="307" t="s">
        <v>3905</v>
      </c>
      <c r="F2409" s="307" t="s">
        <v>3906</v>
      </c>
      <c r="G2409" s="307" t="s">
        <v>3907</v>
      </c>
    </row>
    <row r="2410" spans="1:7" ht="13.5">
      <c r="A2410" s="307" t="s">
        <v>10984</v>
      </c>
      <c r="B2410" s="307" t="s">
        <v>10985</v>
      </c>
      <c r="C2410" s="307" t="s">
        <v>5814</v>
      </c>
      <c r="D2410" s="307" t="s">
        <v>10986</v>
      </c>
      <c r="E2410" s="307" t="s">
        <v>3905</v>
      </c>
      <c r="F2410" s="307" t="s">
        <v>3906</v>
      </c>
      <c r="G2410" s="307" t="s">
        <v>3907</v>
      </c>
    </row>
    <row r="2411" spans="1:7" ht="13.5">
      <c r="A2411" s="307" t="s">
        <v>10987</v>
      </c>
      <c r="B2411" s="307" t="s">
        <v>10988</v>
      </c>
      <c r="C2411" s="307" t="s">
        <v>5814</v>
      </c>
      <c r="D2411" s="307" t="s">
        <v>10989</v>
      </c>
      <c r="E2411" s="307" t="s">
        <v>3905</v>
      </c>
      <c r="F2411" s="307" t="s">
        <v>3906</v>
      </c>
      <c r="G2411" s="307" t="s">
        <v>3907</v>
      </c>
    </row>
    <row r="2412" spans="1:7" ht="13.5">
      <c r="A2412" s="307" t="s">
        <v>10990</v>
      </c>
      <c r="B2412" s="307" t="s">
        <v>10991</v>
      </c>
      <c r="C2412" s="307" t="s">
        <v>5814</v>
      </c>
      <c r="D2412" s="307" t="s">
        <v>10992</v>
      </c>
      <c r="E2412" s="307" t="s">
        <v>3905</v>
      </c>
      <c r="F2412" s="307" t="s">
        <v>3906</v>
      </c>
      <c r="G2412" s="307" t="s">
        <v>3907</v>
      </c>
    </row>
    <row r="2413" spans="1:7" ht="13.5">
      <c r="A2413" s="307" t="s">
        <v>10993</v>
      </c>
      <c r="B2413" s="307" t="s">
        <v>10994</v>
      </c>
      <c r="C2413" s="307" t="s">
        <v>5814</v>
      </c>
      <c r="D2413" s="307" t="s">
        <v>10995</v>
      </c>
      <c r="E2413" s="307" t="s">
        <v>3905</v>
      </c>
      <c r="F2413" s="307" t="s">
        <v>3906</v>
      </c>
      <c r="G2413" s="307" t="s">
        <v>3907</v>
      </c>
    </row>
    <row r="2414" spans="1:7" ht="13.5">
      <c r="A2414" s="307" t="s">
        <v>10996</v>
      </c>
      <c r="B2414" s="307" t="s">
        <v>10997</v>
      </c>
      <c r="C2414" s="307" t="s">
        <v>5814</v>
      </c>
      <c r="D2414" s="307" t="s">
        <v>10998</v>
      </c>
      <c r="E2414" s="307" t="s">
        <v>3905</v>
      </c>
      <c r="F2414" s="307" t="s">
        <v>3906</v>
      </c>
      <c r="G2414" s="307" t="s">
        <v>3907</v>
      </c>
    </row>
    <row r="2415" spans="1:7" ht="13.5">
      <c r="A2415" s="307" t="s">
        <v>10999</v>
      </c>
      <c r="B2415" s="307" t="s">
        <v>11000</v>
      </c>
      <c r="C2415" s="307" t="s">
        <v>5814</v>
      </c>
      <c r="D2415" s="307" t="s">
        <v>11001</v>
      </c>
      <c r="E2415" s="307" t="s">
        <v>3905</v>
      </c>
      <c r="F2415" s="307" t="s">
        <v>3906</v>
      </c>
      <c r="G2415" s="307" t="s">
        <v>3907</v>
      </c>
    </row>
    <row r="2416" spans="1:7" ht="13.5">
      <c r="A2416" s="307" t="s">
        <v>11002</v>
      </c>
      <c r="B2416" s="307" t="s">
        <v>11003</v>
      </c>
      <c r="C2416" s="307" t="s">
        <v>5814</v>
      </c>
      <c r="D2416" s="307" t="s">
        <v>11004</v>
      </c>
      <c r="E2416" s="307" t="s">
        <v>3905</v>
      </c>
      <c r="F2416" s="307" t="s">
        <v>3906</v>
      </c>
      <c r="G2416" s="307" t="s">
        <v>3907</v>
      </c>
    </row>
    <row r="2417" spans="1:7" ht="13.5">
      <c r="A2417" s="307" t="s">
        <v>11005</v>
      </c>
      <c r="B2417" s="307" t="s">
        <v>11006</v>
      </c>
      <c r="C2417" s="307" t="s">
        <v>5814</v>
      </c>
      <c r="D2417" s="307" t="s">
        <v>11007</v>
      </c>
      <c r="E2417" s="307" t="s">
        <v>3905</v>
      </c>
      <c r="F2417" s="307" t="s">
        <v>3906</v>
      </c>
      <c r="G2417" s="307" t="s">
        <v>3907</v>
      </c>
    </row>
    <row r="2418" spans="1:7" ht="13.5">
      <c r="A2418" s="307" t="s">
        <v>11008</v>
      </c>
      <c r="B2418" s="307" t="s">
        <v>11009</v>
      </c>
      <c r="C2418" s="307" t="s">
        <v>5814</v>
      </c>
      <c r="D2418" s="307" t="s">
        <v>11010</v>
      </c>
      <c r="E2418" s="307" t="s">
        <v>3905</v>
      </c>
      <c r="F2418" s="307" t="s">
        <v>3906</v>
      </c>
      <c r="G2418" s="307" t="s">
        <v>3907</v>
      </c>
    </row>
    <row r="2419" spans="1:7" ht="13.5">
      <c r="A2419" s="307" t="s">
        <v>11011</v>
      </c>
      <c r="B2419" s="307" t="s">
        <v>11012</v>
      </c>
      <c r="C2419" s="307" t="s">
        <v>5814</v>
      </c>
      <c r="D2419" s="307" t="s">
        <v>11013</v>
      </c>
      <c r="E2419" s="307" t="s">
        <v>3905</v>
      </c>
      <c r="F2419" s="307" t="s">
        <v>3906</v>
      </c>
      <c r="G2419" s="307" t="s">
        <v>3907</v>
      </c>
    </row>
    <row r="2420" spans="1:7" ht="13.5">
      <c r="A2420" s="307" t="s">
        <v>11014</v>
      </c>
      <c r="B2420" s="307" t="s">
        <v>11015</v>
      </c>
      <c r="C2420" s="307" t="s">
        <v>5814</v>
      </c>
      <c r="D2420" s="307" t="s">
        <v>11016</v>
      </c>
      <c r="E2420" s="307" t="s">
        <v>3905</v>
      </c>
      <c r="F2420" s="307" t="s">
        <v>3906</v>
      </c>
      <c r="G2420" s="307" t="s">
        <v>3907</v>
      </c>
    </row>
    <row r="2421" spans="1:7" ht="13.5">
      <c r="A2421" s="307" t="s">
        <v>11017</v>
      </c>
      <c r="B2421" s="307" t="s">
        <v>11018</v>
      </c>
      <c r="C2421" s="307" t="s">
        <v>5814</v>
      </c>
      <c r="D2421" s="307" t="s">
        <v>11019</v>
      </c>
      <c r="E2421" s="307" t="s">
        <v>3905</v>
      </c>
      <c r="F2421" s="307" t="s">
        <v>3906</v>
      </c>
      <c r="G2421" s="307" t="s">
        <v>3907</v>
      </c>
    </row>
    <row r="2422" spans="1:7" ht="13.5">
      <c r="A2422" s="307" t="s">
        <v>11020</v>
      </c>
      <c r="B2422" s="307" t="s">
        <v>11021</v>
      </c>
      <c r="C2422" s="307" t="s">
        <v>5814</v>
      </c>
      <c r="D2422" s="307" t="s">
        <v>11022</v>
      </c>
      <c r="E2422" s="307" t="s">
        <v>3905</v>
      </c>
      <c r="F2422" s="307" t="s">
        <v>3906</v>
      </c>
      <c r="G2422" s="307" t="s">
        <v>3907</v>
      </c>
    </row>
    <row r="2423" spans="1:7" ht="13.5">
      <c r="A2423" s="307" t="s">
        <v>11023</v>
      </c>
      <c r="B2423" s="307" t="s">
        <v>11024</v>
      </c>
      <c r="C2423" s="307" t="s">
        <v>5814</v>
      </c>
      <c r="D2423" s="307" t="s">
        <v>11025</v>
      </c>
      <c r="E2423" s="307" t="s">
        <v>4021</v>
      </c>
      <c r="F2423" s="307" t="s">
        <v>3906</v>
      </c>
      <c r="G2423" s="307" t="s">
        <v>3907</v>
      </c>
    </row>
    <row r="2424" spans="1:7" ht="13.5">
      <c r="A2424" s="307" t="s">
        <v>11026</v>
      </c>
      <c r="B2424" s="307" t="s">
        <v>11027</v>
      </c>
      <c r="C2424" s="307" t="s">
        <v>5814</v>
      </c>
      <c r="D2424" s="307" t="s">
        <v>11028</v>
      </c>
      <c r="E2424" s="307" t="s">
        <v>3905</v>
      </c>
      <c r="F2424" s="307" t="s">
        <v>3906</v>
      </c>
      <c r="G2424" s="307" t="s">
        <v>3907</v>
      </c>
    </row>
    <row r="2425" spans="1:7" ht="13.5">
      <c r="A2425" s="307" t="s">
        <v>11029</v>
      </c>
      <c r="B2425" s="307" t="s">
        <v>11030</v>
      </c>
      <c r="C2425" s="307" t="s">
        <v>5814</v>
      </c>
      <c r="D2425" s="307" t="s">
        <v>11031</v>
      </c>
      <c r="E2425" s="307" t="s">
        <v>4021</v>
      </c>
      <c r="F2425" s="307" t="s">
        <v>3906</v>
      </c>
      <c r="G2425" s="307" t="s">
        <v>3907</v>
      </c>
    </row>
    <row r="2426" spans="1:7" ht="13.5">
      <c r="A2426" s="307" t="s">
        <v>11032</v>
      </c>
      <c r="B2426" s="307" t="s">
        <v>11033</v>
      </c>
      <c r="C2426" s="307" t="s">
        <v>5814</v>
      </c>
      <c r="D2426" s="307" t="s">
        <v>11034</v>
      </c>
      <c r="E2426" s="307" t="s">
        <v>3905</v>
      </c>
      <c r="F2426" s="307" t="s">
        <v>3906</v>
      </c>
      <c r="G2426" s="307" t="s">
        <v>3907</v>
      </c>
    </row>
    <row r="2427" spans="1:7" ht="13.5">
      <c r="A2427" s="307" t="s">
        <v>11035</v>
      </c>
      <c r="B2427" s="307" t="s">
        <v>11036</v>
      </c>
      <c r="C2427" s="307" t="s">
        <v>5814</v>
      </c>
      <c r="D2427" s="307" t="s">
        <v>11037</v>
      </c>
      <c r="E2427" s="307" t="s">
        <v>3905</v>
      </c>
      <c r="F2427" s="307" t="s">
        <v>3906</v>
      </c>
      <c r="G2427" s="307" t="s">
        <v>3907</v>
      </c>
    </row>
    <row r="2428" spans="1:7" ht="13.5">
      <c r="A2428" s="307" t="s">
        <v>11038</v>
      </c>
      <c r="B2428" s="307" t="s">
        <v>11039</v>
      </c>
      <c r="C2428" s="307" t="s">
        <v>5814</v>
      </c>
      <c r="D2428" s="307" t="s">
        <v>11040</v>
      </c>
      <c r="E2428" s="307" t="s">
        <v>3905</v>
      </c>
      <c r="F2428" s="307" t="s">
        <v>3906</v>
      </c>
      <c r="G2428" s="307" t="s">
        <v>3907</v>
      </c>
    </row>
    <row r="2429" spans="1:7" ht="13.5">
      <c r="A2429" s="307" t="s">
        <v>11041</v>
      </c>
      <c r="B2429" s="307" t="s">
        <v>11042</v>
      </c>
      <c r="C2429" s="307" t="s">
        <v>5814</v>
      </c>
      <c r="D2429" s="307" t="s">
        <v>1917</v>
      </c>
      <c r="E2429" s="307" t="s">
        <v>3905</v>
      </c>
      <c r="F2429" s="307" t="s">
        <v>3906</v>
      </c>
      <c r="G2429" s="307" t="s">
        <v>3907</v>
      </c>
    </row>
    <row r="2430" spans="1:7" ht="13.5">
      <c r="A2430" s="307" t="s">
        <v>11043</v>
      </c>
      <c r="B2430" s="307" t="s">
        <v>11044</v>
      </c>
      <c r="C2430" s="307" t="s">
        <v>5814</v>
      </c>
      <c r="D2430" s="307" t="s">
        <v>11045</v>
      </c>
      <c r="E2430" s="307" t="s">
        <v>3905</v>
      </c>
      <c r="F2430" s="307" t="s">
        <v>3906</v>
      </c>
      <c r="G2430" s="307" t="s">
        <v>3907</v>
      </c>
    </row>
    <row r="2431" spans="1:7" ht="13.5">
      <c r="A2431" s="307" t="s">
        <v>11046</v>
      </c>
      <c r="B2431" s="307" t="s">
        <v>11047</v>
      </c>
      <c r="C2431" s="307" t="s">
        <v>5814</v>
      </c>
      <c r="D2431" s="307" t="s">
        <v>11048</v>
      </c>
      <c r="E2431" s="307" t="s">
        <v>3905</v>
      </c>
      <c r="F2431" s="307" t="s">
        <v>3906</v>
      </c>
      <c r="G2431" s="307" t="s">
        <v>3907</v>
      </c>
    </row>
    <row r="2432" spans="1:7" ht="13.5">
      <c r="A2432" s="307" t="s">
        <v>11049</v>
      </c>
      <c r="B2432" s="307" t="s">
        <v>11050</v>
      </c>
      <c r="C2432" s="307" t="s">
        <v>5814</v>
      </c>
      <c r="D2432" s="307" t="s">
        <v>11051</v>
      </c>
      <c r="E2432" s="307" t="s">
        <v>4021</v>
      </c>
      <c r="F2432" s="307" t="s">
        <v>3906</v>
      </c>
      <c r="G2432" s="307" t="s">
        <v>3907</v>
      </c>
    </row>
    <row r="2433" spans="1:7" ht="13.5">
      <c r="A2433" s="307" t="s">
        <v>11052</v>
      </c>
      <c r="B2433" s="307" t="s">
        <v>11053</v>
      </c>
      <c r="C2433" s="307" t="s">
        <v>5814</v>
      </c>
      <c r="D2433" s="307" t="s">
        <v>11054</v>
      </c>
      <c r="E2433" s="307" t="s">
        <v>3905</v>
      </c>
      <c r="F2433" s="307" t="s">
        <v>3906</v>
      </c>
      <c r="G2433" s="307" t="s">
        <v>3907</v>
      </c>
    </row>
    <row r="2434" spans="1:7" ht="13.5">
      <c r="A2434" s="307" t="s">
        <v>11055</v>
      </c>
      <c r="B2434" s="307" t="s">
        <v>11056</v>
      </c>
      <c r="C2434" s="307" t="s">
        <v>5814</v>
      </c>
      <c r="D2434" s="307" t="s">
        <v>11057</v>
      </c>
      <c r="E2434" s="307" t="s">
        <v>3905</v>
      </c>
      <c r="F2434" s="307" t="s">
        <v>3906</v>
      </c>
      <c r="G2434" s="307" t="s">
        <v>3907</v>
      </c>
    </row>
    <row r="2435" spans="1:7" ht="13.5">
      <c r="A2435" s="307" t="s">
        <v>11058</v>
      </c>
      <c r="B2435" s="307" t="s">
        <v>11059</v>
      </c>
      <c r="C2435" s="307" t="s">
        <v>5814</v>
      </c>
      <c r="D2435" s="307" t="s">
        <v>11060</v>
      </c>
      <c r="E2435" s="307" t="s">
        <v>3905</v>
      </c>
      <c r="F2435" s="307" t="s">
        <v>3906</v>
      </c>
      <c r="G2435" s="307" t="s">
        <v>3907</v>
      </c>
    </row>
    <row r="2436" spans="1:7" ht="13.5">
      <c r="A2436" s="307" t="s">
        <v>11061</v>
      </c>
      <c r="B2436" s="307" t="s">
        <v>11062</v>
      </c>
      <c r="C2436" s="307" t="s">
        <v>5814</v>
      </c>
      <c r="D2436" s="307" t="s">
        <v>11063</v>
      </c>
      <c r="E2436" s="307" t="s">
        <v>3905</v>
      </c>
      <c r="F2436" s="307" t="s">
        <v>3906</v>
      </c>
      <c r="G2436" s="307" t="s">
        <v>3907</v>
      </c>
    </row>
    <row r="2437" spans="1:7" ht="13.5">
      <c r="A2437" s="307" t="s">
        <v>11064</v>
      </c>
      <c r="B2437" s="307" t="s">
        <v>11065</v>
      </c>
      <c r="C2437" s="307" t="s">
        <v>5814</v>
      </c>
      <c r="D2437" s="307" t="s">
        <v>11066</v>
      </c>
      <c r="E2437" s="307" t="s">
        <v>3905</v>
      </c>
      <c r="F2437" s="307" t="s">
        <v>3906</v>
      </c>
      <c r="G2437" s="307" t="s">
        <v>3907</v>
      </c>
    </row>
    <row r="2438" spans="1:7" ht="13.5">
      <c r="A2438" s="307" t="s">
        <v>11067</v>
      </c>
      <c r="B2438" s="307" t="s">
        <v>11068</v>
      </c>
      <c r="C2438" s="307" t="s">
        <v>5814</v>
      </c>
      <c r="D2438" s="307" t="s">
        <v>11069</v>
      </c>
      <c r="E2438" s="307" t="s">
        <v>3905</v>
      </c>
      <c r="F2438" s="307" t="s">
        <v>3906</v>
      </c>
      <c r="G2438" s="307" t="s">
        <v>3907</v>
      </c>
    </row>
    <row r="2439" spans="1:7" ht="13.5">
      <c r="A2439" s="307" t="s">
        <v>11070</v>
      </c>
      <c r="B2439" s="307" t="s">
        <v>11071</v>
      </c>
      <c r="C2439" s="307" t="s">
        <v>5814</v>
      </c>
      <c r="D2439" s="307" t="s">
        <v>11072</v>
      </c>
      <c r="E2439" s="307" t="s">
        <v>3905</v>
      </c>
      <c r="F2439" s="307" t="s">
        <v>3906</v>
      </c>
      <c r="G2439" s="307" t="s">
        <v>3907</v>
      </c>
    </row>
    <row r="2440" spans="1:7" ht="13.5">
      <c r="A2440" s="307" t="s">
        <v>11073</v>
      </c>
      <c r="B2440" s="307" t="s">
        <v>11074</v>
      </c>
      <c r="C2440" s="307" t="s">
        <v>5814</v>
      </c>
      <c r="D2440" s="307" t="s">
        <v>11075</v>
      </c>
      <c r="E2440" s="307" t="s">
        <v>3905</v>
      </c>
      <c r="F2440" s="307" t="s">
        <v>3906</v>
      </c>
      <c r="G2440" s="307" t="s">
        <v>3907</v>
      </c>
    </row>
    <row r="2441" spans="1:7" ht="13.5">
      <c r="A2441" s="307" t="s">
        <v>11076</v>
      </c>
      <c r="B2441" s="307" t="s">
        <v>11077</v>
      </c>
      <c r="C2441" s="307" t="s">
        <v>5814</v>
      </c>
      <c r="D2441" s="307" t="s">
        <v>11078</v>
      </c>
      <c r="E2441" s="307" t="s">
        <v>3905</v>
      </c>
      <c r="F2441" s="307" t="s">
        <v>3906</v>
      </c>
      <c r="G2441" s="307" t="s">
        <v>3907</v>
      </c>
    </row>
    <row r="2442" spans="1:7" ht="13.5">
      <c r="A2442" s="307" t="s">
        <v>11079</v>
      </c>
      <c r="B2442" s="307" t="s">
        <v>11080</v>
      </c>
      <c r="C2442" s="307" t="s">
        <v>5814</v>
      </c>
      <c r="D2442" s="307" t="s">
        <v>11081</v>
      </c>
      <c r="E2442" s="307" t="s">
        <v>3905</v>
      </c>
      <c r="F2442" s="307" t="s">
        <v>3906</v>
      </c>
      <c r="G2442" s="307" t="s">
        <v>3907</v>
      </c>
    </row>
    <row r="2443" spans="1:7" ht="13.5">
      <c r="A2443" s="307" t="s">
        <v>11082</v>
      </c>
      <c r="B2443" s="307" t="s">
        <v>11083</v>
      </c>
      <c r="C2443" s="307" t="s">
        <v>5814</v>
      </c>
      <c r="D2443" s="307" t="s">
        <v>11084</v>
      </c>
      <c r="E2443" s="307" t="s">
        <v>3905</v>
      </c>
      <c r="F2443" s="307" t="s">
        <v>3906</v>
      </c>
      <c r="G2443" s="307" t="s">
        <v>3907</v>
      </c>
    </row>
    <row r="2444" spans="1:7" ht="13.5">
      <c r="A2444" s="307" t="s">
        <v>11085</v>
      </c>
      <c r="B2444" s="307" t="s">
        <v>11086</v>
      </c>
      <c r="C2444" s="307" t="s">
        <v>5814</v>
      </c>
      <c r="D2444" s="307" t="s">
        <v>11087</v>
      </c>
      <c r="E2444" s="307" t="s">
        <v>3905</v>
      </c>
      <c r="F2444" s="307" t="s">
        <v>3906</v>
      </c>
      <c r="G2444" s="307" t="s">
        <v>3907</v>
      </c>
    </row>
    <row r="2445" spans="1:7" ht="13.5">
      <c r="A2445" s="307" t="s">
        <v>11088</v>
      </c>
      <c r="B2445" s="307" t="s">
        <v>11089</v>
      </c>
      <c r="C2445" s="307" t="s">
        <v>5814</v>
      </c>
      <c r="D2445" s="307" t="s">
        <v>11090</v>
      </c>
      <c r="E2445" s="307" t="s">
        <v>3905</v>
      </c>
      <c r="F2445" s="307" t="s">
        <v>3906</v>
      </c>
      <c r="G2445" s="307" t="s">
        <v>3907</v>
      </c>
    </row>
    <row r="2446" spans="1:7" ht="13.5">
      <c r="A2446" s="307" t="s">
        <v>11091</v>
      </c>
      <c r="B2446" s="307" t="s">
        <v>11092</v>
      </c>
      <c r="C2446" s="307" t="s">
        <v>5814</v>
      </c>
      <c r="D2446" s="307" t="s">
        <v>11093</v>
      </c>
      <c r="E2446" s="307" t="s">
        <v>3905</v>
      </c>
      <c r="F2446" s="307" t="s">
        <v>3906</v>
      </c>
      <c r="G2446" s="307" t="s">
        <v>3907</v>
      </c>
    </row>
    <row r="2447" spans="1:7" ht="13.5">
      <c r="A2447" s="307" t="s">
        <v>11094</v>
      </c>
      <c r="B2447" s="307" t="s">
        <v>11095</v>
      </c>
      <c r="C2447" s="307" t="s">
        <v>5814</v>
      </c>
      <c r="D2447" s="307" t="s">
        <v>11096</v>
      </c>
      <c r="E2447" s="307" t="s">
        <v>4021</v>
      </c>
      <c r="F2447" s="307" t="s">
        <v>3906</v>
      </c>
      <c r="G2447" s="307" t="s">
        <v>3907</v>
      </c>
    </row>
    <row r="2448" spans="1:7" ht="13.5">
      <c r="A2448" s="307" t="s">
        <v>11097</v>
      </c>
      <c r="B2448" s="307" t="s">
        <v>11098</v>
      </c>
      <c r="C2448" s="307" t="s">
        <v>5814</v>
      </c>
      <c r="D2448" s="307" t="s">
        <v>11099</v>
      </c>
      <c r="E2448" s="307" t="s">
        <v>3905</v>
      </c>
      <c r="F2448" s="307" t="s">
        <v>3906</v>
      </c>
      <c r="G2448" s="307" t="s">
        <v>3907</v>
      </c>
    </row>
    <row r="2449" spans="1:7" ht="13.5">
      <c r="A2449" s="307" t="s">
        <v>11100</v>
      </c>
      <c r="B2449" s="307" t="s">
        <v>11101</v>
      </c>
      <c r="C2449" s="307" t="s">
        <v>5814</v>
      </c>
      <c r="D2449" s="307" t="s">
        <v>11102</v>
      </c>
      <c r="E2449" s="307" t="s">
        <v>3905</v>
      </c>
      <c r="F2449" s="307" t="s">
        <v>3906</v>
      </c>
      <c r="G2449" s="307" t="s">
        <v>3907</v>
      </c>
    </row>
    <row r="2450" spans="1:7" ht="13.5">
      <c r="A2450" s="307" t="s">
        <v>11103</v>
      </c>
      <c r="B2450" s="307" t="s">
        <v>11104</v>
      </c>
      <c r="C2450" s="307" t="s">
        <v>5814</v>
      </c>
      <c r="D2450" s="307" t="s">
        <v>11105</v>
      </c>
      <c r="E2450" s="307" t="s">
        <v>3905</v>
      </c>
      <c r="F2450" s="307" t="s">
        <v>3906</v>
      </c>
      <c r="G2450" s="307" t="s">
        <v>3907</v>
      </c>
    </row>
    <row r="2451" spans="1:7" ht="13.5">
      <c r="A2451" s="307" t="s">
        <v>11106</v>
      </c>
      <c r="B2451" s="307" t="s">
        <v>11107</v>
      </c>
      <c r="C2451" s="307" t="s">
        <v>5814</v>
      </c>
      <c r="D2451" s="307" t="s">
        <v>11108</v>
      </c>
      <c r="E2451" s="307" t="s">
        <v>3905</v>
      </c>
      <c r="F2451" s="307" t="s">
        <v>3906</v>
      </c>
      <c r="G2451" s="307" t="s">
        <v>3907</v>
      </c>
    </row>
    <row r="2452" spans="1:7" ht="13.5">
      <c r="A2452" s="307" t="s">
        <v>11109</v>
      </c>
      <c r="B2452" s="307" t="s">
        <v>11110</v>
      </c>
      <c r="C2452" s="307" t="s">
        <v>5814</v>
      </c>
      <c r="D2452" s="307" t="s">
        <v>11111</v>
      </c>
      <c r="E2452" s="307" t="s">
        <v>3905</v>
      </c>
      <c r="F2452" s="307" t="s">
        <v>3906</v>
      </c>
      <c r="G2452" s="307" t="s">
        <v>3907</v>
      </c>
    </row>
    <row r="2453" spans="1:7" ht="13.5">
      <c r="A2453" s="307" t="s">
        <v>11112</v>
      </c>
      <c r="B2453" s="307" t="s">
        <v>11113</v>
      </c>
      <c r="C2453" s="307" t="s">
        <v>5814</v>
      </c>
      <c r="D2453" s="307" t="s">
        <v>11114</v>
      </c>
      <c r="E2453" s="307" t="s">
        <v>3905</v>
      </c>
      <c r="F2453" s="307" t="s">
        <v>3906</v>
      </c>
      <c r="G2453" s="307" t="s">
        <v>3907</v>
      </c>
    </row>
    <row r="2454" spans="1:7" ht="13.5">
      <c r="A2454" s="307" t="s">
        <v>11115</v>
      </c>
      <c r="B2454" s="307" t="s">
        <v>2181</v>
      </c>
      <c r="C2454" s="307" t="s">
        <v>5814</v>
      </c>
      <c r="D2454" s="307" t="s">
        <v>2182</v>
      </c>
      <c r="E2454" s="307" t="s">
        <v>4021</v>
      </c>
      <c r="F2454" s="307" t="s">
        <v>3906</v>
      </c>
      <c r="G2454" s="307" t="s">
        <v>3907</v>
      </c>
    </row>
    <row r="2455" spans="1:7" ht="13.5">
      <c r="A2455" s="307" t="s">
        <v>11116</v>
      </c>
      <c r="B2455" s="307" t="s">
        <v>11117</v>
      </c>
      <c r="C2455" s="307" t="s">
        <v>5814</v>
      </c>
      <c r="D2455" s="307" t="s">
        <v>11118</v>
      </c>
      <c r="E2455" s="307" t="s">
        <v>3905</v>
      </c>
      <c r="F2455" s="307" t="s">
        <v>3906</v>
      </c>
      <c r="G2455" s="307" t="s">
        <v>3907</v>
      </c>
    </row>
    <row r="2456" spans="1:7" ht="13.5">
      <c r="A2456" s="307" t="s">
        <v>11119</v>
      </c>
      <c r="B2456" s="307" t="s">
        <v>11120</v>
      </c>
      <c r="C2456" s="307" t="s">
        <v>5814</v>
      </c>
      <c r="D2456" s="307" t="s">
        <v>11121</v>
      </c>
      <c r="E2456" s="307" t="s">
        <v>3905</v>
      </c>
      <c r="F2456" s="307" t="s">
        <v>3906</v>
      </c>
      <c r="G2456" s="307" t="s">
        <v>3907</v>
      </c>
    </row>
    <row r="2457" spans="1:7" ht="13.5">
      <c r="A2457" s="307" t="s">
        <v>11122</v>
      </c>
      <c r="B2457" s="307" t="s">
        <v>11123</v>
      </c>
      <c r="C2457" s="307" t="s">
        <v>5814</v>
      </c>
      <c r="D2457" s="307" t="s">
        <v>11124</v>
      </c>
      <c r="E2457" s="307" t="s">
        <v>3905</v>
      </c>
      <c r="F2457" s="307" t="s">
        <v>3906</v>
      </c>
      <c r="G2457" s="307" t="s">
        <v>3907</v>
      </c>
    </row>
    <row r="2458" spans="1:7" ht="13.5">
      <c r="A2458" s="307" t="s">
        <v>11125</v>
      </c>
      <c r="B2458" s="307" t="s">
        <v>11126</v>
      </c>
      <c r="C2458" s="307" t="s">
        <v>5814</v>
      </c>
      <c r="D2458" s="307" t="s">
        <v>11127</v>
      </c>
      <c r="E2458" s="307" t="s">
        <v>3905</v>
      </c>
      <c r="F2458" s="307" t="s">
        <v>3906</v>
      </c>
      <c r="G2458" s="307" t="s">
        <v>3907</v>
      </c>
    </row>
    <row r="2459" spans="1:7" ht="13.5">
      <c r="A2459" s="307" t="s">
        <v>11128</v>
      </c>
      <c r="B2459" s="307" t="s">
        <v>11129</v>
      </c>
      <c r="C2459" s="307" t="s">
        <v>5814</v>
      </c>
      <c r="D2459" s="307" t="s">
        <v>11130</v>
      </c>
      <c r="E2459" s="307" t="s">
        <v>4021</v>
      </c>
      <c r="F2459" s="307" t="s">
        <v>3906</v>
      </c>
      <c r="G2459" s="307" t="s">
        <v>3907</v>
      </c>
    </row>
    <row r="2460" spans="1:7" ht="13.5">
      <c r="A2460" s="307" t="s">
        <v>11131</v>
      </c>
      <c r="B2460" s="307" t="s">
        <v>11132</v>
      </c>
      <c r="C2460" s="307" t="s">
        <v>5814</v>
      </c>
      <c r="D2460" s="307" t="s">
        <v>11133</v>
      </c>
      <c r="E2460" s="307" t="s">
        <v>3905</v>
      </c>
      <c r="F2460" s="307" t="s">
        <v>3906</v>
      </c>
      <c r="G2460" s="307" t="s">
        <v>3907</v>
      </c>
    </row>
    <row r="2461" spans="1:7" ht="13.5">
      <c r="A2461" s="307" t="s">
        <v>11134</v>
      </c>
      <c r="B2461" s="307" t="s">
        <v>11135</v>
      </c>
      <c r="C2461" s="307" t="s">
        <v>5814</v>
      </c>
      <c r="D2461" s="307" t="s">
        <v>11136</v>
      </c>
      <c r="E2461" s="307" t="s">
        <v>3905</v>
      </c>
      <c r="F2461" s="307" t="s">
        <v>3906</v>
      </c>
      <c r="G2461" s="307" t="s">
        <v>3907</v>
      </c>
    </row>
    <row r="2462" spans="1:7" ht="13.5">
      <c r="A2462" s="307" t="s">
        <v>11137</v>
      </c>
      <c r="B2462" s="307" t="s">
        <v>11138</v>
      </c>
      <c r="C2462" s="307" t="s">
        <v>5814</v>
      </c>
      <c r="D2462" s="307" t="s">
        <v>11139</v>
      </c>
      <c r="E2462" s="307" t="s">
        <v>3905</v>
      </c>
      <c r="F2462" s="307" t="s">
        <v>3906</v>
      </c>
      <c r="G2462" s="307" t="s">
        <v>3907</v>
      </c>
    </row>
    <row r="2463" spans="1:7" ht="13.5">
      <c r="A2463" s="307" t="s">
        <v>11140</v>
      </c>
      <c r="B2463" s="307" t="s">
        <v>11141</v>
      </c>
      <c r="C2463" s="307" t="s">
        <v>5814</v>
      </c>
      <c r="D2463" s="307" t="s">
        <v>11142</v>
      </c>
      <c r="E2463" s="307" t="s">
        <v>3905</v>
      </c>
      <c r="F2463" s="307" t="s">
        <v>3906</v>
      </c>
      <c r="G2463" s="307" t="s">
        <v>3907</v>
      </c>
    </row>
    <row r="2464" spans="1:7" ht="13.5">
      <c r="A2464" s="307" t="s">
        <v>11143</v>
      </c>
      <c r="B2464" s="307" t="s">
        <v>11144</v>
      </c>
      <c r="C2464" s="307" t="s">
        <v>5814</v>
      </c>
      <c r="D2464" s="307" t="s">
        <v>11145</v>
      </c>
      <c r="E2464" s="307" t="s">
        <v>3905</v>
      </c>
      <c r="F2464" s="307" t="s">
        <v>3906</v>
      </c>
      <c r="G2464" s="307" t="s">
        <v>3907</v>
      </c>
    </row>
    <row r="2465" spans="1:7" ht="13.5">
      <c r="A2465" s="307" t="s">
        <v>11146</v>
      </c>
      <c r="B2465" s="307" t="s">
        <v>11147</v>
      </c>
      <c r="C2465" s="307" t="s">
        <v>5814</v>
      </c>
      <c r="D2465" s="307" t="s">
        <v>11148</v>
      </c>
      <c r="E2465" s="307" t="s">
        <v>3905</v>
      </c>
      <c r="F2465" s="307" t="s">
        <v>3906</v>
      </c>
      <c r="G2465" s="307" t="s">
        <v>3907</v>
      </c>
    </row>
    <row r="2466" spans="1:7" ht="13.5">
      <c r="A2466" s="307" t="s">
        <v>11149</v>
      </c>
      <c r="B2466" s="307" t="s">
        <v>11150</v>
      </c>
      <c r="C2466" s="307" t="s">
        <v>5814</v>
      </c>
      <c r="D2466" s="307" t="s">
        <v>11151</v>
      </c>
      <c r="E2466" s="307" t="s">
        <v>3905</v>
      </c>
      <c r="F2466" s="307" t="s">
        <v>3906</v>
      </c>
      <c r="G2466" s="307" t="s">
        <v>3907</v>
      </c>
    </row>
    <row r="2467" spans="1:7" ht="13.5">
      <c r="A2467" s="307" t="s">
        <v>11152</v>
      </c>
      <c r="B2467" s="307" t="s">
        <v>11153</v>
      </c>
      <c r="C2467" s="307" t="s">
        <v>5814</v>
      </c>
      <c r="D2467" s="307" t="s">
        <v>11154</v>
      </c>
      <c r="E2467" s="307" t="s">
        <v>3905</v>
      </c>
      <c r="F2467" s="307" t="s">
        <v>3906</v>
      </c>
      <c r="G2467" s="307" t="s">
        <v>3907</v>
      </c>
    </row>
    <row r="2468" spans="1:7" ht="13.5">
      <c r="A2468" s="307" t="s">
        <v>11155</v>
      </c>
      <c r="B2468" s="307" t="s">
        <v>11156</v>
      </c>
      <c r="C2468" s="307" t="s">
        <v>5814</v>
      </c>
      <c r="D2468" s="307" t="s">
        <v>11157</v>
      </c>
      <c r="E2468" s="307" t="s">
        <v>3905</v>
      </c>
      <c r="F2468" s="307" t="s">
        <v>3906</v>
      </c>
      <c r="G2468" s="307" t="s">
        <v>3907</v>
      </c>
    </row>
    <row r="2469" spans="1:7" ht="13.5">
      <c r="A2469" s="307" t="s">
        <v>11158</v>
      </c>
      <c r="B2469" s="307" t="s">
        <v>11159</v>
      </c>
      <c r="C2469" s="307" t="s">
        <v>5814</v>
      </c>
      <c r="D2469" s="307" t="s">
        <v>11160</v>
      </c>
      <c r="E2469" s="307" t="s">
        <v>3905</v>
      </c>
      <c r="F2469" s="307" t="s">
        <v>3906</v>
      </c>
      <c r="G2469" s="307" t="s">
        <v>3907</v>
      </c>
    </row>
    <row r="2470" spans="1:7" ht="13.5">
      <c r="A2470" s="307" t="s">
        <v>11161</v>
      </c>
      <c r="B2470" s="307" t="s">
        <v>11162</v>
      </c>
      <c r="C2470" s="307" t="s">
        <v>5814</v>
      </c>
      <c r="D2470" s="307" t="s">
        <v>11163</v>
      </c>
      <c r="E2470" s="307" t="s">
        <v>3905</v>
      </c>
      <c r="F2470" s="307" t="s">
        <v>3906</v>
      </c>
      <c r="G2470" s="307" t="s">
        <v>3907</v>
      </c>
    </row>
    <row r="2471" spans="1:7" ht="13.5">
      <c r="A2471" s="307" t="s">
        <v>11164</v>
      </c>
      <c r="B2471" s="307" t="s">
        <v>11165</v>
      </c>
      <c r="C2471" s="307" t="s">
        <v>5814</v>
      </c>
      <c r="D2471" s="307" t="s">
        <v>11166</v>
      </c>
      <c r="E2471" s="307" t="s">
        <v>3905</v>
      </c>
      <c r="F2471" s="307" t="s">
        <v>3906</v>
      </c>
      <c r="G2471" s="307" t="s">
        <v>3907</v>
      </c>
    </row>
    <row r="2472" spans="1:7" ht="13.5">
      <c r="A2472" s="307" t="s">
        <v>11167</v>
      </c>
      <c r="B2472" s="307" t="s">
        <v>11168</v>
      </c>
      <c r="C2472" s="307" t="s">
        <v>5814</v>
      </c>
      <c r="D2472" s="307" t="s">
        <v>11169</v>
      </c>
      <c r="E2472" s="307" t="s">
        <v>3905</v>
      </c>
      <c r="F2472" s="307" t="s">
        <v>3906</v>
      </c>
      <c r="G2472" s="307" t="s">
        <v>3907</v>
      </c>
    </row>
    <row r="2473" spans="1:7" ht="13.5">
      <c r="A2473" s="307" t="s">
        <v>11170</v>
      </c>
      <c r="B2473" s="307" t="s">
        <v>11171</v>
      </c>
      <c r="C2473" s="307" t="s">
        <v>5814</v>
      </c>
      <c r="D2473" s="307" t="s">
        <v>11172</v>
      </c>
      <c r="E2473" s="307" t="s">
        <v>3905</v>
      </c>
      <c r="F2473" s="307" t="s">
        <v>3906</v>
      </c>
      <c r="G2473" s="307" t="s">
        <v>3907</v>
      </c>
    </row>
    <row r="2474" spans="1:7" ht="13.5">
      <c r="A2474" s="307" t="s">
        <v>11173</v>
      </c>
      <c r="B2474" s="307" t="s">
        <v>11174</v>
      </c>
      <c r="C2474" s="307" t="s">
        <v>5814</v>
      </c>
      <c r="D2474" s="307" t="s">
        <v>11175</v>
      </c>
      <c r="E2474" s="307" t="s">
        <v>3905</v>
      </c>
      <c r="F2474" s="307" t="s">
        <v>3906</v>
      </c>
      <c r="G2474" s="307" t="s">
        <v>3907</v>
      </c>
    </row>
    <row r="2475" spans="1:7" ht="13.5">
      <c r="A2475" s="307" t="s">
        <v>11176</v>
      </c>
      <c r="B2475" s="307" t="s">
        <v>11177</v>
      </c>
      <c r="C2475" s="307" t="s">
        <v>5814</v>
      </c>
      <c r="D2475" s="307" t="s">
        <v>11178</v>
      </c>
      <c r="E2475" s="307" t="s">
        <v>3905</v>
      </c>
      <c r="F2475" s="307" t="s">
        <v>3906</v>
      </c>
      <c r="G2475" s="307" t="s">
        <v>3907</v>
      </c>
    </row>
    <row r="2476" spans="1:7" ht="13.5">
      <c r="A2476" s="307" t="s">
        <v>11179</v>
      </c>
      <c r="B2476" s="307" t="s">
        <v>11180</v>
      </c>
      <c r="C2476" s="307" t="s">
        <v>5814</v>
      </c>
      <c r="D2476" s="307" t="s">
        <v>11181</v>
      </c>
      <c r="E2476" s="307" t="s">
        <v>3905</v>
      </c>
      <c r="F2476" s="307" t="s">
        <v>3906</v>
      </c>
      <c r="G2476" s="307" t="s">
        <v>3907</v>
      </c>
    </row>
    <row r="2477" spans="1:7" ht="13.5">
      <c r="A2477" s="307" t="s">
        <v>11182</v>
      </c>
      <c r="B2477" s="307" t="s">
        <v>11183</v>
      </c>
      <c r="C2477" s="307" t="s">
        <v>5814</v>
      </c>
      <c r="D2477" s="307" t="s">
        <v>11184</v>
      </c>
      <c r="E2477" s="307" t="s">
        <v>3905</v>
      </c>
      <c r="F2477" s="307" t="s">
        <v>3906</v>
      </c>
      <c r="G2477" s="307" t="s">
        <v>3907</v>
      </c>
    </row>
    <row r="2478" spans="1:7" ht="13.5">
      <c r="A2478" s="307" t="s">
        <v>11185</v>
      </c>
      <c r="B2478" s="307" t="s">
        <v>11186</v>
      </c>
      <c r="C2478" s="307" t="s">
        <v>5814</v>
      </c>
      <c r="D2478" s="307" t="s">
        <v>11187</v>
      </c>
      <c r="E2478" s="307" t="s">
        <v>3905</v>
      </c>
      <c r="F2478" s="307" t="s">
        <v>3906</v>
      </c>
      <c r="G2478" s="307" t="s">
        <v>3907</v>
      </c>
    </row>
    <row r="2479" spans="1:7" ht="13.5">
      <c r="A2479" s="307" t="s">
        <v>11188</v>
      </c>
      <c r="B2479" s="307" t="s">
        <v>11189</v>
      </c>
      <c r="C2479" s="307" t="s">
        <v>5814</v>
      </c>
      <c r="D2479" s="307" t="s">
        <v>11190</v>
      </c>
      <c r="E2479" s="307" t="s">
        <v>3905</v>
      </c>
      <c r="F2479" s="307" t="s">
        <v>3906</v>
      </c>
      <c r="G2479" s="307" t="s">
        <v>3907</v>
      </c>
    </row>
    <row r="2480" spans="1:7" ht="13.5">
      <c r="A2480" s="307" t="s">
        <v>11191</v>
      </c>
      <c r="B2480" s="307" t="s">
        <v>11192</v>
      </c>
      <c r="C2480" s="307" t="s">
        <v>5814</v>
      </c>
      <c r="D2480" s="307" t="s">
        <v>11193</v>
      </c>
      <c r="E2480" s="307" t="s">
        <v>3905</v>
      </c>
      <c r="F2480" s="307" t="s">
        <v>3906</v>
      </c>
      <c r="G2480" s="307" t="s">
        <v>3907</v>
      </c>
    </row>
    <row r="2481" spans="1:7" ht="13.5">
      <c r="A2481" s="307" t="s">
        <v>11194</v>
      </c>
      <c r="B2481" s="307" t="s">
        <v>11195</v>
      </c>
      <c r="C2481" s="307" t="s">
        <v>5814</v>
      </c>
      <c r="D2481" s="307" t="s">
        <v>11196</v>
      </c>
      <c r="E2481" s="307" t="s">
        <v>3905</v>
      </c>
      <c r="F2481" s="307" t="s">
        <v>3906</v>
      </c>
      <c r="G2481" s="307" t="s">
        <v>3907</v>
      </c>
    </row>
    <row r="2482" spans="1:7" ht="13.5">
      <c r="A2482" s="307" t="s">
        <v>11197</v>
      </c>
      <c r="B2482" s="307" t="s">
        <v>11198</v>
      </c>
      <c r="C2482" s="307" t="s">
        <v>5814</v>
      </c>
      <c r="D2482" s="307" t="s">
        <v>11199</v>
      </c>
      <c r="E2482" s="307" t="s">
        <v>3905</v>
      </c>
      <c r="F2482" s="307" t="s">
        <v>3906</v>
      </c>
      <c r="G2482" s="307" t="s">
        <v>3907</v>
      </c>
    </row>
    <row r="2483" spans="1:7" ht="13.5">
      <c r="A2483" s="307" t="s">
        <v>11200</v>
      </c>
      <c r="B2483" s="307" t="s">
        <v>11201</v>
      </c>
      <c r="C2483" s="307" t="s">
        <v>5814</v>
      </c>
      <c r="D2483" s="307" t="s">
        <v>11202</v>
      </c>
      <c r="E2483" s="307" t="s">
        <v>3905</v>
      </c>
      <c r="F2483" s="307" t="s">
        <v>3906</v>
      </c>
      <c r="G2483" s="307" t="s">
        <v>3907</v>
      </c>
    </row>
    <row r="2484" spans="1:7" ht="13.5">
      <c r="A2484" s="307" t="s">
        <v>11203</v>
      </c>
      <c r="B2484" s="307" t="s">
        <v>11204</v>
      </c>
      <c r="C2484" s="307" t="s">
        <v>5814</v>
      </c>
      <c r="D2484" s="307" t="s">
        <v>11205</v>
      </c>
      <c r="E2484" s="307" t="s">
        <v>3905</v>
      </c>
      <c r="F2484" s="307" t="s">
        <v>3906</v>
      </c>
      <c r="G2484" s="307" t="s">
        <v>3907</v>
      </c>
    </row>
    <row r="2485" spans="1:7" ht="13.5">
      <c r="A2485" s="307" t="s">
        <v>11206</v>
      </c>
      <c r="B2485" s="307" t="s">
        <v>11207</v>
      </c>
      <c r="C2485" s="307" t="s">
        <v>5814</v>
      </c>
      <c r="D2485" s="307" t="s">
        <v>11208</v>
      </c>
      <c r="E2485" s="307" t="s">
        <v>3905</v>
      </c>
      <c r="F2485" s="307" t="s">
        <v>3906</v>
      </c>
      <c r="G2485" s="307" t="s">
        <v>3907</v>
      </c>
    </row>
    <row r="2486" spans="1:7" ht="13.5">
      <c r="A2486" s="307" t="s">
        <v>11209</v>
      </c>
      <c r="B2486" s="307" t="s">
        <v>11210</v>
      </c>
      <c r="C2486" s="307" t="s">
        <v>5814</v>
      </c>
      <c r="D2486" s="307" t="s">
        <v>11211</v>
      </c>
      <c r="E2486" s="307" t="s">
        <v>3905</v>
      </c>
      <c r="F2486" s="307" t="s">
        <v>3906</v>
      </c>
      <c r="G2486" s="307" t="s">
        <v>3907</v>
      </c>
    </row>
    <row r="2487" spans="1:7" ht="13.5">
      <c r="A2487" s="307" t="s">
        <v>11212</v>
      </c>
      <c r="B2487" s="307" t="s">
        <v>11213</v>
      </c>
      <c r="C2487" s="307" t="s">
        <v>5814</v>
      </c>
      <c r="D2487" s="307" t="s">
        <v>11214</v>
      </c>
      <c r="E2487" s="307" t="s">
        <v>3905</v>
      </c>
      <c r="F2487" s="307" t="s">
        <v>3906</v>
      </c>
      <c r="G2487" s="307" t="s">
        <v>3907</v>
      </c>
    </row>
    <row r="2488" spans="1:7" ht="13.5">
      <c r="A2488" s="307" t="s">
        <v>11215</v>
      </c>
      <c r="B2488" s="307" t="s">
        <v>11216</v>
      </c>
      <c r="C2488" s="307" t="s">
        <v>5814</v>
      </c>
      <c r="D2488" s="307" t="s">
        <v>11217</v>
      </c>
      <c r="E2488" s="307" t="s">
        <v>3905</v>
      </c>
      <c r="F2488" s="307" t="s">
        <v>3906</v>
      </c>
      <c r="G2488" s="307" t="s">
        <v>3907</v>
      </c>
    </row>
    <row r="2489" spans="1:7" ht="13.5">
      <c r="A2489" s="307" t="s">
        <v>11218</v>
      </c>
      <c r="B2489" s="307" t="s">
        <v>11219</v>
      </c>
      <c r="C2489" s="307" t="s">
        <v>5814</v>
      </c>
      <c r="D2489" s="307" t="s">
        <v>11220</v>
      </c>
      <c r="E2489" s="307" t="s">
        <v>3905</v>
      </c>
      <c r="F2489" s="307" t="s">
        <v>3906</v>
      </c>
      <c r="G2489" s="307" t="s">
        <v>3907</v>
      </c>
    </row>
    <row r="2490" spans="1:7" ht="13.5">
      <c r="A2490" s="307" t="s">
        <v>11221</v>
      </c>
      <c r="B2490" s="307" t="s">
        <v>11222</v>
      </c>
      <c r="C2490" s="307" t="s">
        <v>5814</v>
      </c>
      <c r="D2490" s="307" t="s">
        <v>11223</v>
      </c>
      <c r="E2490" s="307" t="s">
        <v>3905</v>
      </c>
      <c r="F2490" s="307" t="s">
        <v>3906</v>
      </c>
      <c r="G2490" s="307" t="s">
        <v>3907</v>
      </c>
    </row>
    <row r="2491" spans="1:7" ht="13.5">
      <c r="A2491" s="307" t="s">
        <v>11224</v>
      </c>
      <c r="B2491" s="307" t="s">
        <v>11225</v>
      </c>
      <c r="C2491" s="307" t="s">
        <v>5814</v>
      </c>
      <c r="D2491" s="307" t="s">
        <v>11226</v>
      </c>
      <c r="E2491" s="307" t="s">
        <v>3905</v>
      </c>
      <c r="F2491" s="307" t="s">
        <v>3906</v>
      </c>
      <c r="G2491" s="307" t="s">
        <v>3907</v>
      </c>
    </row>
    <row r="2492" spans="1:7" ht="13.5">
      <c r="A2492" s="307" t="s">
        <v>11227</v>
      </c>
      <c r="B2492" s="307" t="s">
        <v>11228</v>
      </c>
      <c r="C2492" s="307" t="s">
        <v>5814</v>
      </c>
      <c r="D2492" s="307" t="s">
        <v>11229</v>
      </c>
      <c r="E2492" s="307" t="s">
        <v>3905</v>
      </c>
      <c r="F2492" s="307" t="s">
        <v>3906</v>
      </c>
      <c r="G2492" s="307" t="s">
        <v>3907</v>
      </c>
    </row>
    <row r="2493" spans="1:7" ht="13.5">
      <c r="A2493" s="307" t="s">
        <v>11230</v>
      </c>
      <c r="B2493" s="307" t="s">
        <v>11231</v>
      </c>
      <c r="C2493" s="307" t="s">
        <v>5814</v>
      </c>
      <c r="D2493" s="307" t="s">
        <v>11232</v>
      </c>
      <c r="E2493" s="307" t="s">
        <v>3905</v>
      </c>
      <c r="F2493" s="307" t="s">
        <v>3906</v>
      </c>
      <c r="G2493" s="307" t="s">
        <v>3907</v>
      </c>
    </row>
    <row r="2494" spans="1:7" ht="13.5">
      <c r="A2494" s="307" t="s">
        <v>11233</v>
      </c>
      <c r="B2494" s="307" t="s">
        <v>11234</v>
      </c>
      <c r="C2494" s="307" t="s">
        <v>5814</v>
      </c>
      <c r="D2494" s="307" t="s">
        <v>11235</v>
      </c>
      <c r="E2494" s="307" t="s">
        <v>3905</v>
      </c>
      <c r="F2494" s="307" t="s">
        <v>3906</v>
      </c>
      <c r="G2494" s="307" t="s">
        <v>3907</v>
      </c>
    </row>
    <row r="2495" spans="1:7" ht="13.5">
      <c r="A2495" s="307" t="s">
        <v>11236</v>
      </c>
      <c r="B2495" s="307" t="s">
        <v>11237</v>
      </c>
      <c r="C2495" s="307" t="s">
        <v>5814</v>
      </c>
      <c r="D2495" s="307" t="s">
        <v>11238</v>
      </c>
      <c r="E2495" s="307" t="s">
        <v>3905</v>
      </c>
      <c r="F2495" s="307" t="s">
        <v>3906</v>
      </c>
      <c r="G2495" s="307" t="s">
        <v>3907</v>
      </c>
    </row>
    <row r="2496" spans="1:7" ht="13.5">
      <c r="A2496" s="307" t="s">
        <v>11239</v>
      </c>
      <c r="B2496" s="307" t="s">
        <v>11240</v>
      </c>
      <c r="C2496" s="307" t="s">
        <v>5814</v>
      </c>
      <c r="D2496" s="307" t="s">
        <v>11241</v>
      </c>
      <c r="E2496" s="307" t="s">
        <v>3905</v>
      </c>
      <c r="F2496" s="307" t="s">
        <v>3906</v>
      </c>
      <c r="G2496" s="307" t="s">
        <v>3907</v>
      </c>
    </row>
    <row r="2497" spans="1:7" ht="13.5">
      <c r="A2497" s="307" t="s">
        <v>11242</v>
      </c>
      <c r="B2497" s="307" t="s">
        <v>11243</v>
      </c>
      <c r="C2497" s="307" t="s">
        <v>5814</v>
      </c>
      <c r="D2497" s="307" t="s">
        <v>11241</v>
      </c>
      <c r="E2497" s="307" t="s">
        <v>3905</v>
      </c>
      <c r="F2497" s="307" t="s">
        <v>3906</v>
      </c>
      <c r="G2497" s="307" t="s">
        <v>3907</v>
      </c>
    </row>
    <row r="2498" spans="1:7" ht="13.5">
      <c r="A2498" s="307" t="s">
        <v>11244</v>
      </c>
      <c r="B2498" s="307" t="s">
        <v>11245</v>
      </c>
      <c r="C2498" s="307" t="s">
        <v>5814</v>
      </c>
      <c r="D2498" s="307" t="s">
        <v>11246</v>
      </c>
      <c r="E2498" s="307" t="s">
        <v>3905</v>
      </c>
      <c r="F2498" s="307" t="s">
        <v>3906</v>
      </c>
      <c r="G2498" s="307" t="s">
        <v>3907</v>
      </c>
    </row>
    <row r="2499" spans="1:7" ht="13.5">
      <c r="A2499" s="307" t="s">
        <v>11247</v>
      </c>
      <c r="B2499" s="307" t="s">
        <v>11248</v>
      </c>
      <c r="C2499" s="307" t="s">
        <v>5814</v>
      </c>
      <c r="D2499" s="307" t="s">
        <v>11249</v>
      </c>
      <c r="E2499" s="307" t="s">
        <v>3905</v>
      </c>
      <c r="F2499" s="307" t="s">
        <v>3906</v>
      </c>
      <c r="G2499" s="307" t="s">
        <v>3907</v>
      </c>
    </row>
    <row r="2500" spans="1:7" ht="13.5">
      <c r="A2500" s="307" t="s">
        <v>11250</v>
      </c>
      <c r="B2500" s="307" t="s">
        <v>11251</v>
      </c>
      <c r="C2500" s="307" t="s">
        <v>5814</v>
      </c>
      <c r="D2500" s="307" t="s">
        <v>11252</v>
      </c>
      <c r="E2500" s="307" t="s">
        <v>3905</v>
      </c>
      <c r="F2500" s="307" t="s">
        <v>3906</v>
      </c>
      <c r="G2500" s="307" t="s">
        <v>3907</v>
      </c>
    </row>
    <row r="2501" spans="1:7" ht="13.5">
      <c r="A2501" s="307" t="s">
        <v>11253</v>
      </c>
      <c r="B2501" s="307" t="s">
        <v>11254</v>
      </c>
      <c r="C2501" s="307" t="s">
        <v>5814</v>
      </c>
      <c r="D2501" s="307" t="s">
        <v>11255</v>
      </c>
      <c r="E2501" s="307" t="s">
        <v>3905</v>
      </c>
      <c r="F2501" s="307" t="s">
        <v>3906</v>
      </c>
      <c r="G2501" s="307" t="s">
        <v>3907</v>
      </c>
    </row>
    <row r="2502" spans="1:7" ht="13.5">
      <c r="A2502" s="307" t="s">
        <v>11256</v>
      </c>
      <c r="B2502" s="307" t="s">
        <v>11257</v>
      </c>
      <c r="C2502" s="307" t="s">
        <v>5814</v>
      </c>
      <c r="D2502" s="307" t="s">
        <v>11258</v>
      </c>
      <c r="E2502" s="307" t="s">
        <v>3905</v>
      </c>
      <c r="F2502" s="307" t="s">
        <v>3906</v>
      </c>
      <c r="G2502" s="307" t="s">
        <v>3907</v>
      </c>
    </row>
    <row r="2503" spans="1:7" ht="13.5">
      <c r="A2503" s="307" t="s">
        <v>11259</v>
      </c>
      <c r="B2503" s="307" t="s">
        <v>11260</v>
      </c>
      <c r="C2503" s="307" t="s">
        <v>5814</v>
      </c>
      <c r="D2503" s="307" t="s">
        <v>11261</v>
      </c>
      <c r="E2503" s="307" t="s">
        <v>3905</v>
      </c>
      <c r="F2503" s="307" t="s">
        <v>3906</v>
      </c>
      <c r="G2503" s="307" t="s">
        <v>3907</v>
      </c>
    </row>
    <row r="2504" spans="1:7" ht="13.5">
      <c r="A2504" s="307" t="s">
        <v>11262</v>
      </c>
      <c r="B2504" s="307" t="s">
        <v>11263</v>
      </c>
      <c r="C2504" s="307" t="s">
        <v>5814</v>
      </c>
      <c r="D2504" s="307" t="s">
        <v>11264</v>
      </c>
      <c r="E2504" s="307" t="s">
        <v>3905</v>
      </c>
      <c r="F2504" s="307" t="s">
        <v>3906</v>
      </c>
      <c r="G2504" s="307" t="s">
        <v>3907</v>
      </c>
    </row>
    <row r="2505" spans="1:7" ht="13.5">
      <c r="A2505" s="307" t="s">
        <v>11265</v>
      </c>
      <c r="B2505" s="307" t="s">
        <v>11266</v>
      </c>
      <c r="C2505" s="307" t="s">
        <v>5814</v>
      </c>
      <c r="D2505" s="307" t="s">
        <v>11267</v>
      </c>
      <c r="E2505" s="307" t="s">
        <v>3905</v>
      </c>
      <c r="F2505" s="307" t="s">
        <v>3906</v>
      </c>
      <c r="G2505" s="307" t="s">
        <v>3907</v>
      </c>
    </row>
    <row r="2506" spans="1:7" ht="13.5">
      <c r="A2506" s="307" t="s">
        <v>11268</v>
      </c>
      <c r="B2506" s="307" t="s">
        <v>11269</v>
      </c>
      <c r="C2506" s="307" t="s">
        <v>5814</v>
      </c>
      <c r="D2506" s="307" t="s">
        <v>11270</v>
      </c>
      <c r="E2506" s="307" t="s">
        <v>3905</v>
      </c>
      <c r="F2506" s="307" t="s">
        <v>3906</v>
      </c>
      <c r="G2506" s="307" t="s">
        <v>3907</v>
      </c>
    </row>
    <row r="2507" spans="1:7" ht="13.5">
      <c r="A2507" s="307" t="s">
        <v>11271</v>
      </c>
      <c r="B2507" s="307" t="s">
        <v>11272</v>
      </c>
      <c r="C2507" s="307" t="s">
        <v>5814</v>
      </c>
      <c r="D2507" s="307" t="s">
        <v>11273</v>
      </c>
      <c r="E2507" s="307" t="s">
        <v>3905</v>
      </c>
      <c r="F2507" s="307" t="s">
        <v>3906</v>
      </c>
      <c r="G2507" s="307" t="s">
        <v>3907</v>
      </c>
    </row>
    <row r="2508" spans="1:7" ht="13.5">
      <c r="A2508" s="307" t="s">
        <v>11274</v>
      </c>
      <c r="B2508" s="307" t="s">
        <v>11275</v>
      </c>
      <c r="C2508" s="307" t="s">
        <v>5814</v>
      </c>
      <c r="D2508" s="307" t="s">
        <v>11276</v>
      </c>
      <c r="E2508" s="307" t="s">
        <v>3905</v>
      </c>
      <c r="F2508" s="307" t="s">
        <v>3906</v>
      </c>
      <c r="G2508" s="307" t="s">
        <v>3907</v>
      </c>
    </row>
    <row r="2509" spans="1:7" ht="13.5">
      <c r="A2509" s="307" t="s">
        <v>11277</v>
      </c>
      <c r="B2509" s="307" t="s">
        <v>11278</v>
      </c>
      <c r="C2509" s="307" t="s">
        <v>5814</v>
      </c>
      <c r="D2509" s="307" t="s">
        <v>11279</v>
      </c>
      <c r="E2509" s="307" t="s">
        <v>3905</v>
      </c>
      <c r="F2509" s="307" t="s">
        <v>3906</v>
      </c>
      <c r="G2509" s="307" t="s">
        <v>3907</v>
      </c>
    </row>
    <row r="2510" spans="1:7" ht="13.5">
      <c r="A2510" s="307" t="s">
        <v>11280</v>
      </c>
      <c r="B2510" s="307" t="s">
        <v>11281</v>
      </c>
      <c r="C2510" s="307" t="s">
        <v>5814</v>
      </c>
      <c r="D2510" s="307" t="s">
        <v>11282</v>
      </c>
      <c r="E2510" s="307" t="s">
        <v>3905</v>
      </c>
      <c r="F2510" s="307" t="s">
        <v>3906</v>
      </c>
      <c r="G2510" s="307" t="s">
        <v>3907</v>
      </c>
    </row>
    <row r="2511" spans="1:7" ht="13.5">
      <c r="A2511" s="307" t="s">
        <v>11283</v>
      </c>
      <c r="B2511" s="307" t="s">
        <v>11284</v>
      </c>
      <c r="C2511" s="307" t="s">
        <v>5814</v>
      </c>
      <c r="D2511" s="307" t="s">
        <v>11285</v>
      </c>
      <c r="E2511" s="307" t="s">
        <v>3905</v>
      </c>
      <c r="F2511" s="307" t="s">
        <v>3906</v>
      </c>
      <c r="G2511" s="307" t="s">
        <v>3907</v>
      </c>
    </row>
    <row r="2512" spans="1:7" ht="13.5">
      <c r="A2512" s="307" t="s">
        <v>11286</v>
      </c>
      <c r="B2512" s="307" t="s">
        <v>11287</v>
      </c>
      <c r="C2512" s="307" t="s">
        <v>5814</v>
      </c>
      <c r="D2512" s="307" t="s">
        <v>11288</v>
      </c>
      <c r="E2512" s="307" t="s">
        <v>3905</v>
      </c>
      <c r="F2512" s="307" t="s">
        <v>3906</v>
      </c>
      <c r="G2512" s="307" t="s">
        <v>3907</v>
      </c>
    </row>
    <row r="2513" spans="1:7" ht="13.5">
      <c r="A2513" s="307" t="s">
        <v>11289</v>
      </c>
      <c r="B2513" s="307" t="s">
        <v>11290</v>
      </c>
      <c r="C2513" s="307" t="s">
        <v>5814</v>
      </c>
      <c r="D2513" s="307" t="s">
        <v>3093</v>
      </c>
      <c r="E2513" s="307" t="s">
        <v>3905</v>
      </c>
      <c r="F2513" s="307" t="s">
        <v>3906</v>
      </c>
      <c r="G2513" s="307" t="s">
        <v>3907</v>
      </c>
    </row>
    <row r="2514" spans="1:7" ht="13.5">
      <c r="A2514" s="307" t="s">
        <v>11291</v>
      </c>
      <c r="B2514" s="307" t="s">
        <v>11292</v>
      </c>
      <c r="C2514" s="307" t="s">
        <v>5814</v>
      </c>
      <c r="D2514" s="307" t="s">
        <v>11293</v>
      </c>
      <c r="E2514" s="307" t="s">
        <v>3905</v>
      </c>
      <c r="F2514" s="307" t="s">
        <v>3906</v>
      </c>
      <c r="G2514" s="307" t="s">
        <v>3907</v>
      </c>
    </row>
    <row r="2515" spans="1:7" ht="13.5">
      <c r="A2515" s="307" t="s">
        <v>11294</v>
      </c>
      <c r="B2515" s="307" t="s">
        <v>11295</v>
      </c>
      <c r="C2515" s="307" t="s">
        <v>5814</v>
      </c>
      <c r="D2515" s="307" t="s">
        <v>11296</v>
      </c>
      <c r="E2515" s="307" t="s">
        <v>3905</v>
      </c>
      <c r="F2515" s="307" t="s">
        <v>3906</v>
      </c>
      <c r="G2515" s="307" t="s">
        <v>3907</v>
      </c>
    </row>
    <row r="2516" spans="1:7" ht="13.5">
      <c r="A2516" s="307" t="s">
        <v>11297</v>
      </c>
      <c r="B2516" s="307" t="s">
        <v>11298</v>
      </c>
      <c r="C2516" s="307" t="s">
        <v>5814</v>
      </c>
      <c r="D2516" s="307" t="s">
        <v>11299</v>
      </c>
      <c r="E2516" s="307" t="s">
        <v>3905</v>
      </c>
      <c r="F2516" s="307" t="s">
        <v>3906</v>
      </c>
      <c r="G2516" s="307" t="s">
        <v>3907</v>
      </c>
    </row>
    <row r="2517" spans="1:7" ht="13.5">
      <c r="A2517" s="307" t="s">
        <v>11300</v>
      </c>
      <c r="B2517" s="307" t="s">
        <v>11301</v>
      </c>
      <c r="C2517" s="307" t="s">
        <v>5814</v>
      </c>
      <c r="D2517" s="307" t="s">
        <v>11302</v>
      </c>
      <c r="E2517" s="307" t="s">
        <v>3905</v>
      </c>
      <c r="F2517" s="307" t="s">
        <v>3906</v>
      </c>
      <c r="G2517" s="307" t="s">
        <v>3907</v>
      </c>
    </row>
    <row r="2518" spans="1:7" ht="13.5">
      <c r="A2518" s="307" t="s">
        <v>11303</v>
      </c>
      <c r="B2518" s="307" t="s">
        <v>11304</v>
      </c>
      <c r="C2518" s="307" t="s">
        <v>5814</v>
      </c>
      <c r="D2518" s="307" t="s">
        <v>11305</v>
      </c>
      <c r="E2518" s="307" t="s">
        <v>3905</v>
      </c>
      <c r="F2518" s="307" t="s">
        <v>3906</v>
      </c>
      <c r="G2518" s="307" t="s">
        <v>3907</v>
      </c>
    </row>
    <row r="2519" spans="1:7" ht="13.5">
      <c r="A2519" s="307" t="s">
        <v>11306</v>
      </c>
      <c r="B2519" s="307" t="s">
        <v>11307</v>
      </c>
      <c r="C2519" s="307" t="s">
        <v>5814</v>
      </c>
      <c r="D2519" s="307" t="s">
        <v>11308</v>
      </c>
      <c r="E2519" s="307" t="s">
        <v>3905</v>
      </c>
      <c r="F2519" s="307" t="s">
        <v>3906</v>
      </c>
      <c r="G2519" s="307" t="s">
        <v>3907</v>
      </c>
    </row>
    <row r="2520" spans="1:7" ht="13.5">
      <c r="A2520" s="307" t="s">
        <v>11309</v>
      </c>
      <c r="B2520" s="307" t="s">
        <v>11310</v>
      </c>
      <c r="C2520" s="307" t="s">
        <v>5814</v>
      </c>
      <c r="D2520" s="307" t="s">
        <v>11311</v>
      </c>
      <c r="E2520" s="307" t="s">
        <v>4021</v>
      </c>
      <c r="F2520" s="307" t="s">
        <v>3906</v>
      </c>
      <c r="G2520" s="307" t="s">
        <v>3907</v>
      </c>
    </row>
    <row r="2521" spans="1:7" ht="13.5">
      <c r="A2521" s="307" t="s">
        <v>11312</v>
      </c>
      <c r="B2521" s="307" t="s">
        <v>11313</v>
      </c>
      <c r="C2521" s="307" t="s">
        <v>5814</v>
      </c>
      <c r="D2521" s="307" t="s">
        <v>11314</v>
      </c>
      <c r="E2521" s="307" t="s">
        <v>3905</v>
      </c>
      <c r="F2521" s="307" t="s">
        <v>3906</v>
      </c>
      <c r="G2521" s="307" t="s">
        <v>3907</v>
      </c>
    </row>
    <row r="2522" spans="1:7" ht="13.5">
      <c r="A2522" s="307" t="s">
        <v>11315</v>
      </c>
      <c r="B2522" s="307" t="s">
        <v>11316</v>
      </c>
      <c r="C2522" s="307" t="s">
        <v>5814</v>
      </c>
      <c r="D2522" s="307" t="s">
        <v>11317</v>
      </c>
      <c r="E2522" s="307" t="s">
        <v>3905</v>
      </c>
      <c r="F2522" s="307" t="s">
        <v>3906</v>
      </c>
      <c r="G2522" s="307" t="s">
        <v>3907</v>
      </c>
    </row>
    <row r="2523" spans="1:7" ht="13.5">
      <c r="A2523" s="307" t="s">
        <v>11318</v>
      </c>
      <c r="B2523" s="307" t="s">
        <v>11319</v>
      </c>
      <c r="C2523" s="307" t="s">
        <v>5814</v>
      </c>
      <c r="D2523" s="307" t="s">
        <v>11320</v>
      </c>
      <c r="E2523" s="307" t="s">
        <v>3905</v>
      </c>
      <c r="F2523" s="307" t="s">
        <v>3906</v>
      </c>
      <c r="G2523" s="307" t="s">
        <v>3907</v>
      </c>
    </row>
    <row r="2524" spans="1:7" ht="13.5">
      <c r="A2524" s="307" t="s">
        <v>11321</v>
      </c>
      <c r="B2524" s="307" t="s">
        <v>11322</v>
      </c>
      <c r="C2524" s="307" t="s">
        <v>5814</v>
      </c>
      <c r="D2524" s="307" t="s">
        <v>11323</v>
      </c>
      <c r="E2524" s="307" t="s">
        <v>3905</v>
      </c>
      <c r="F2524" s="307" t="s">
        <v>3906</v>
      </c>
      <c r="G2524" s="307" t="s">
        <v>3907</v>
      </c>
    </row>
    <row r="2525" spans="1:7" ht="13.5">
      <c r="A2525" s="307" t="s">
        <v>11324</v>
      </c>
      <c r="B2525" s="307" t="s">
        <v>11325</v>
      </c>
      <c r="C2525" s="307" t="s">
        <v>5814</v>
      </c>
      <c r="D2525" s="307" t="s">
        <v>11326</v>
      </c>
      <c r="E2525" s="307" t="s">
        <v>3905</v>
      </c>
      <c r="F2525" s="307" t="s">
        <v>3906</v>
      </c>
      <c r="G2525" s="307" t="s">
        <v>3907</v>
      </c>
    </row>
    <row r="2526" spans="1:7" ht="13.5">
      <c r="A2526" s="307" t="s">
        <v>11327</v>
      </c>
      <c r="B2526" s="307" t="s">
        <v>11328</v>
      </c>
      <c r="C2526" s="307" t="s">
        <v>5814</v>
      </c>
      <c r="D2526" s="307" t="s">
        <v>11329</v>
      </c>
      <c r="E2526" s="307" t="s">
        <v>3905</v>
      </c>
      <c r="F2526" s="307" t="s">
        <v>3906</v>
      </c>
      <c r="G2526" s="307" t="s">
        <v>3907</v>
      </c>
    </row>
    <row r="2527" spans="1:7" ht="13.5">
      <c r="A2527" s="307" t="s">
        <v>11330</v>
      </c>
      <c r="B2527" s="307" t="s">
        <v>11331</v>
      </c>
      <c r="C2527" s="307" t="s">
        <v>5814</v>
      </c>
      <c r="D2527" s="307" t="s">
        <v>11332</v>
      </c>
      <c r="E2527" s="307" t="s">
        <v>3905</v>
      </c>
      <c r="F2527" s="307" t="s">
        <v>3906</v>
      </c>
      <c r="G2527" s="307" t="s">
        <v>3907</v>
      </c>
    </row>
    <row r="2528" spans="1:7" ht="13.5">
      <c r="A2528" s="307" t="s">
        <v>11333</v>
      </c>
      <c r="B2528" s="307" t="s">
        <v>11334</v>
      </c>
      <c r="C2528" s="307" t="s">
        <v>5814</v>
      </c>
      <c r="D2528" s="307" t="s">
        <v>11335</v>
      </c>
      <c r="E2528" s="307" t="s">
        <v>3905</v>
      </c>
      <c r="F2528" s="307" t="s">
        <v>3906</v>
      </c>
      <c r="G2528" s="307" t="s">
        <v>3907</v>
      </c>
    </row>
    <row r="2529" spans="1:7" ht="13.5">
      <c r="A2529" s="307" t="s">
        <v>11336</v>
      </c>
      <c r="B2529" s="307" t="s">
        <v>11337</v>
      </c>
      <c r="C2529" s="307" t="s">
        <v>5814</v>
      </c>
      <c r="D2529" s="307" t="s">
        <v>11338</v>
      </c>
      <c r="E2529" s="307" t="s">
        <v>3905</v>
      </c>
      <c r="F2529" s="307" t="s">
        <v>3906</v>
      </c>
      <c r="G2529" s="307" t="s">
        <v>3907</v>
      </c>
    </row>
    <row r="2530" spans="1:7" ht="13.5">
      <c r="A2530" s="307" t="s">
        <v>11339</v>
      </c>
      <c r="B2530" s="307" t="s">
        <v>11340</v>
      </c>
      <c r="C2530" s="307" t="s">
        <v>5814</v>
      </c>
      <c r="D2530" s="307" t="s">
        <v>11341</v>
      </c>
      <c r="E2530" s="307" t="s">
        <v>3905</v>
      </c>
      <c r="F2530" s="307" t="s">
        <v>3906</v>
      </c>
      <c r="G2530" s="307" t="s">
        <v>3907</v>
      </c>
    </row>
    <row r="2531" spans="1:7" ht="13.5">
      <c r="A2531" s="307" t="s">
        <v>11342</v>
      </c>
      <c r="B2531" s="307" t="s">
        <v>11343</v>
      </c>
      <c r="C2531" s="307" t="s">
        <v>5814</v>
      </c>
      <c r="D2531" s="307" t="s">
        <v>11344</v>
      </c>
      <c r="E2531" s="307" t="s">
        <v>3905</v>
      </c>
      <c r="F2531" s="307" t="s">
        <v>3906</v>
      </c>
      <c r="G2531" s="307" t="s">
        <v>3907</v>
      </c>
    </row>
    <row r="2532" spans="1:7" ht="13.5">
      <c r="A2532" s="307" t="s">
        <v>11345</v>
      </c>
      <c r="B2532" s="307" t="s">
        <v>11346</v>
      </c>
      <c r="C2532" s="307" t="s">
        <v>5814</v>
      </c>
      <c r="D2532" s="307" t="s">
        <v>11347</v>
      </c>
      <c r="E2532" s="307" t="s">
        <v>3905</v>
      </c>
      <c r="F2532" s="307" t="s">
        <v>3906</v>
      </c>
      <c r="G2532" s="307" t="s">
        <v>3907</v>
      </c>
    </row>
    <row r="2533" spans="1:7" ht="13.5">
      <c r="A2533" s="307" t="s">
        <v>11348</v>
      </c>
      <c r="B2533" s="307" t="s">
        <v>11349</v>
      </c>
      <c r="C2533" s="307" t="s">
        <v>5814</v>
      </c>
      <c r="D2533" s="307" t="s">
        <v>11350</v>
      </c>
      <c r="E2533" s="307" t="s">
        <v>3905</v>
      </c>
      <c r="F2533" s="307" t="s">
        <v>3906</v>
      </c>
      <c r="G2533" s="307" t="s">
        <v>3907</v>
      </c>
    </row>
    <row r="2534" spans="1:7" ht="13.5">
      <c r="A2534" s="307" t="s">
        <v>11351</v>
      </c>
      <c r="B2534" s="307" t="s">
        <v>11352</v>
      </c>
      <c r="C2534" s="307" t="s">
        <v>5814</v>
      </c>
      <c r="D2534" s="307" t="s">
        <v>11353</v>
      </c>
      <c r="E2534" s="307" t="s">
        <v>3905</v>
      </c>
      <c r="F2534" s="307" t="s">
        <v>3906</v>
      </c>
      <c r="G2534" s="307" t="s">
        <v>3907</v>
      </c>
    </row>
    <row r="2535" spans="1:7" ht="13.5">
      <c r="A2535" s="307" t="s">
        <v>11354</v>
      </c>
      <c r="B2535" s="307" t="s">
        <v>11355</v>
      </c>
      <c r="C2535" s="307" t="s">
        <v>5814</v>
      </c>
      <c r="D2535" s="307" t="s">
        <v>11356</v>
      </c>
      <c r="E2535" s="307" t="s">
        <v>3905</v>
      </c>
      <c r="F2535" s="307" t="s">
        <v>3906</v>
      </c>
      <c r="G2535" s="307" t="s">
        <v>3907</v>
      </c>
    </row>
    <row r="2536" spans="1:7" ht="13.5">
      <c r="A2536" s="307" t="s">
        <v>11357</v>
      </c>
      <c r="B2536" s="307" t="s">
        <v>11358</v>
      </c>
      <c r="C2536" s="307" t="s">
        <v>5814</v>
      </c>
      <c r="D2536" s="307" t="s">
        <v>11359</v>
      </c>
      <c r="E2536" s="307" t="s">
        <v>3905</v>
      </c>
      <c r="F2536" s="307" t="s">
        <v>3906</v>
      </c>
      <c r="G2536" s="307" t="s">
        <v>3907</v>
      </c>
    </row>
    <row r="2537" spans="1:7" ht="13.5">
      <c r="A2537" s="307" t="s">
        <v>11360</v>
      </c>
      <c r="B2537" s="307" t="s">
        <v>11361</v>
      </c>
      <c r="C2537" s="307" t="s">
        <v>5814</v>
      </c>
      <c r="D2537" s="307" t="s">
        <v>11362</v>
      </c>
      <c r="E2537" s="307" t="s">
        <v>4021</v>
      </c>
      <c r="F2537" s="307" t="s">
        <v>3906</v>
      </c>
      <c r="G2537" s="307" t="s">
        <v>3907</v>
      </c>
    </row>
    <row r="2538" spans="1:7" ht="13.5">
      <c r="A2538" s="307" t="s">
        <v>11363</v>
      </c>
      <c r="B2538" s="307" t="s">
        <v>11364</v>
      </c>
      <c r="C2538" s="307" t="s">
        <v>5814</v>
      </c>
      <c r="D2538" s="307" t="s">
        <v>11365</v>
      </c>
      <c r="E2538" s="307" t="s">
        <v>3905</v>
      </c>
      <c r="F2538" s="307" t="s">
        <v>3906</v>
      </c>
      <c r="G2538" s="307" t="s">
        <v>3907</v>
      </c>
    </row>
    <row r="2539" spans="1:7" ht="13.5">
      <c r="A2539" s="307" t="s">
        <v>11366</v>
      </c>
      <c r="B2539" s="307" t="s">
        <v>11367</v>
      </c>
      <c r="C2539" s="307" t="s">
        <v>5814</v>
      </c>
      <c r="D2539" s="307" t="s">
        <v>11368</v>
      </c>
      <c r="E2539" s="307" t="s">
        <v>3905</v>
      </c>
      <c r="F2539" s="307" t="s">
        <v>3906</v>
      </c>
      <c r="G2539" s="307" t="s">
        <v>3907</v>
      </c>
    </row>
    <row r="2540" spans="1:7" ht="13.5">
      <c r="A2540" s="307" t="s">
        <v>11369</v>
      </c>
      <c r="B2540" s="307" t="s">
        <v>11370</v>
      </c>
      <c r="C2540" s="307" t="s">
        <v>5814</v>
      </c>
      <c r="D2540" s="307" t="s">
        <v>11371</v>
      </c>
      <c r="E2540" s="307" t="s">
        <v>3905</v>
      </c>
      <c r="F2540" s="307" t="s">
        <v>3906</v>
      </c>
      <c r="G2540" s="307" t="s">
        <v>3907</v>
      </c>
    </row>
    <row r="2541" spans="1:7" ht="13.5">
      <c r="A2541" s="307" t="s">
        <v>11372</v>
      </c>
      <c r="B2541" s="307" t="s">
        <v>11373</v>
      </c>
      <c r="C2541" s="307" t="s">
        <v>5814</v>
      </c>
      <c r="D2541" s="307" t="s">
        <v>11374</v>
      </c>
      <c r="E2541" s="307" t="s">
        <v>3905</v>
      </c>
      <c r="F2541" s="307" t="s">
        <v>3906</v>
      </c>
      <c r="G2541" s="307" t="s">
        <v>3907</v>
      </c>
    </row>
    <row r="2542" spans="1:7" ht="13.5">
      <c r="A2542" s="307" t="s">
        <v>11375</v>
      </c>
      <c r="B2542" s="307" t="s">
        <v>11376</v>
      </c>
      <c r="C2542" s="307" t="s">
        <v>5814</v>
      </c>
      <c r="D2542" s="307" t="s">
        <v>11377</v>
      </c>
      <c r="E2542" s="307" t="s">
        <v>3905</v>
      </c>
      <c r="F2542" s="307" t="s">
        <v>3906</v>
      </c>
      <c r="G2542" s="307" t="s">
        <v>3907</v>
      </c>
    </row>
    <row r="2543" spans="1:7" ht="13.5">
      <c r="A2543" s="307" t="s">
        <v>11378</v>
      </c>
      <c r="B2543" s="307" t="s">
        <v>11379</v>
      </c>
      <c r="C2543" s="307" t="s">
        <v>5814</v>
      </c>
      <c r="D2543" s="307" t="s">
        <v>11380</v>
      </c>
      <c r="E2543" s="307" t="s">
        <v>4021</v>
      </c>
      <c r="F2543" s="307" t="s">
        <v>3906</v>
      </c>
      <c r="G2543" s="307" t="s">
        <v>3907</v>
      </c>
    </row>
    <row r="2544" spans="1:7" ht="13.5">
      <c r="A2544" s="307" t="s">
        <v>11381</v>
      </c>
      <c r="B2544" s="307" t="s">
        <v>11382</v>
      </c>
      <c r="C2544" s="307" t="s">
        <v>5814</v>
      </c>
      <c r="D2544" s="307" t="s">
        <v>11383</v>
      </c>
      <c r="E2544" s="307" t="s">
        <v>3905</v>
      </c>
      <c r="F2544" s="307" t="s">
        <v>3906</v>
      </c>
      <c r="G2544" s="307" t="s">
        <v>3907</v>
      </c>
    </row>
    <row r="2545" spans="1:7" ht="13.5">
      <c r="A2545" s="307" t="s">
        <v>11384</v>
      </c>
      <c r="B2545" s="307" t="s">
        <v>11385</v>
      </c>
      <c r="C2545" s="307" t="s">
        <v>5814</v>
      </c>
      <c r="D2545" s="307" t="s">
        <v>11386</v>
      </c>
      <c r="E2545" s="307" t="s">
        <v>3905</v>
      </c>
      <c r="F2545" s="307" t="s">
        <v>3906</v>
      </c>
      <c r="G2545" s="307" t="s">
        <v>3907</v>
      </c>
    </row>
    <row r="2546" spans="1:7" ht="13.5">
      <c r="A2546" s="307" t="s">
        <v>11387</v>
      </c>
      <c r="B2546" s="307" t="s">
        <v>11388</v>
      </c>
      <c r="C2546" s="307" t="s">
        <v>5814</v>
      </c>
      <c r="D2546" s="307" t="s">
        <v>11389</v>
      </c>
      <c r="E2546" s="307" t="s">
        <v>3905</v>
      </c>
      <c r="F2546" s="307" t="s">
        <v>3906</v>
      </c>
      <c r="G2546" s="307" t="s">
        <v>3907</v>
      </c>
    </row>
    <row r="2547" spans="1:7" ht="13.5">
      <c r="A2547" s="307" t="s">
        <v>11390</v>
      </c>
      <c r="B2547" s="307" t="s">
        <v>11391</v>
      </c>
      <c r="C2547" s="307" t="s">
        <v>5814</v>
      </c>
      <c r="D2547" s="307" t="s">
        <v>11392</v>
      </c>
      <c r="E2547" s="307" t="s">
        <v>3905</v>
      </c>
      <c r="F2547" s="307" t="s">
        <v>3906</v>
      </c>
      <c r="G2547" s="307" t="s">
        <v>3907</v>
      </c>
    </row>
    <row r="2548" spans="1:7" ht="13.5">
      <c r="A2548" s="307" t="s">
        <v>11393</v>
      </c>
      <c r="B2548" s="307" t="s">
        <v>11394</v>
      </c>
      <c r="C2548" s="307" t="s">
        <v>5814</v>
      </c>
      <c r="D2548" s="307" t="s">
        <v>11395</v>
      </c>
      <c r="E2548" s="307" t="s">
        <v>3905</v>
      </c>
      <c r="F2548" s="307" t="s">
        <v>3906</v>
      </c>
      <c r="G2548" s="307" t="s">
        <v>3907</v>
      </c>
    </row>
    <row r="2549" spans="1:7" ht="13.5">
      <c r="A2549" s="307" t="s">
        <v>11396</v>
      </c>
      <c r="B2549" s="307" t="s">
        <v>11397</v>
      </c>
      <c r="C2549" s="307" t="s">
        <v>5814</v>
      </c>
      <c r="D2549" s="307" t="s">
        <v>11398</v>
      </c>
      <c r="E2549" s="307" t="s">
        <v>3905</v>
      </c>
      <c r="F2549" s="307" t="s">
        <v>3906</v>
      </c>
      <c r="G2549" s="307" t="s">
        <v>3907</v>
      </c>
    </row>
    <row r="2550" spans="1:7" ht="13.5">
      <c r="A2550" s="307" t="s">
        <v>11399</v>
      </c>
      <c r="B2550" s="307" t="s">
        <v>11400</v>
      </c>
      <c r="C2550" s="307" t="s">
        <v>5814</v>
      </c>
      <c r="D2550" s="307" t="s">
        <v>11401</v>
      </c>
      <c r="E2550" s="307" t="s">
        <v>3905</v>
      </c>
      <c r="F2550" s="307" t="s">
        <v>3906</v>
      </c>
      <c r="G2550" s="307" t="s">
        <v>3907</v>
      </c>
    </row>
    <row r="2551" spans="1:7" ht="13.5">
      <c r="A2551" s="307" t="s">
        <v>11402</v>
      </c>
      <c r="B2551" s="307" t="s">
        <v>11403</v>
      </c>
      <c r="C2551" s="307" t="s">
        <v>5814</v>
      </c>
      <c r="D2551" s="307" t="s">
        <v>11404</v>
      </c>
      <c r="E2551" s="307" t="s">
        <v>3905</v>
      </c>
      <c r="F2551" s="307" t="s">
        <v>3906</v>
      </c>
      <c r="G2551" s="307" t="s">
        <v>3907</v>
      </c>
    </row>
    <row r="2552" spans="1:7" ht="13.5">
      <c r="A2552" s="307" t="s">
        <v>11405</v>
      </c>
      <c r="B2552" s="307" t="s">
        <v>11406</v>
      </c>
      <c r="C2552" s="307" t="s">
        <v>5814</v>
      </c>
      <c r="D2552" s="307" t="s">
        <v>11404</v>
      </c>
      <c r="E2552" s="307" t="s">
        <v>3905</v>
      </c>
      <c r="F2552" s="307" t="s">
        <v>3906</v>
      </c>
      <c r="G2552" s="307" t="s">
        <v>3907</v>
      </c>
    </row>
    <row r="2553" spans="1:7" ht="13.5">
      <c r="A2553" s="307" t="s">
        <v>11407</v>
      </c>
      <c r="B2553" s="307" t="s">
        <v>11408</v>
      </c>
      <c r="C2553" s="307" t="s">
        <v>5814</v>
      </c>
      <c r="D2553" s="307" t="s">
        <v>11409</v>
      </c>
      <c r="E2553" s="307" t="s">
        <v>3905</v>
      </c>
      <c r="F2553" s="307" t="s">
        <v>3906</v>
      </c>
      <c r="G2553" s="307" t="s">
        <v>3907</v>
      </c>
    </row>
    <row r="2554" spans="1:7" ht="13.5">
      <c r="A2554" s="307" t="s">
        <v>11410</v>
      </c>
      <c r="B2554" s="307" t="s">
        <v>11411</v>
      </c>
      <c r="C2554" s="307" t="s">
        <v>5814</v>
      </c>
      <c r="D2554" s="307" t="s">
        <v>11412</v>
      </c>
      <c r="E2554" s="307" t="s">
        <v>3905</v>
      </c>
      <c r="F2554" s="307" t="s">
        <v>3906</v>
      </c>
      <c r="G2554" s="307" t="s">
        <v>3907</v>
      </c>
    </row>
    <row r="2555" spans="1:7" ht="13.5">
      <c r="A2555" s="307" t="s">
        <v>11413</v>
      </c>
      <c r="B2555" s="307" t="s">
        <v>11414</v>
      </c>
      <c r="C2555" s="307" t="s">
        <v>5814</v>
      </c>
      <c r="D2555" s="307" t="s">
        <v>2496</v>
      </c>
      <c r="E2555" s="307" t="s">
        <v>3905</v>
      </c>
      <c r="F2555" s="307" t="s">
        <v>3906</v>
      </c>
      <c r="G2555" s="307" t="s">
        <v>3907</v>
      </c>
    </row>
    <row r="2556" spans="1:7" ht="13.5">
      <c r="A2556" s="307" t="s">
        <v>11415</v>
      </c>
      <c r="B2556" s="307" t="s">
        <v>11416</v>
      </c>
      <c r="C2556" s="307" t="s">
        <v>5814</v>
      </c>
      <c r="D2556" s="307" t="s">
        <v>11417</v>
      </c>
      <c r="E2556" s="307" t="s">
        <v>3905</v>
      </c>
      <c r="F2556" s="307" t="s">
        <v>3906</v>
      </c>
      <c r="G2556" s="307" t="s">
        <v>3907</v>
      </c>
    </row>
    <row r="2557" spans="1:7" ht="13.5">
      <c r="A2557" s="307" t="s">
        <v>11418</v>
      </c>
      <c r="B2557" s="307" t="s">
        <v>11419</v>
      </c>
      <c r="C2557" s="307" t="s">
        <v>5814</v>
      </c>
      <c r="D2557" s="307" t="s">
        <v>11420</v>
      </c>
      <c r="E2557" s="307" t="s">
        <v>3905</v>
      </c>
      <c r="F2557" s="307" t="s">
        <v>3906</v>
      </c>
      <c r="G2557" s="307" t="s">
        <v>3907</v>
      </c>
    </row>
    <row r="2558" spans="1:7" ht="13.5">
      <c r="A2558" s="307" t="s">
        <v>11421</v>
      </c>
      <c r="B2558" s="307" t="s">
        <v>11422</v>
      </c>
      <c r="C2558" s="307" t="s">
        <v>5814</v>
      </c>
      <c r="D2558" s="307" t="s">
        <v>11423</v>
      </c>
      <c r="E2558" s="307" t="s">
        <v>3905</v>
      </c>
      <c r="F2558" s="307" t="s">
        <v>3906</v>
      </c>
      <c r="G2558" s="307" t="s">
        <v>3907</v>
      </c>
    </row>
    <row r="2559" spans="1:7" ht="13.5">
      <c r="A2559" s="307" t="s">
        <v>11424</v>
      </c>
      <c r="B2559" s="307" t="s">
        <v>11425</v>
      </c>
      <c r="C2559" s="307" t="s">
        <v>5814</v>
      </c>
      <c r="D2559" s="307" t="s">
        <v>11426</v>
      </c>
      <c r="E2559" s="307" t="s">
        <v>3905</v>
      </c>
      <c r="F2559" s="307" t="s">
        <v>3906</v>
      </c>
      <c r="G2559" s="307" t="s">
        <v>3907</v>
      </c>
    </row>
    <row r="2560" spans="1:7" ht="13.5">
      <c r="A2560" s="307" t="s">
        <v>11427</v>
      </c>
      <c r="B2560" s="307" t="s">
        <v>11428</v>
      </c>
      <c r="C2560" s="307" t="s">
        <v>5814</v>
      </c>
      <c r="D2560" s="307" t="s">
        <v>11429</v>
      </c>
      <c r="E2560" s="307" t="s">
        <v>3905</v>
      </c>
      <c r="F2560" s="307" t="s">
        <v>3906</v>
      </c>
      <c r="G2560" s="307" t="s">
        <v>3907</v>
      </c>
    </row>
    <row r="2561" spans="1:7" ht="13.5">
      <c r="A2561" s="307" t="s">
        <v>11430</v>
      </c>
      <c r="B2561" s="307" t="s">
        <v>11431</v>
      </c>
      <c r="C2561" s="307" t="s">
        <v>5814</v>
      </c>
      <c r="D2561" s="307" t="s">
        <v>11432</v>
      </c>
      <c r="E2561" s="307" t="s">
        <v>3905</v>
      </c>
      <c r="F2561" s="307" t="s">
        <v>3906</v>
      </c>
      <c r="G2561" s="307" t="s">
        <v>3907</v>
      </c>
    </row>
    <row r="2562" spans="1:7" ht="13.5">
      <c r="A2562" s="307" t="s">
        <v>11433</v>
      </c>
      <c r="B2562" s="307" t="s">
        <v>11434</v>
      </c>
      <c r="C2562" s="307" t="s">
        <v>5814</v>
      </c>
      <c r="D2562" s="307" t="s">
        <v>11435</v>
      </c>
      <c r="E2562" s="307" t="s">
        <v>3905</v>
      </c>
      <c r="F2562" s="307" t="s">
        <v>3906</v>
      </c>
      <c r="G2562" s="307" t="s">
        <v>3907</v>
      </c>
    </row>
    <row r="2563" spans="1:7" ht="13.5">
      <c r="A2563" s="307" t="s">
        <v>11436</v>
      </c>
      <c r="B2563" s="307" t="s">
        <v>11437</v>
      </c>
      <c r="C2563" s="307" t="s">
        <v>5814</v>
      </c>
      <c r="D2563" s="307" t="s">
        <v>11438</v>
      </c>
      <c r="E2563" s="307" t="s">
        <v>3905</v>
      </c>
      <c r="F2563" s="307" t="s">
        <v>3906</v>
      </c>
      <c r="G2563" s="307" t="s">
        <v>3907</v>
      </c>
    </row>
    <row r="2564" spans="1:7" ht="13.5">
      <c r="A2564" s="307" t="s">
        <v>11439</v>
      </c>
      <c r="B2564" s="307" t="s">
        <v>11440</v>
      </c>
      <c r="C2564" s="307" t="s">
        <v>5814</v>
      </c>
      <c r="D2564" s="307" t="s">
        <v>11441</v>
      </c>
      <c r="E2564" s="307" t="s">
        <v>3905</v>
      </c>
      <c r="F2564" s="307" t="s">
        <v>3906</v>
      </c>
      <c r="G2564" s="307" t="s">
        <v>3907</v>
      </c>
    </row>
    <row r="2565" spans="1:7" ht="13.5">
      <c r="A2565" s="307" t="s">
        <v>11442</v>
      </c>
      <c r="B2565" s="307" t="s">
        <v>11443</v>
      </c>
      <c r="C2565" s="307" t="s">
        <v>5814</v>
      </c>
      <c r="D2565" s="307" t="s">
        <v>11444</v>
      </c>
      <c r="E2565" s="307" t="s">
        <v>3905</v>
      </c>
      <c r="F2565" s="307" t="s">
        <v>3906</v>
      </c>
      <c r="G2565" s="307" t="s">
        <v>3907</v>
      </c>
    </row>
    <row r="2566" spans="1:7" ht="13.5">
      <c r="A2566" s="307" t="s">
        <v>11445</v>
      </c>
      <c r="B2566" s="307" t="s">
        <v>11446</v>
      </c>
      <c r="C2566" s="307" t="s">
        <v>5814</v>
      </c>
      <c r="D2566" s="307" t="s">
        <v>11447</v>
      </c>
      <c r="E2566" s="307" t="s">
        <v>3905</v>
      </c>
      <c r="F2566" s="307" t="s">
        <v>3906</v>
      </c>
      <c r="G2566" s="307" t="s">
        <v>3907</v>
      </c>
    </row>
    <row r="2567" spans="1:7" ht="13.5">
      <c r="A2567" s="307" t="s">
        <v>11448</v>
      </c>
      <c r="B2567" s="307" t="s">
        <v>11449</v>
      </c>
      <c r="C2567" s="307" t="s">
        <v>5814</v>
      </c>
      <c r="D2567" s="307" t="s">
        <v>11450</v>
      </c>
      <c r="E2567" s="307" t="s">
        <v>3905</v>
      </c>
      <c r="F2567" s="307" t="s">
        <v>3906</v>
      </c>
      <c r="G2567" s="307" t="s">
        <v>3907</v>
      </c>
    </row>
    <row r="2568" spans="1:7" ht="13.5">
      <c r="A2568" s="307" t="s">
        <v>11451</v>
      </c>
      <c r="B2568" s="307" t="s">
        <v>11452</v>
      </c>
      <c r="C2568" s="307" t="s">
        <v>5814</v>
      </c>
      <c r="D2568" s="307" t="s">
        <v>11453</v>
      </c>
      <c r="E2568" s="307" t="s">
        <v>3905</v>
      </c>
      <c r="F2568" s="307" t="s">
        <v>3906</v>
      </c>
      <c r="G2568" s="307" t="s">
        <v>3907</v>
      </c>
    </row>
    <row r="2569" spans="1:7" ht="13.5">
      <c r="A2569" s="307" t="s">
        <v>11454</v>
      </c>
      <c r="B2569" s="307" t="s">
        <v>11455</v>
      </c>
      <c r="C2569" s="307" t="s">
        <v>5814</v>
      </c>
      <c r="D2569" s="307" t="s">
        <v>11456</v>
      </c>
      <c r="E2569" s="307" t="s">
        <v>3905</v>
      </c>
      <c r="F2569" s="307" t="s">
        <v>3906</v>
      </c>
      <c r="G2569" s="307" t="s">
        <v>3907</v>
      </c>
    </row>
    <row r="2570" spans="1:7" ht="13.5">
      <c r="A2570" s="307" t="s">
        <v>11457</v>
      </c>
      <c r="B2570" s="307" t="s">
        <v>11458</v>
      </c>
      <c r="C2570" s="307" t="s">
        <v>5814</v>
      </c>
      <c r="D2570" s="307" t="s">
        <v>11459</v>
      </c>
      <c r="E2570" s="307" t="s">
        <v>3905</v>
      </c>
      <c r="F2570" s="307" t="s">
        <v>3906</v>
      </c>
      <c r="G2570" s="307" t="s">
        <v>3907</v>
      </c>
    </row>
    <row r="2571" spans="1:7" ht="13.5">
      <c r="A2571" s="307" t="s">
        <v>11460</v>
      </c>
      <c r="B2571" s="307" t="s">
        <v>11461</v>
      </c>
      <c r="C2571" s="307" t="s">
        <v>5814</v>
      </c>
      <c r="D2571" s="307" t="s">
        <v>11462</v>
      </c>
      <c r="E2571" s="307" t="s">
        <v>3905</v>
      </c>
      <c r="F2571" s="307" t="s">
        <v>3906</v>
      </c>
      <c r="G2571" s="307" t="s">
        <v>3907</v>
      </c>
    </row>
    <row r="2572" spans="1:7" ht="13.5">
      <c r="A2572" s="307" t="s">
        <v>11463</v>
      </c>
      <c r="B2572" s="307" t="s">
        <v>11464</v>
      </c>
      <c r="C2572" s="307" t="s">
        <v>5814</v>
      </c>
      <c r="D2572" s="307" t="s">
        <v>11465</v>
      </c>
      <c r="E2572" s="307" t="s">
        <v>4021</v>
      </c>
      <c r="F2572" s="307" t="s">
        <v>3906</v>
      </c>
      <c r="G2572" s="307" t="s">
        <v>3907</v>
      </c>
    </row>
    <row r="2573" spans="1:7" ht="13.5">
      <c r="A2573" s="307" t="s">
        <v>11466</v>
      </c>
      <c r="B2573" s="307" t="s">
        <v>11467</v>
      </c>
      <c r="C2573" s="307" t="s">
        <v>5814</v>
      </c>
      <c r="D2573" s="307" t="s">
        <v>11468</v>
      </c>
      <c r="E2573" s="307" t="s">
        <v>3905</v>
      </c>
      <c r="F2573" s="307" t="s">
        <v>3906</v>
      </c>
      <c r="G2573" s="307" t="s">
        <v>3907</v>
      </c>
    </row>
    <row r="2574" spans="1:7" ht="13.5">
      <c r="A2574" s="307" t="s">
        <v>11469</v>
      </c>
      <c r="B2574" s="307" t="s">
        <v>11470</v>
      </c>
      <c r="C2574" s="307" t="s">
        <v>5814</v>
      </c>
      <c r="D2574" s="307" t="s">
        <v>11471</v>
      </c>
      <c r="E2574" s="307" t="s">
        <v>4021</v>
      </c>
      <c r="F2574" s="307" t="s">
        <v>3906</v>
      </c>
      <c r="G2574" s="307" t="s">
        <v>3907</v>
      </c>
    </row>
    <row r="2575" spans="1:7" ht="13.5">
      <c r="A2575" s="307" t="s">
        <v>11472</v>
      </c>
      <c r="B2575" s="307" t="s">
        <v>11473</v>
      </c>
      <c r="C2575" s="307" t="s">
        <v>5814</v>
      </c>
      <c r="D2575" s="307" t="s">
        <v>11474</v>
      </c>
      <c r="E2575" s="307" t="s">
        <v>3905</v>
      </c>
      <c r="F2575" s="307" t="s">
        <v>3906</v>
      </c>
      <c r="G2575" s="307" t="s">
        <v>3907</v>
      </c>
    </row>
    <row r="2576" spans="1:7" ht="13.5">
      <c r="A2576" s="307" t="s">
        <v>11475</v>
      </c>
      <c r="B2576" s="307" t="s">
        <v>11476</v>
      </c>
      <c r="C2576" s="307" t="s">
        <v>5814</v>
      </c>
      <c r="D2576" s="307" t="s">
        <v>11477</v>
      </c>
      <c r="E2576" s="307" t="s">
        <v>3905</v>
      </c>
      <c r="F2576" s="307" t="s">
        <v>3906</v>
      </c>
      <c r="G2576" s="307" t="s">
        <v>3907</v>
      </c>
    </row>
    <row r="2577" spans="1:7" ht="13.5">
      <c r="A2577" s="307" t="s">
        <v>11478</v>
      </c>
      <c r="B2577" s="307" t="s">
        <v>11479</v>
      </c>
      <c r="C2577" s="307" t="s">
        <v>5814</v>
      </c>
      <c r="D2577" s="307" t="s">
        <v>11480</v>
      </c>
      <c r="E2577" s="307" t="s">
        <v>3905</v>
      </c>
      <c r="F2577" s="307" t="s">
        <v>3906</v>
      </c>
      <c r="G2577" s="307" t="s">
        <v>3907</v>
      </c>
    </row>
    <row r="2578" spans="1:7" ht="13.5">
      <c r="A2578" s="307" t="s">
        <v>11481</v>
      </c>
      <c r="B2578" s="307" t="s">
        <v>11482</v>
      </c>
      <c r="C2578" s="307" t="s">
        <v>5814</v>
      </c>
      <c r="D2578" s="307" t="s">
        <v>11483</v>
      </c>
      <c r="E2578" s="307" t="s">
        <v>3905</v>
      </c>
      <c r="F2578" s="307" t="s">
        <v>3906</v>
      </c>
      <c r="G2578" s="307" t="s">
        <v>3907</v>
      </c>
    </row>
    <row r="2579" spans="1:7" ht="13.5">
      <c r="A2579" s="307" t="s">
        <v>11484</v>
      </c>
      <c r="B2579" s="307" t="s">
        <v>11485</v>
      </c>
      <c r="C2579" s="307" t="s">
        <v>5814</v>
      </c>
      <c r="D2579" s="307" t="s">
        <v>11486</v>
      </c>
      <c r="E2579" s="307" t="s">
        <v>4021</v>
      </c>
      <c r="F2579" s="307" t="s">
        <v>3906</v>
      </c>
      <c r="G2579" s="307" t="s">
        <v>3907</v>
      </c>
    </row>
    <row r="2580" spans="1:7" ht="13.5">
      <c r="A2580" s="307" t="s">
        <v>11487</v>
      </c>
      <c r="B2580" s="307" t="s">
        <v>11488</v>
      </c>
      <c r="C2580" s="307" t="s">
        <v>5814</v>
      </c>
      <c r="D2580" s="307" t="s">
        <v>11489</v>
      </c>
      <c r="E2580" s="307" t="s">
        <v>3905</v>
      </c>
      <c r="F2580" s="307" t="s">
        <v>3906</v>
      </c>
      <c r="G2580" s="307" t="s">
        <v>3907</v>
      </c>
    </row>
    <row r="2581" spans="1:7" ht="13.5">
      <c r="A2581" s="307" t="s">
        <v>11490</v>
      </c>
      <c r="B2581" s="307" t="s">
        <v>11491</v>
      </c>
      <c r="C2581" s="307" t="s">
        <v>5814</v>
      </c>
      <c r="D2581" s="307" t="s">
        <v>11492</v>
      </c>
      <c r="E2581" s="307" t="s">
        <v>3905</v>
      </c>
      <c r="F2581" s="307" t="s">
        <v>3906</v>
      </c>
      <c r="G2581" s="307" t="s">
        <v>3907</v>
      </c>
    </row>
    <row r="2582" spans="1:7" ht="13.5">
      <c r="A2582" s="307" t="s">
        <v>11493</v>
      </c>
      <c r="B2582" s="307" t="s">
        <v>11494</v>
      </c>
      <c r="C2582" s="307" t="s">
        <v>5814</v>
      </c>
      <c r="D2582" s="307" t="s">
        <v>11495</v>
      </c>
      <c r="E2582" s="307" t="s">
        <v>3905</v>
      </c>
      <c r="F2582" s="307" t="s">
        <v>3906</v>
      </c>
      <c r="G2582" s="307" t="s">
        <v>3907</v>
      </c>
    </row>
    <row r="2583" spans="1:7" ht="13.5">
      <c r="A2583" s="307" t="s">
        <v>11496</v>
      </c>
      <c r="B2583" s="307" t="s">
        <v>11497</v>
      </c>
      <c r="C2583" s="307" t="s">
        <v>5814</v>
      </c>
      <c r="D2583" s="307" t="s">
        <v>11498</v>
      </c>
      <c r="E2583" s="307" t="s">
        <v>3905</v>
      </c>
      <c r="F2583" s="307" t="s">
        <v>3906</v>
      </c>
      <c r="G2583" s="307" t="s">
        <v>3907</v>
      </c>
    </row>
    <row r="2584" spans="1:7" ht="13.5">
      <c r="A2584" s="307" t="s">
        <v>11499</v>
      </c>
      <c r="B2584" s="307" t="s">
        <v>11500</v>
      </c>
      <c r="C2584" s="307" t="s">
        <v>5814</v>
      </c>
      <c r="D2584" s="307" t="s">
        <v>11501</v>
      </c>
      <c r="E2584" s="307" t="s">
        <v>3905</v>
      </c>
      <c r="F2584" s="307" t="s">
        <v>3906</v>
      </c>
      <c r="G2584" s="307" t="s">
        <v>3907</v>
      </c>
    </row>
    <row r="2585" spans="1:7" ht="13.5">
      <c r="A2585" s="307" t="s">
        <v>11502</v>
      </c>
      <c r="B2585" s="307" t="s">
        <v>11503</v>
      </c>
      <c r="C2585" s="307" t="s">
        <v>5814</v>
      </c>
      <c r="D2585" s="307" t="s">
        <v>11504</v>
      </c>
      <c r="E2585" s="307" t="s">
        <v>3905</v>
      </c>
      <c r="F2585" s="307" t="s">
        <v>3906</v>
      </c>
      <c r="G2585" s="307" t="s">
        <v>3907</v>
      </c>
    </row>
    <row r="2586" spans="1:7" ht="13.5">
      <c r="A2586" s="307" t="s">
        <v>11505</v>
      </c>
      <c r="B2586" s="307" t="s">
        <v>11506</v>
      </c>
      <c r="C2586" s="307" t="s">
        <v>5814</v>
      </c>
      <c r="D2586" s="307" t="s">
        <v>11507</v>
      </c>
      <c r="E2586" s="307" t="s">
        <v>3905</v>
      </c>
      <c r="F2586" s="307" t="s">
        <v>3906</v>
      </c>
      <c r="G2586" s="307" t="s">
        <v>3907</v>
      </c>
    </row>
    <row r="2587" spans="1:7" ht="13.5">
      <c r="A2587" s="307" t="s">
        <v>11508</v>
      </c>
      <c r="B2587" s="307" t="s">
        <v>11509</v>
      </c>
      <c r="C2587" s="307" t="s">
        <v>5814</v>
      </c>
      <c r="D2587" s="307" t="s">
        <v>11510</v>
      </c>
      <c r="E2587" s="307" t="s">
        <v>3905</v>
      </c>
      <c r="F2587" s="307" t="s">
        <v>3906</v>
      </c>
      <c r="G2587" s="307" t="s">
        <v>3907</v>
      </c>
    </row>
    <row r="2588" spans="1:7" ht="13.5">
      <c r="A2588" s="307" t="s">
        <v>11511</v>
      </c>
      <c r="B2588" s="307" t="s">
        <v>11512</v>
      </c>
      <c r="C2588" s="307" t="s">
        <v>5814</v>
      </c>
      <c r="D2588" s="307" t="s">
        <v>11513</v>
      </c>
      <c r="E2588" s="307" t="s">
        <v>3905</v>
      </c>
      <c r="F2588" s="307" t="s">
        <v>3906</v>
      </c>
      <c r="G2588" s="307" t="s">
        <v>3907</v>
      </c>
    </row>
    <row r="2589" spans="1:7" ht="13.5">
      <c r="A2589" s="307" t="s">
        <v>11514</v>
      </c>
      <c r="B2589" s="307" t="s">
        <v>11515</v>
      </c>
      <c r="C2589" s="307" t="s">
        <v>5814</v>
      </c>
      <c r="D2589" s="307" t="s">
        <v>11516</v>
      </c>
      <c r="E2589" s="307" t="s">
        <v>3905</v>
      </c>
      <c r="F2589" s="307" t="s">
        <v>3906</v>
      </c>
      <c r="G2589" s="307" t="s">
        <v>3907</v>
      </c>
    </row>
    <row r="2590" spans="1:7" ht="13.5">
      <c r="A2590" s="307" t="s">
        <v>11517</v>
      </c>
      <c r="B2590" s="307" t="s">
        <v>11518</v>
      </c>
      <c r="C2590" s="307" t="s">
        <v>5814</v>
      </c>
      <c r="D2590" s="307" t="s">
        <v>11519</v>
      </c>
      <c r="E2590" s="307" t="s">
        <v>3905</v>
      </c>
      <c r="F2590" s="307" t="s">
        <v>3906</v>
      </c>
      <c r="G2590" s="307" t="s">
        <v>3907</v>
      </c>
    </row>
    <row r="2591" spans="1:7" ht="13.5">
      <c r="A2591" s="307" t="s">
        <v>11520</v>
      </c>
      <c r="B2591" s="307" t="s">
        <v>11521</v>
      </c>
      <c r="C2591" s="307" t="s">
        <v>5814</v>
      </c>
      <c r="D2591" s="307" t="s">
        <v>11522</v>
      </c>
      <c r="E2591" s="307" t="s">
        <v>3905</v>
      </c>
      <c r="F2591" s="307" t="s">
        <v>3906</v>
      </c>
      <c r="G2591" s="307" t="s">
        <v>3907</v>
      </c>
    </row>
    <row r="2592" spans="1:7" ht="13.5">
      <c r="A2592" s="307" t="s">
        <v>11523</v>
      </c>
      <c r="B2592" s="307" t="s">
        <v>11524</v>
      </c>
      <c r="C2592" s="307" t="s">
        <v>5814</v>
      </c>
      <c r="D2592" s="307" t="s">
        <v>11525</v>
      </c>
      <c r="E2592" s="307" t="s">
        <v>3905</v>
      </c>
      <c r="F2592" s="307" t="s">
        <v>3906</v>
      </c>
      <c r="G2592" s="307" t="s">
        <v>3907</v>
      </c>
    </row>
    <row r="2593" spans="1:7" ht="13.5">
      <c r="A2593" s="307" t="s">
        <v>11526</v>
      </c>
      <c r="B2593" s="307" t="s">
        <v>11527</v>
      </c>
      <c r="C2593" s="307" t="s">
        <v>5814</v>
      </c>
      <c r="D2593" s="307" t="s">
        <v>11528</v>
      </c>
      <c r="E2593" s="307" t="s">
        <v>3905</v>
      </c>
      <c r="F2593" s="307" t="s">
        <v>3906</v>
      </c>
      <c r="G2593" s="307" t="s">
        <v>3907</v>
      </c>
    </row>
    <row r="2594" spans="1:7" ht="13.5">
      <c r="A2594" s="307" t="s">
        <v>11529</v>
      </c>
      <c r="B2594" s="307" t="s">
        <v>11530</v>
      </c>
      <c r="C2594" s="307" t="s">
        <v>5814</v>
      </c>
      <c r="D2594" s="307" t="s">
        <v>11531</v>
      </c>
      <c r="E2594" s="307" t="s">
        <v>3905</v>
      </c>
      <c r="F2594" s="307" t="s">
        <v>3906</v>
      </c>
      <c r="G2594" s="307" t="s">
        <v>3907</v>
      </c>
    </row>
    <row r="2595" spans="1:7" ht="13.5">
      <c r="A2595" s="307" t="s">
        <v>11532</v>
      </c>
      <c r="B2595" s="307" t="s">
        <v>11533</v>
      </c>
      <c r="C2595" s="307" t="s">
        <v>5814</v>
      </c>
      <c r="D2595" s="307" t="s">
        <v>11534</v>
      </c>
      <c r="E2595" s="307" t="s">
        <v>3905</v>
      </c>
      <c r="F2595" s="307" t="s">
        <v>3906</v>
      </c>
      <c r="G2595" s="307" t="s">
        <v>3907</v>
      </c>
    </row>
    <row r="2596" spans="1:7" ht="13.5">
      <c r="A2596" s="307" t="s">
        <v>11535</v>
      </c>
      <c r="B2596" s="307" t="s">
        <v>11536</v>
      </c>
      <c r="C2596" s="307" t="s">
        <v>5814</v>
      </c>
      <c r="D2596" s="307" t="s">
        <v>11537</v>
      </c>
      <c r="E2596" s="307" t="s">
        <v>3905</v>
      </c>
      <c r="F2596" s="307" t="s">
        <v>3906</v>
      </c>
      <c r="G2596" s="307" t="s">
        <v>3907</v>
      </c>
    </row>
    <row r="2597" spans="1:7" ht="13.5">
      <c r="A2597" s="307" t="s">
        <v>11538</v>
      </c>
      <c r="B2597" s="307" t="s">
        <v>11539</v>
      </c>
      <c r="C2597" s="307" t="s">
        <v>5814</v>
      </c>
      <c r="D2597" s="307" t="s">
        <v>11540</v>
      </c>
      <c r="E2597" s="307" t="s">
        <v>4021</v>
      </c>
      <c r="F2597" s="307" t="s">
        <v>3906</v>
      </c>
      <c r="G2597" s="307" t="s">
        <v>3907</v>
      </c>
    </row>
    <row r="2598" spans="1:7" ht="13.5">
      <c r="A2598" s="307" t="s">
        <v>11541</v>
      </c>
      <c r="B2598" s="307" t="s">
        <v>11542</v>
      </c>
      <c r="C2598" s="307" t="s">
        <v>5814</v>
      </c>
      <c r="D2598" s="307" t="s">
        <v>11543</v>
      </c>
      <c r="E2598" s="307" t="s">
        <v>3905</v>
      </c>
      <c r="F2598" s="307" t="s">
        <v>3906</v>
      </c>
      <c r="G2598" s="307" t="s">
        <v>3907</v>
      </c>
    </row>
    <row r="2599" spans="1:7" ht="13.5">
      <c r="A2599" s="307" t="s">
        <v>11544</v>
      </c>
      <c r="B2599" s="307" t="s">
        <v>11545</v>
      </c>
      <c r="C2599" s="307" t="s">
        <v>5814</v>
      </c>
      <c r="D2599" s="307" t="s">
        <v>11546</v>
      </c>
      <c r="E2599" s="307" t="s">
        <v>3905</v>
      </c>
      <c r="F2599" s="307" t="s">
        <v>3906</v>
      </c>
      <c r="G2599" s="307" t="s">
        <v>3907</v>
      </c>
    </row>
    <row r="2600" spans="1:7" ht="13.5">
      <c r="A2600" s="307" t="s">
        <v>11547</v>
      </c>
      <c r="B2600" s="307" t="s">
        <v>11548</v>
      </c>
      <c r="C2600" s="307" t="s">
        <v>5814</v>
      </c>
      <c r="D2600" s="307" t="s">
        <v>11549</v>
      </c>
      <c r="E2600" s="307" t="s">
        <v>3905</v>
      </c>
      <c r="F2600" s="307" t="s">
        <v>3906</v>
      </c>
      <c r="G2600" s="307" t="s">
        <v>3907</v>
      </c>
    </row>
    <row r="2601" spans="1:7" ht="13.5">
      <c r="A2601" s="307" t="s">
        <v>11550</v>
      </c>
      <c r="B2601" s="307" t="s">
        <v>11551</v>
      </c>
      <c r="C2601" s="307" t="s">
        <v>5814</v>
      </c>
      <c r="D2601" s="307" t="s">
        <v>11552</v>
      </c>
      <c r="E2601" s="307" t="s">
        <v>3905</v>
      </c>
      <c r="F2601" s="307" t="s">
        <v>3906</v>
      </c>
      <c r="G2601" s="307" t="s">
        <v>3907</v>
      </c>
    </row>
    <row r="2602" spans="1:7" ht="13.5">
      <c r="A2602" s="307" t="s">
        <v>11553</v>
      </c>
      <c r="B2602" s="307" t="s">
        <v>11554</v>
      </c>
      <c r="C2602" s="307" t="s">
        <v>5814</v>
      </c>
      <c r="D2602" s="307" t="s">
        <v>11555</v>
      </c>
      <c r="E2602" s="307" t="s">
        <v>3905</v>
      </c>
      <c r="F2602" s="307" t="s">
        <v>3906</v>
      </c>
      <c r="G2602" s="307" t="s">
        <v>3907</v>
      </c>
    </row>
    <row r="2603" spans="1:7" ht="13.5">
      <c r="A2603" s="307" t="s">
        <v>11556</v>
      </c>
      <c r="B2603" s="307" t="s">
        <v>11557</v>
      </c>
      <c r="C2603" s="307" t="s">
        <v>5814</v>
      </c>
      <c r="D2603" s="307" t="s">
        <v>1100</v>
      </c>
      <c r="E2603" s="307" t="s">
        <v>3905</v>
      </c>
      <c r="F2603" s="307" t="s">
        <v>3906</v>
      </c>
      <c r="G2603" s="307" t="s">
        <v>3907</v>
      </c>
    </row>
    <row r="2604" spans="1:7" ht="13.5">
      <c r="A2604" s="307" t="s">
        <v>11558</v>
      </c>
      <c r="B2604" s="307" t="s">
        <v>11559</v>
      </c>
      <c r="C2604" s="307" t="s">
        <v>5814</v>
      </c>
      <c r="D2604" s="307" t="s">
        <v>11560</v>
      </c>
      <c r="E2604" s="307" t="s">
        <v>3905</v>
      </c>
      <c r="F2604" s="307" t="s">
        <v>3906</v>
      </c>
      <c r="G2604" s="307" t="s">
        <v>3907</v>
      </c>
    </row>
    <row r="2605" spans="1:7" ht="13.5">
      <c r="A2605" s="307" t="s">
        <v>11561</v>
      </c>
      <c r="B2605" s="307" t="s">
        <v>11562</v>
      </c>
      <c r="C2605" s="307" t="s">
        <v>5814</v>
      </c>
      <c r="D2605" s="307" t="s">
        <v>11563</v>
      </c>
      <c r="E2605" s="307" t="s">
        <v>3905</v>
      </c>
      <c r="F2605" s="307" t="s">
        <v>3906</v>
      </c>
      <c r="G2605" s="307" t="s">
        <v>3907</v>
      </c>
    </row>
    <row r="2606" spans="1:7" ht="13.5">
      <c r="A2606" s="307" t="s">
        <v>11564</v>
      </c>
      <c r="B2606" s="307" t="s">
        <v>11565</v>
      </c>
      <c r="C2606" s="307" t="s">
        <v>5814</v>
      </c>
      <c r="D2606" s="307" t="s">
        <v>11566</v>
      </c>
      <c r="E2606" s="307" t="s">
        <v>3905</v>
      </c>
      <c r="F2606" s="307" t="s">
        <v>3906</v>
      </c>
      <c r="G2606" s="307" t="s">
        <v>3907</v>
      </c>
    </row>
    <row r="2607" spans="1:7" ht="13.5">
      <c r="A2607" s="307" t="s">
        <v>11567</v>
      </c>
      <c r="B2607" s="307" t="s">
        <v>11568</v>
      </c>
      <c r="C2607" s="307" t="s">
        <v>5814</v>
      </c>
      <c r="D2607" s="307" t="s">
        <v>11569</v>
      </c>
      <c r="E2607" s="307" t="s">
        <v>3905</v>
      </c>
      <c r="F2607" s="307" t="s">
        <v>3906</v>
      </c>
      <c r="G2607" s="307" t="s">
        <v>3907</v>
      </c>
    </row>
    <row r="2608" spans="1:7" ht="13.5">
      <c r="A2608" s="307" t="s">
        <v>11570</v>
      </c>
      <c r="B2608" s="307" t="s">
        <v>11571</v>
      </c>
      <c r="C2608" s="307" t="s">
        <v>5814</v>
      </c>
      <c r="D2608" s="307" t="s">
        <v>11572</v>
      </c>
      <c r="E2608" s="307" t="s">
        <v>4021</v>
      </c>
      <c r="F2608" s="307" t="s">
        <v>3906</v>
      </c>
      <c r="G2608" s="307" t="s">
        <v>3907</v>
      </c>
    </row>
    <row r="2609" spans="1:7" ht="13.5">
      <c r="A2609" s="307" t="s">
        <v>11573</v>
      </c>
      <c r="B2609" s="307" t="s">
        <v>11574</v>
      </c>
      <c r="C2609" s="307" t="s">
        <v>5814</v>
      </c>
      <c r="D2609" s="307" t="s">
        <v>11575</v>
      </c>
      <c r="E2609" s="307" t="s">
        <v>3905</v>
      </c>
      <c r="F2609" s="307" t="s">
        <v>3906</v>
      </c>
      <c r="G2609" s="307" t="s">
        <v>3907</v>
      </c>
    </row>
    <row r="2610" spans="1:7" ht="13.5">
      <c r="A2610" s="307" t="s">
        <v>11576</v>
      </c>
      <c r="B2610" s="307" t="s">
        <v>11577</v>
      </c>
      <c r="C2610" s="307" t="s">
        <v>5814</v>
      </c>
      <c r="D2610" s="307" t="s">
        <v>11578</v>
      </c>
      <c r="E2610" s="307" t="s">
        <v>3905</v>
      </c>
      <c r="F2610" s="307" t="s">
        <v>3906</v>
      </c>
      <c r="G2610" s="307" t="s">
        <v>3907</v>
      </c>
    </row>
    <row r="2611" spans="1:7" ht="13.5">
      <c r="A2611" s="307" t="s">
        <v>11579</v>
      </c>
      <c r="B2611" s="307" t="s">
        <v>11580</v>
      </c>
      <c r="C2611" s="307" t="s">
        <v>5814</v>
      </c>
      <c r="D2611" s="307" t="s">
        <v>11581</v>
      </c>
      <c r="E2611" s="307" t="s">
        <v>3905</v>
      </c>
      <c r="F2611" s="307" t="s">
        <v>3906</v>
      </c>
      <c r="G2611" s="307" t="s">
        <v>3907</v>
      </c>
    </row>
    <row r="2612" spans="1:7" ht="13.5">
      <c r="A2612" s="307" t="s">
        <v>11582</v>
      </c>
      <c r="B2612" s="307" t="s">
        <v>11583</v>
      </c>
      <c r="C2612" s="307" t="s">
        <v>5814</v>
      </c>
      <c r="D2612" s="307" t="s">
        <v>11584</v>
      </c>
      <c r="E2612" s="307" t="s">
        <v>3905</v>
      </c>
      <c r="F2612" s="307" t="s">
        <v>3906</v>
      </c>
      <c r="G2612" s="307" t="s">
        <v>3907</v>
      </c>
    </row>
    <row r="2613" spans="1:7" ht="13.5">
      <c r="A2613" s="307" t="s">
        <v>11585</v>
      </c>
      <c r="B2613" s="307" t="s">
        <v>11586</v>
      </c>
      <c r="C2613" s="307" t="s">
        <v>5814</v>
      </c>
      <c r="D2613" s="307" t="s">
        <v>11587</v>
      </c>
      <c r="E2613" s="307" t="s">
        <v>3905</v>
      </c>
      <c r="F2613" s="307" t="s">
        <v>3906</v>
      </c>
      <c r="G2613" s="307" t="s">
        <v>3907</v>
      </c>
    </row>
    <row r="2614" spans="1:7" ht="13.5">
      <c r="A2614" s="307" t="s">
        <v>11588</v>
      </c>
      <c r="B2614" s="307" t="s">
        <v>11589</v>
      </c>
      <c r="C2614" s="307" t="s">
        <v>5814</v>
      </c>
      <c r="D2614" s="307" t="s">
        <v>11590</v>
      </c>
      <c r="E2614" s="307" t="s">
        <v>3905</v>
      </c>
      <c r="F2614" s="307" t="s">
        <v>3906</v>
      </c>
      <c r="G2614" s="307" t="s">
        <v>3907</v>
      </c>
    </row>
    <row r="2615" spans="1:7" ht="13.5">
      <c r="A2615" s="307" t="s">
        <v>11591</v>
      </c>
      <c r="B2615" s="307" t="s">
        <v>11592</v>
      </c>
      <c r="C2615" s="307" t="s">
        <v>5814</v>
      </c>
      <c r="D2615" s="307" t="s">
        <v>11593</v>
      </c>
      <c r="E2615" s="307" t="s">
        <v>3905</v>
      </c>
      <c r="F2615" s="307" t="s">
        <v>3906</v>
      </c>
      <c r="G2615" s="307" t="s">
        <v>3907</v>
      </c>
    </row>
    <row r="2616" spans="1:7" ht="13.5">
      <c r="A2616" s="307" t="s">
        <v>11594</v>
      </c>
      <c r="B2616" s="307" t="s">
        <v>11595</v>
      </c>
      <c r="C2616" s="307" t="s">
        <v>5814</v>
      </c>
      <c r="D2616" s="307" t="s">
        <v>11596</v>
      </c>
      <c r="E2616" s="307" t="s">
        <v>3905</v>
      </c>
      <c r="F2616" s="307" t="s">
        <v>3906</v>
      </c>
      <c r="G2616" s="307" t="s">
        <v>3907</v>
      </c>
    </row>
    <row r="2617" spans="1:7" ht="13.5">
      <c r="A2617" s="307" t="s">
        <v>11597</v>
      </c>
      <c r="B2617" s="307" t="s">
        <v>11598</v>
      </c>
      <c r="C2617" s="307" t="s">
        <v>5814</v>
      </c>
      <c r="D2617" s="307" t="s">
        <v>11599</v>
      </c>
      <c r="E2617" s="307" t="s">
        <v>3905</v>
      </c>
      <c r="F2617" s="307" t="s">
        <v>3906</v>
      </c>
      <c r="G2617" s="307" t="s">
        <v>3907</v>
      </c>
    </row>
    <row r="2618" spans="1:7" ht="13.5">
      <c r="A2618" s="307" t="s">
        <v>11600</v>
      </c>
      <c r="B2618" s="307" t="s">
        <v>11601</v>
      </c>
      <c r="C2618" s="307" t="s">
        <v>5814</v>
      </c>
      <c r="D2618" s="307" t="s">
        <v>11602</v>
      </c>
      <c r="E2618" s="307" t="s">
        <v>3905</v>
      </c>
      <c r="F2618" s="307" t="s">
        <v>3906</v>
      </c>
      <c r="G2618" s="307" t="s">
        <v>3907</v>
      </c>
    </row>
    <row r="2619" spans="1:7" ht="13.5">
      <c r="A2619" s="307" t="s">
        <v>11603</v>
      </c>
      <c r="B2619" s="307" t="s">
        <v>11604</v>
      </c>
      <c r="C2619" s="307" t="s">
        <v>5814</v>
      </c>
      <c r="D2619" s="307" t="s">
        <v>11605</v>
      </c>
      <c r="E2619" s="307" t="s">
        <v>3905</v>
      </c>
      <c r="F2619" s="307" t="s">
        <v>3906</v>
      </c>
      <c r="G2619" s="307" t="s">
        <v>3907</v>
      </c>
    </row>
    <row r="2620" spans="1:7" ht="13.5">
      <c r="A2620" s="307" t="s">
        <v>11606</v>
      </c>
      <c r="B2620" s="307" t="s">
        <v>11607</v>
      </c>
      <c r="C2620" s="307" t="s">
        <v>5814</v>
      </c>
      <c r="D2620" s="307" t="s">
        <v>11608</v>
      </c>
      <c r="E2620" s="307" t="s">
        <v>3905</v>
      </c>
      <c r="F2620" s="307" t="s">
        <v>3906</v>
      </c>
      <c r="G2620" s="307" t="s">
        <v>3907</v>
      </c>
    </row>
    <row r="2621" spans="1:7" ht="13.5">
      <c r="A2621" s="307" t="s">
        <v>11609</v>
      </c>
      <c r="B2621" s="307" t="s">
        <v>11610</v>
      </c>
      <c r="C2621" s="307" t="s">
        <v>5814</v>
      </c>
      <c r="D2621" s="307" t="s">
        <v>11608</v>
      </c>
      <c r="E2621" s="307" t="s">
        <v>3905</v>
      </c>
      <c r="F2621" s="307" t="s">
        <v>3906</v>
      </c>
      <c r="G2621" s="307" t="s">
        <v>3907</v>
      </c>
    </row>
    <row r="2622" spans="1:7" ht="13.5">
      <c r="A2622" s="307" t="s">
        <v>11611</v>
      </c>
      <c r="B2622" s="307" t="s">
        <v>11612</v>
      </c>
      <c r="C2622" s="307" t="s">
        <v>5814</v>
      </c>
      <c r="D2622" s="307" t="s">
        <v>11613</v>
      </c>
      <c r="E2622" s="307" t="s">
        <v>3905</v>
      </c>
      <c r="F2622" s="307" t="s">
        <v>3906</v>
      </c>
      <c r="G2622" s="307" t="s">
        <v>3907</v>
      </c>
    </row>
    <row r="2623" spans="1:7" ht="13.5">
      <c r="A2623" s="307" t="s">
        <v>11614</v>
      </c>
      <c r="B2623" s="307" t="s">
        <v>11615</v>
      </c>
      <c r="C2623" s="307" t="s">
        <v>5814</v>
      </c>
      <c r="D2623" s="307" t="s">
        <v>11616</v>
      </c>
      <c r="E2623" s="307" t="s">
        <v>3905</v>
      </c>
      <c r="F2623" s="307" t="s">
        <v>3906</v>
      </c>
      <c r="G2623" s="307" t="s">
        <v>3907</v>
      </c>
    </row>
    <row r="2624" spans="1:7" ht="13.5">
      <c r="A2624" s="307" t="s">
        <v>11617</v>
      </c>
      <c r="B2624" s="307" t="s">
        <v>11618</v>
      </c>
      <c r="C2624" s="307" t="s">
        <v>5814</v>
      </c>
      <c r="D2624" s="307" t="s">
        <v>11619</v>
      </c>
      <c r="E2624" s="307" t="s">
        <v>3905</v>
      </c>
      <c r="F2624" s="307" t="s">
        <v>3906</v>
      </c>
      <c r="G2624" s="307" t="s">
        <v>3907</v>
      </c>
    </row>
    <row r="2625" spans="1:7" ht="13.5">
      <c r="A2625" s="307" t="s">
        <v>11620</v>
      </c>
      <c r="B2625" s="307" t="s">
        <v>11621</v>
      </c>
      <c r="C2625" s="307" t="s">
        <v>5814</v>
      </c>
      <c r="D2625" s="307" t="s">
        <v>11622</v>
      </c>
      <c r="E2625" s="307" t="s">
        <v>3905</v>
      </c>
      <c r="F2625" s="307" t="s">
        <v>3906</v>
      </c>
      <c r="G2625" s="307" t="s">
        <v>3907</v>
      </c>
    </row>
    <row r="2626" spans="1:7" ht="13.5">
      <c r="A2626" s="307" t="s">
        <v>11623</v>
      </c>
      <c r="B2626" s="307" t="s">
        <v>11624</v>
      </c>
      <c r="C2626" s="307" t="s">
        <v>5814</v>
      </c>
      <c r="D2626" s="307" t="s">
        <v>11625</v>
      </c>
      <c r="E2626" s="307" t="s">
        <v>3905</v>
      </c>
      <c r="F2626" s="307" t="s">
        <v>3906</v>
      </c>
      <c r="G2626" s="307" t="s">
        <v>3907</v>
      </c>
    </row>
    <row r="2627" spans="1:7" ht="13.5">
      <c r="A2627" s="307" t="s">
        <v>11626</v>
      </c>
      <c r="B2627" s="307" t="s">
        <v>11627</v>
      </c>
      <c r="C2627" s="307" t="s">
        <v>5814</v>
      </c>
      <c r="D2627" s="307" t="s">
        <v>11628</v>
      </c>
      <c r="E2627" s="307" t="s">
        <v>3905</v>
      </c>
      <c r="F2627" s="307" t="s">
        <v>3906</v>
      </c>
      <c r="G2627" s="307" t="s">
        <v>3907</v>
      </c>
    </row>
    <row r="2628" spans="1:7" ht="13.5">
      <c r="A2628" s="307" t="s">
        <v>11629</v>
      </c>
      <c r="B2628" s="307" t="s">
        <v>11630</v>
      </c>
      <c r="C2628" s="307" t="s">
        <v>5814</v>
      </c>
      <c r="D2628" s="307" t="s">
        <v>11631</v>
      </c>
      <c r="E2628" s="307" t="s">
        <v>3905</v>
      </c>
      <c r="F2628" s="307" t="s">
        <v>3906</v>
      </c>
      <c r="G2628" s="307" t="s">
        <v>3907</v>
      </c>
    </row>
    <row r="2629" spans="1:7" ht="13.5">
      <c r="A2629" s="307" t="s">
        <v>11632</v>
      </c>
      <c r="B2629" s="307" t="s">
        <v>11633</v>
      </c>
      <c r="C2629" s="307" t="s">
        <v>5814</v>
      </c>
      <c r="D2629" s="307" t="s">
        <v>11634</v>
      </c>
      <c r="E2629" s="307" t="s">
        <v>3905</v>
      </c>
      <c r="F2629" s="307" t="s">
        <v>3906</v>
      </c>
      <c r="G2629" s="307" t="s">
        <v>3907</v>
      </c>
    </row>
    <row r="2630" spans="1:7" ht="13.5">
      <c r="A2630" s="307" t="s">
        <v>11635</v>
      </c>
      <c r="B2630" s="307" t="s">
        <v>11636</v>
      </c>
      <c r="C2630" s="307" t="s">
        <v>5814</v>
      </c>
      <c r="D2630" s="307" t="s">
        <v>11637</v>
      </c>
      <c r="E2630" s="307" t="s">
        <v>3905</v>
      </c>
      <c r="F2630" s="307" t="s">
        <v>3906</v>
      </c>
      <c r="G2630" s="307" t="s">
        <v>3907</v>
      </c>
    </row>
    <row r="2631" spans="1:7" ht="13.5">
      <c r="A2631" s="307" t="s">
        <v>11638</v>
      </c>
      <c r="B2631" s="307" t="s">
        <v>11639</v>
      </c>
      <c r="C2631" s="307" t="s">
        <v>5814</v>
      </c>
      <c r="D2631" s="307" t="s">
        <v>11640</v>
      </c>
      <c r="E2631" s="307" t="s">
        <v>3905</v>
      </c>
      <c r="F2631" s="307" t="s">
        <v>3906</v>
      </c>
      <c r="G2631" s="307" t="s">
        <v>3907</v>
      </c>
    </row>
    <row r="2632" spans="1:7" ht="13.5">
      <c r="A2632" s="307" t="s">
        <v>11641</v>
      </c>
      <c r="B2632" s="307" t="s">
        <v>11642</v>
      </c>
      <c r="C2632" s="307" t="s">
        <v>5814</v>
      </c>
      <c r="D2632" s="307" t="s">
        <v>11643</v>
      </c>
      <c r="E2632" s="307" t="s">
        <v>3905</v>
      </c>
      <c r="F2632" s="307" t="s">
        <v>3906</v>
      </c>
      <c r="G2632" s="307" t="s">
        <v>3907</v>
      </c>
    </row>
    <row r="2633" spans="1:7" ht="13.5">
      <c r="A2633" s="307" t="s">
        <v>11644</v>
      </c>
      <c r="B2633" s="307" t="s">
        <v>11645</v>
      </c>
      <c r="C2633" s="307" t="s">
        <v>5814</v>
      </c>
      <c r="D2633" s="307" t="s">
        <v>11646</v>
      </c>
      <c r="E2633" s="307" t="s">
        <v>3905</v>
      </c>
      <c r="F2633" s="307" t="s">
        <v>3906</v>
      </c>
      <c r="G2633" s="307" t="s">
        <v>3907</v>
      </c>
    </row>
    <row r="2634" spans="1:7" ht="13.5">
      <c r="A2634" s="307" t="s">
        <v>11647</v>
      </c>
      <c r="B2634" s="307" t="s">
        <v>11648</v>
      </c>
      <c r="C2634" s="307" t="s">
        <v>5814</v>
      </c>
      <c r="D2634" s="307" t="s">
        <v>11649</v>
      </c>
      <c r="E2634" s="307" t="s">
        <v>3905</v>
      </c>
      <c r="F2634" s="307" t="s">
        <v>3906</v>
      </c>
      <c r="G2634" s="307" t="s">
        <v>3907</v>
      </c>
    </row>
    <row r="2635" spans="1:7" ht="13.5">
      <c r="A2635" s="307" t="s">
        <v>11650</v>
      </c>
      <c r="B2635" s="307" t="s">
        <v>11651</v>
      </c>
      <c r="C2635" s="307" t="s">
        <v>5814</v>
      </c>
      <c r="D2635" s="307" t="s">
        <v>11652</v>
      </c>
      <c r="E2635" s="307" t="s">
        <v>3905</v>
      </c>
      <c r="F2635" s="307" t="s">
        <v>3906</v>
      </c>
      <c r="G2635" s="307" t="s">
        <v>3907</v>
      </c>
    </row>
    <row r="2636" spans="1:7" ht="13.5">
      <c r="A2636" s="307" t="s">
        <v>11653</v>
      </c>
      <c r="B2636" s="307" t="s">
        <v>11654</v>
      </c>
      <c r="C2636" s="307" t="s">
        <v>5814</v>
      </c>
      <c r="D2636" s="307" t="s">
        <v>11655</v>
      </c>
      <c r="E2636" s="307" t="s">
        <v>3905</v>
      </c>
      <c r="F2636" s="307" t="s">
        <v>3906</v>
      </c>
      <c r="G2636" s="307" t="s">
        <v>3907</v>
      </c>
    </row>
    <row r="2637" spans="1:7" ht="13.5">
      <c r="A2637" s="307" t="s">
        <v>11656</v>
      </c>
      <c r="B2637" s="307" t="s">
        <v>11657</v>
      </c>
      <c r="C2637" s="307" t="s">
        <v>5814</v>
      </c>
      <c r="D2637" s="307" t="s">
        <v>11658</v>
      </c>
      <c r="E2637" s="307" t="s">
        <v>3905</v>
      </c>
      <c r="F2637" s="307" t="s">
        <v>3906</v>
      </c>
      <c r="G2637" s="307" t="s">
        <v>3907</v>
      </c>
    </row>
    <row r="2638" spans="1:7" ht="13.5">
      <c r="A2638" s="307" t="s">
        <v>11659</v>
      </c>
      <c r="B2638" s="307" t="s">
        <v>11660</v>
      </c>
      <c r="C2638" s="307" t="s">
        <v>5814</v>
      </c>
      <c r="D2638" s="307" t="s">
        <v>11661</v>
      </c>
      <c r="E2638" s="307" t="s">
        <v>3905</v>
      </c>
      <c r="F2638" s="307" t="s">
        <v>3906</v>
      </c>
      <c r="G2638" s="307" t="s">
        <v>3907</v>
      </c>
    </row>
    <row r="2639" spans="1:7" ht="13.5">
      <c r="A2639" s="307" t="s">
        <v>11662</v>
      </c>
      <c r="B2639" s="307" t="s">
        <v>11663</v>
      </c>
      <c r="C2639" s="307" t="s">
        <v>5814</v>
      </c>
      <c r="D2639" s="307" t="s">
        <v>11664</v>
      </c>
      <c r="E2639" s="307" t="s">
        <v>3905</v>
      </c>
      <c r="F2639" s="307" t="s">
        <v>3906</v>
      </c>
      <c r="G2639" s="307" t="s">
        <v>3907</v>
      </c>
    </row>
    <row r="2640" spans="1:7" ht="13.5">
      <c r="A2640" s="307" t="s">
        <v>11665</v>
      </c>
      <c r="B2640" s="307" t="s">
        <v>11666</v>
      </c>
      <c r="C2640" s="307" t="s">
        <v>5814</v>
      </c>
      <c r="D2640" s="307" t="s">
        <v>11667</v>
      </c>
      <c r="E2640" s="307" t="s">
        <v>4021</v>
      </c>
      <c r="F2640" s="307" t="s">
        <v>3906</v>
      </c>
      <c r="G2640" s="307" t="s">
        <v>3907</v>
      </c>
    </row>
    <row r="2641" spans="1:7" ht="13.5">
      <c r="A2641" s="307" t="s">
        <v>11668</v>
      </c>
      <c r="B2641" s="307" t="s">
        <v>11669</v>
      </c>
      <c r="C2641" s="307" t="s">
        <v>5814</v>
      </c>
      <c r="D2641" s="307" t="s">
        <v>11670</v>
      </c>
      <c r="E2641" s="307" t="s">
        <v>3905</v>
      </c>
      <c r="F2641" s="307" t="s">
        <v>3906</v>
      </c>
      <c r="G2641" s="307" t="s">
        <v>3907</v>
      </c>
    </row>
    <row r="2642" spans="1:7" ht="13.5">
      <c r="A2642" s="307" t="s">
        <v>11671</v>
      </c>
      <c r="B2642" s="307" t="s">
        <v>2993</v>
      </c>
      <c r="C2642" s="307" t="s">
        <v>5814</v>
      </c>
      <c r="D2642" s="307" t="s">
        <v>2994</v>
      </c>
      <c r="E2642" s="307" t="s">
        <v>3905</v>
      </c>
      <c r="F2642" s="307" t="s">
        <v>3906</v>
      </c>
      <c r="G2642" s="307" t="s">
        <v>3907</v>
      </c>
    </row>
    <row r="2643" spans="1:7" ht="13.5">
      <c r="A2643" s="307" t="s">
        <v>11672</v>
      </c>
      <c r="B2643" s="307" t="s">
        <v>11673</v>
      </c>
      <c r="C2643" s="307" t="s">
        <v>5814</v>
      </c>
      <c r="D2643" s="307" t="s">
        <v>11674</v>
      </c>
      <c r="E2643" s="307" t="s">
        <v>3905</v>
      </c>
      <c r="F2643" s="307" t="s">
        <v>3906</v>
      </c>
      <c r="G2643" s="307" t="s">
        <v>3907</v>
      </c>
    </row>
    <row r="2644" spans="1:7" ht="13.5">
      <c r="A2644" s="307" t="s">
        <v>11675</v>
      </c>
      <c r="B2644" s="307" t="s">
        <v>11676</v>
      </c>
      <c r="C2644" s="307" t="s">
        <v>5814</v>
      </c>
      <c r="D2644" s="307" t="s">
        <v>11677</v>
      </c>
      <c r="E2644" s="307" t="s">
        <v>4021</v>
      </c>
      <c r="F2644" s="307" t="s">
        <v>3906</v>
      </c>
      <c r="G2644" s="307" t="s">
        <v>3907</v>
      </c>
    </row>
    <row r="2645" spans="1:7" ht="13.5">
      <c r="A2645" s="307" t="s">
        <v>11678</v>
      </c>
      <c r="B2645" s="307" t="s">
        <v>11679</v>
      </c>
      <c r="C2645" s="307" t="s">
        <v>5814</v>
      </c>
      <c r="D2645" s="307" t="s">
        <v>11680</v>
      </c>
      <c r="E2645" s="307" t="s">
        <v>3905</v>
      </c>
      <c r="F2645" s="307" t="s">
        <v>3906</v>
      </c>
      <c r="G2645" s="307" t="s">
        <v>3907</v>
      </c>
    </row>
    <row r="2646" spans="1:7" ht="13.5">
      <c r="A2646" s="307" t="s">
        <v>11681</v>
      </c>
      <c r="B2646" s="307" t="s">
        <v>11682</v>
      </c>
      <c r="C2646" s="307" t="s">
        <v>5814</v>
      </c>
      <c r="D2646" s="307" t="s">
        <v>11683</v>
      </c>
      <c r="E2646" s="307" t="s">
        <v>3905</v>
      </c>
      <c r="F2646" s="307" t="s">
        <v>3906</v>
      </c>
      <c r="G2646" s="307" t="s">
        <v>3907</v>
      </c>
    </row>
    <row r="2647" spans="1:7" ht="13.5">
      <c r="A2647" s="307" t="s">
        <v>11684</v>
      </c>
      <c r="B2647" s="307" t="s">
        <v>11685</v>
      </c>
      <c r="C2647" s="307" t="s">
        <v>5814</v>
      </c>
      <c r="D2647" s="307" t="s">
        <v>11686</v>
      </c>
      <c r="E2647" s="307" t="s">
        <v>3905</v>
      </c>
      <c r="F2647" s="307" t="s">
        <v>3906</v>
      </c>
      <c r="G2647" s="307" t="s">
        <v>3907</v>
      </c>
    </row>
    <row r="2648" spans="1:7" ht="13.5">
      <c r="A2648" s="307" t="s">
        <v>11687</v>
      </c>
      <c r="B2648" s="307" t="s">
        <v>11688</v>
      </c>
      <c r="C2648" s="307" t="s">
        <v>5814</v>
      </c>
      <c r="D2648" s="307" t="s">
        <v>11689</v>
      </c>
      <c r="E2648" s="307" t="s">
        <v>3905</v>
      </c>
      <c r="F2648" s="307" t="s">
        <v>3906</v>
      </c>
      <c r="G2648" s="307" t="s">
        <v>3907</v>
      </c>
    </row>
    <row r="2649" spans="1:7" ht="13.5">
      <c r="A2649" s="307" t="s">
        <v>11690</v>
      </c>
      <c r="B2649" s="307" t="s">
        <v>11691</v>
      </c>
      <c r="C2649" s="307" t="s">
        <v>5814</v>
      </c>
      <c r="D2649" s="307" t="s">
        <v>11692</v>
      </c>
      <c r="E2649" s="307" t="s">
        <v>3905</v>
      </c>
      <c r="F2649" s="307" t="s">
        <v>3906</v>
      </c>
      <c r="G2649" s="307" t="s">
        <v>3907</v>
      </c>
    </row>
    <row r="2650" spans="1:7" ht="13.5">
      <c r="A2650" s="307" t="s">
        <v>11693</v>
      </c>
      <c r="B2650" s="307" t="s">
        <v>11694</v>
      </c>
      <c r="C2650" s="307" t="s">
        <v>5814</v>
      </c>
      <c r="D2650" s="307" t="s">
        <v>11695</v>
      </c>
      <c r="E2650" s="307" t="s">
        <v>3905</v>
      </c>
      <c r="F2650" s="307" t="s">
        <v>3906</v>
      </c>
      <c r="G2650" s="307" t="s">
        <v>3907</v>
      </c>
    </row>
    <row r="2651" spans="1:7" ht="13.5">
      <c r="A2651" s="307" t="s">
        <v>11696</v>
      </c>
      <c r="B2651" s="307" t="s">
        <v>11697</v>
      </c>
      <c r="C2651" s="307" t="s">
        <v>5814</v>
      </c>
      <c r="D2651" s="307" t="s">
        <v>11698</v>
      </c>
      <c r="E2651" s="307" t="s">
        <v>3905</v>
      </c>
      <c r="F2651" s="307" t="s">
        <v>3906</v>
      </c>
      <c r="G2651" s="307" t="s">
        <v>3907</v>
      </c>
    </row>
    <row r="2652" spans="1:7" ht="13.5">
      <c r="A2652" s="307" t="s">
        <v>11699</v>
      </c>
      <c r="B2652" s="307" t="s">
        <v>11700</v>
      </c>
      <c r="C2652" s="307" t="s">
        <v>5814</v>
      </c>
      <c r="D2652" s="307" t="s">
        <v>11701</v>
      </c>
      <c r="E2652" s="307" t="s">
        <v>3905</v>
      </c>
      <c r="F2652" s="307" t="s">
        <v>3906</v>
      </c>
      <c r="G2652" s="307" t="s">
        <v>3907</v>
      </c>
    </row>
    <row r="2653" spans="1:7" ht="13.5">
      <c r="A2653" s="307" t="s">
        <v>11702</v>
      </c>
      <c r="B2653" s="307" t="s">
        <v>11703</v>
      </c>
      <c r="C2653" s="307" t="s">
        <v>5814</v>
      </c>
      <c r="D2653" s="307" t="s">
        <v>11704</v>
      </c>
      <c r="E2653" s="307" t="s">
        <v>3905</v>
      </c>
      <c r="F2653" s="307" t="s">
        <v>3906</v>
      </c>
      <c r="G2653" s="307" t="s">
        <v>3907</v>
      </c>
    </row>
    <row r="2654" spans="1:7" ht="13.5">
      <c r="A2654" s="307" t="s">
        <v>11705</v>
      </c>
      <c r="B2654" s="307" t="s">
        <v>11706</v>
      </c>
      <c r="C2654" s="307" t="s">
        <v>5814</v>
      </c>
      <c r="D2654" s="307" t="s">
        <v>11707</v>
      </c>
      <c r="E2654" s="307" t="s">
        <v>3905</v>
      </c>
      <c r="F2654" s="307" t="s">
        <v>3906</v>
      </c>
      <c r="G2654" s="307" t="s">
        <v>3907</v>
      </c>
    </row>
    <row r="2655" spans="1:7" ht="13.5">
      <c r="A2655" s="307" t="s">
        <v>11708</v>
      </c>
      <c r="B2655" s="307" t="s">
        <v>11709</v>
      </c>
      <c r="C2655" s="307" t="s">
        <v>5814</v>
      </c>
      <c r="D2655" s="307" t="s">
        <v>11710</v>
      </c>
      <c r="E2655" s="307" t="s">
        <v>4021</v>
      </c>
      <c r="F2655" s="307" t="s">
        <v>3906</v>
      </c>
      <c r="G2655" s="307" t="s">
        <v>3907</v>
      </c>
    </row>
    <row r="2656" spans="1:7" ht="13.5">
      <c r="A2656" s="307" t="s">
        <v>11711</v>
      </c>
      <c r="B2656" s="307" t="s">
        <v>11712</v>
      </c>
      <c r="C2656" s="307" t="s">
        <v>5814</v>
      </c>
      <c r="D2656" s="307" t="s">
        <v>11713</v>
      </c>
      <c r="E2656" s="307" t="s">
        <v>3905</v>
      </c>
      <c r="F2656" s="307" t="s">
        <v>3906</v>
      </c>
      <c r="G2656" s="307" t="s">
        <v>3907</v>
      </c>
    </row>
    <row r="2657" spans="1:7" ht="13.5">
      <c r="A2657" s="307" t="s">
        <v>11714</v>
      </c>
      <c r="B2657" s="307" t="s">
        <v>11715</v>
      </c>
      <c r="C2657" s="307" t="s">
        <v>5814</v>
      </c>
      <c r="D2657" s="307" t="s">
        <v>11716</v>
      </c>
      <c r="E2657" s="307" t="s">
        <v>3905</v>
      </c>
      <c r="F2657" s="307" t="s">
        <v>3906</v>
      </c>
      <c r="G2657" s="307" t="s">
        <v>3907</v>
      </c>
    </row>
  </sheetData>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80"/>
  <sheetViews>
    <sheetView workbookViewId="0" topLeftCell="A1">
      <selection activeCell="A2" sqref="A2"/>
    </sheetView>
  </sheetViews>
  <sheetFormatPr defaultColWidth="9.00390625" defaultRowHeight="13.5"/>
  <cols>
    <col min="1" max="1" width="12.625" style="60" customWidth="1"/>
    <col min="2" max="2" width="2.625" style="60" customWidth="1"/>
    <col min="3" max="10" width="10.625" style="60" customWidth="1"/>
    <col min="11" max="16384" width="9.00390625" style="60" customWidth="1"/>
  </cols>
  <sheetData>
    <row r="1" spans="1:13" ht="30" customHeight="1">
      <c r="A1" s="445" t="str">
        <f>B3</f>
        <v>第11回 全日本不動産協会杯争奪U-12サッカー大会【ラビットカップ】大分県大会</v>
      </c>
      <c r="B1" s="445"/>
      <c r="C1" s="445"/>
      <c r="D1" s="445"/>
      <c r="E1" s="445"/>
      <c r="F1" s="445"/>
      <c r="G1" s="445"/>
      <c r="H1" s="445"/>
      <c r="I1" s="445" t="s">
        <v>72</v>
      </c>
      <c r="J1" s="445"/>
      <c r="K1" s="61"/>
      <c r="L1" s="61"/>
      <c r="M1" s="61"/>
    </row>
    <row r="2" ht="5.15" customHeight="1">
      <c r="A2" s="62"/>
    </row>
    <row r="3" spans="1:10" ht="18" customHeight="1">
      <c r="A3" s="62" t="s">
        <v>73</v>
      </c>
      <c r="B3" s="437" t="s">
        <v>74</v>
      </c>
      <c r="C3" s="437"/>
      <c r="D3" s="437"/>
      <c r="E3" s="437"/>
      <c r="F3" s="437"/>
      <c r="G3" s="437"/>
      <c r="H3" s="437"/>
      <c r="I3" s="437"/>
      <c r="J3" s="437"/>
    </row>
    <row r="4" ht="5.15" customHeight="1">
      <c r="A4" s="62"/>
    </row>
    <row r="5" spans="1:10" ht="18" customHeight="1">
      <c r="A5" s="62" t="s">
        <v>75</v>
      </c>
      <c r="B5" s="437" t="s">
        <v>76</v>
      </c>
      <c r="C5" s="437"/>
      <c r="D5" s="437"/>
      <c r="E5" s="437"/>
      <c r="F5" s="437"/>
      <c r="G5" s="437"/>
      <c r="H5" s="437"/>
      <c r="I5" s="437"/>
      <c r="J5" s="437"/>
    </row>
    <row r="6" ht="5.15" customHeight="1">
      <c r="A6" s="62"/>
    </row>
    <row r="7" spans="1:13" ht="18" customHeight="1">
      <c r="A7" s="62" t="s">
        <v>77</v>
      </c>
      <c r="B7" s="446" t="s">
        <v>78</v>
      </c>
      <c r="C7" s="446"/>
      <c r="D7" s="446"/>
      <c r="E7" s="446"/>
      <c r="F7" s="446"/>
      <c r="G7" s="446"/>
      <c r="H7" s="446"/>
      <c r="I7" s="446"/>
      <c r="J7" s="446"/>
      <c r="K7" s="63"/>
      <c r="L7" s="63"/>
      <c r="M7" s="63"/>
    </row>
    <row r="8" ht="5.15" customHeight="1">
      <c r="A8" s="62"/>
    </row>
    <row r="9" spans="1:10" ht="18" customHeight="1">
      <c r="A9" s="62" t="s">
        <v>79</v>
      </c>
      <c r="B9" s="437" t="s">
        <v>80</v>
      </c>
      <c r="C9" s="437"/>
      <c r="D9" s="437"/>
      <c r="E9" s="437"/>
      <c r="F9" s="437"/>
      <c r="G9" s="437"/>
      <c r="H9" s="437"/>
      <c r="I9" s="437"/>
      <c r="J9" s="437"/>
    </row>
    <row r="10" ht="5.15" customHeight="1">
      <c r="A10" s="62"/>
    </row>
    <row r="11" spans="1:2" ht="18" customHeight="1">
      <c r="A11" s="62" t="s">
        <v>81</v>
      </c>
      <c r="B11" s="60" t="s">
        <v>82</v>
      </c>
    </row>
    <row r="12" ht="5.15" customHeight="1">
      <c r="A12" s="62"/>
    </row>
    <row r="13" spans="1:10" ht="18" customHeight="1">
      <c r="A13" s="62" t="s">
        <v>83</v>
      </c>
      <c r="B13" s="437" t="s">
        <v>84</v>
      </c>
      <c r="C13" s="437"/>
      <c r="D13" s="437"/>
      <c r="E13" s="437"/>
      <c r="F13" s="437"/>
      <c r="G13" s="437"/>
      <c r="H13" s="437"/>
      <c r="I13" s="437"/>
      <c r="J13" s="437"/>
    </row>
    <row r="14" ht="5.15" customHeight="1">
      <c r="A14" s="62"/>
    </row>
    <row r="15" spans="1:10" ht="18" customHeight="1">
      <c r="A15" s="62" t="s">
        <v>85</v>
      </c>
      <c r="B15" s="444" t="s">
        <v>86</v>
      </c>
      <c r="C15" s="444"/>
      <c r="D15" s="444"/>
      <c r="E15" s="444"/>
      <c r="F15" s="444"/>
      <c r="G15" s="444"/>
      <c r="H15" s="444"/>
      <c r="I15" s="444"/>
      <c r="J15" s="444"/>
    </row>
    <row r="16" ht="5.15" customHeight="1">
      <c r="A16" s="62"/>
    </row>
    <row r="17" spans="1:10" ht="28.5" customHeight="1">
      <c r="A17" s="62" t="s">
        <v>87</v>
      </c>
      <c r="B17" s="438" t="s">
        <v>88</v>
      </c>
      <c r="C17" s="437"/>
      <c r="D17" s="437"/>
      <c r="E17" s="437"/>
      <c r="F17" s="437"/>
      <c r="G17" s="437"/>
      <c r="H17" s="437"/>
      <c r="I17" s="437"/>
      <c r="J17" s="437"/>
    </row>
    <row r="18" ht="5.15" customHeight="1">
      <c r="A18" s="62"/>
    </row>
    <row r="19" spans="1:10" ht="17.25" customHeight="1">
      <c r="A19" s="62" t="s">
        <v>89</v>
      </c>
      <c r="B19" s="64" t="s">
        <v>90</v>
      </c>
      <c r="C19" s="440" t="s">
        <v>91</v>
      </c>
      <c r="D19" s="441"/>
      <c r="E19" s="441"/>
      <c r="F19" s="441"/>
      <c r="G19" s="441"/>
      <c r="H19" s="441"/>
      <c r="I19" s="441"/>
      <c r="J19" s="441"/>
    </row>
    <row r="20" spans="1:10" ht="16.5" customHeight="1">
      <c r="A20" s="62"/>
      <c r="B20" s="64" t="s">
        <v>92</v>
      </c>
      <c r="C20" s="440" t="s">
        <v>93</v>
      </c>
      <c r="D20" s="441"/>
      <c r="E20" s="441"/>
      <c r="F20" s="441"/>
      <c r="G20" s="441"/>
      <c r="H20" s="441"/>
      <c r="I20" s="441"/>
      <c r="J20" s="441"/>
    </row>
    <row r="21" spans="1:10" ht="44.45" customHeight="1">
      <c r="A21" s="62"/>
      <c r="B21" s="64" t="s">
        <v>94</v>
      </c>
      <c r="C21" s="440" t="s">
        <v>95</v>
      </c>
      <c r="D21" s="441"/>
      <c r="E21" s="441"/>
      <c r="F21" s="441"/>
      <c r="G21" s="441"/>
      <c r="H21" s="441"/>
      <c r="I21" s="441"/>
      <c r="J21" s="441"/>
    </row>
    <row r="22" spans="1:10" ht="27" customHeight="1">
      <c r="A22" s="62"/>
      <c r="B22" s="64" t="s">
        <v>96</v>
      </c>
      <c r="C22" s="440" t="s">
        <v>97</v>
      </c>
      <c r="D22" s="441"/>
      <c r="E22" s="441"/>
      <c r="F22" s="441"/>
      <c r="G22" s="441"/>
      <c r="H22" s="441"/>
      <c r="I22" s="441"/>
      <c r="J22" s="441"/>
    </row>
    <row r="23" spans="1:10" ht="17.15" customHeight="1">
      <c r="A23" s="62"/>
      <c r="B23" s="64" t="s">
        <v>98</v>
      </c>
      <c r="C23" s="441" t="s">
        <v>99</v>
      </c>
      <c r="D23" s="441"/>
      <c r="E23" s="441"/>
      <c r="F23" s="441"/>
      <c r="G23" s="441"/>
      <c r="H23" s="441"/>
      <c r="I23" s="441"/>
      <c r="J23" s="441"/>
    </row>
    <row r="24" spans="1:10" ht="18" customHeight="1">
      <c r="A24" s="62"/>
      <c r="B24" s="64" t="s">
        <v>100</v>
      </c>
      <c r="C24" s="441" t="s">
        <v>101</v>
      </c>
      <c r="D24" s="441"/>
      <c r="E24" s="441"/>
      <c r="F24" s="441"/>
      <c r="G24" s="441"/>
      <c r="H24" s="441"/>
      <c r="I24" s="441"/>
      <c r="J24" s="441"/>
    </row>
    <row r="25" ht="5.15" customHeight="1">
      <c r="A25" s="62"/>
    </row>
    <row r="26" spans="1:10" ht="27.75" customHeight="1">
      <c r="A26" s="60" t="s">
        <v>102</v>
      </c>
      <c r="B26" s="64" t="s">
        <v>90</v>
      </c>
      <c r="C26" s="431" t="s">
        <v>103</v>
      </c>
      <c r="D26" s="432"/>
      <c r="E26" s="432"/>
      <c r="F26" s="432"/>
      <c r="G26" s="432"/>
      <c r="H26" s="432"/>
      <c r="I26" s="432"/>
      <c r="J26" s="432"/>
    </row>
    <row r="27" spans="2:10" ht="29.45" customHeight="1">
      <c r="B27" s="64"/>
      <c r="C27" s="438" t="s">
        <v>104</v>
      </c>
      <c r="D27" s="437"/>
      <c r="E27" s="437"/>
      <c r="F27" s="437"/>
      <c r="G27" s="437"/>
      <c r="H27" s="437"/>
      <c r="I27" s="437"/>
      <c r="J27" s="437"/>
    </row>
    <row r="28" spans="1:10" ht="44.45" customHeight="1">
      <c r="A28" s="62"/>
      <c r="B28" s="64" t="s">
        <v>92</v>
      </c>
      <c r="C28" s="442" t="s">
        <v>105</v>
      </c>
      <c r="D28" s="443"/>
      <c r="E28" s="443"/>
      <c r="F28" s="443"/>
      <c r="G28" s="443"/>
      <c r="H28" s="443"/>
      <c r="I28" s="443"/>
      <c r="J28" s="443"/>
    </row>
    <row r="29" spans="1:10" ht="27.65" customHeight="1">
      <c r="A29" s="62"/>
      <c r="B29" s="64" t="s">
        <v>94</v>
      </c>
      <c r="C29" s="438" t="s">
        <v>106</v>
      </c>
      <c r="D29" s="437"/>
      <c r="E29" s="437"/>
      <c r="F29" s="437"/>
      <c r="G29" s="437"/>
      <c r="H29" s="437"/>
      <c r="I29" s="437"/>
      <c r="J29" s="437"/>
    </row>
    <row r="30" spans="1:10" ht="81" customHeight="1">
      <c r="A30" s="62"/>
      <c r="B30" s="64" t="s">
        <v>96</v>
      </c>
      <c r="C30" s="438" t="s">
        <v>107</v>
      </c>
      <c r="D30" s="437"/>
      <c r="E30" s="437"/>
      <c r="F30" s="437"/>
      <c r="G30" s="437"/>
      <c r="H30" s="437"/>
      <c r="I30" s="437"/>
      <c r="J30" s="437"/>
    </row>
    <row r="31" spans="1:10" ht="25.5" customHeight="1">
      <c r="A31" s="62"/>
      <c r="B31" s="64" t="s">
        <v>98</v>
      </c>
      <c r="C31" s="438" t="s">
        <v>108</v>
      </c>
      <c r="D31" s="438"/>
      <c r="E31" s="438"/>
      <c r="F31" s="438"/>
      <c r="G31" s="438"/>
      <c r="H31" s="438"/>
      <c r="I31" s="438"/>
      <c r="J31" s="438"/>
    </row>
    <row r="32" spans="1:10" ht="44.45" customHeight="1">
      <c r="A32" s="62"/>
      <c r="B32" s="64" t="s">
        <v>100</v>
      </c>
      <c r="C32" s="438" t="s">
        <v>109</v>
      </c>
      <c r="D32" s="438"/>
      <c r="E32" s="438"/>
      <c r="F32" s="438"/>
      <c r="G32" s="438"/>
      <c r="H32" s="438"/>
      <c r="I32" s="438"/>
      <c r="J32" s="438"/>
    </row>
    <row r="33" spans="1:10" ht="16.5" customHeight="1">
      <c r="A33" s="62"/>
      <c r="B33" s="64" t="s">
        <v>110</v>
      </c>
      <c r="C33" s="437" t="s">
        <v>111</v>
      </c>
      <c r="D33" s="437"/>
      <c r="E33" s="437"/>
      <c r="F33" s="437"/>
      <c r="G33" s="437"/>
      <c r="H33" s="437"/>
      <c r="I33" s="437"/>
      <c r="J33" s="437"/>
    </row>
    <row r="34" spans="1:10" ht="28.5" customHeight="1">
      <c r="A34" s="62"/>
      <c r="B34" s="64" t="s">
        <v>112</v>
      </c>
      <c r="C34" s="438" t="s">
        <v>113</v>
      </c>
      <c r="D34" s="437"/>
      <c r="E34" s="437"/>
      <c r="F34" s="437"/>
      <c r="G34" s="437"/>
      <c r="H34" s="437"/>
      <c r="I34" s="437"/>
      <c r="J34" s="437"/>
    </row>
    <row r="35" spans="1:10" ht="26.15" customHeight="1">
      <c r="A35" s="62"/>
      <c r="B35" s="64" t="s">
        <v>114</v>
      </c>
      <c r="C35" s="440" t="s">
        <v>115</v>
      </c>
      <c r="D35" s="441"/>
      <c r="E35" s="441"/>
      <c r="F35" s="441"/>
      <c r="G35" s="441"/>
      <c r="H35" s="441"/>
      <c r="I35" s="441"/>
      <c r="J35" s="441"/>
    </row>
    <row r="36" spans="1:10" ht="26.15" customHeight="1">
      <c r="A36" s="62"/>
      <c r="B36" s="64" t="s">
        <v>116</v>
      </c>
      <c r="C36" s="438" t="s">
        <v>117</v>
      </c>
      <c r="D36" s="437"/>
      <c r="E36" s="437"/>
      <c r="F36" s="437"/>
      <c r="G36" s="437"/>
      <c r="H36" s="437"/>
      <c r="I36" s="437"/>
      <c r="J36" s="437"/>
    </row>
    <row r="37" spans="1:10" ht="44.45" customHeight="1">
      <c r="A37" s="62"/>
      <c r="B37" s="64" t="s">
        <v>118</v>
      </c>
      <c r="C37" s="438" t="s">
        <v>119</v>
      </c>
      <c r="D37" s="437"/>
      <c r="E37" s="437"/>
      <c r="F37" s="437"/>
      <c r="G37" s="437"/>
      <c r="H37" s="437"/>
      <c r="I37" s="437"/>
      <c r="J37" s="437"/>
    </row>
    <row r="38" spans="1:10" ht="44.45" customHeight="1">
      <c r="A38" s="62"/>
      <c r="B38" s="64" t="s">
        <v>120</v>
      </c>
      <c r="C38" s="438" t="s">
        <v>121</v>
      </c>
      <c r="D38" s="437"/>
      <c r="E38" s="437"/>
      <c r="F38" s="437"/>
      <c r="G38" s="437"/>
      <c r="H38" s="437"/>
      <c r="I38" s="437"/>
      <c r="J38" s="437"/>
    </row>
    <row r="39" spans="1:10" ht="31.5" customHeight="1">
      <c r="A39" s="62"/>
      <c r="B39" s="64" t="s">
        <v>122</v>
      </c>
      <c r="C39" s="438" t="s">
        <v>123</v>
      </c>
      <c r="D39" s="437"/>
      <c r="E39" s="437"/>
      <c r="F39" s="437"/>
      <c r="G39" s="437"/>
      <c r="H39" s="437"/>
      <c r="I39" s="437"/>
      <c r="J39" s="437"/>
    </row>
    <row r="40" ht="5.15" customHeight="1">
      <c r="A40" s="62"/>
    </row>
    <row r="41" spans="1:10" s="65" customFormat="1" ht="51.95" customHeight="1">
      <c r="A41" s="66" t="s">
        <v>124</v>
      </c>
      <c r="B41" s="67" t="s">
        <v>90</v>
      </c>
      <c r="C41" s="68" t="s">
        <v>125</v>
      </c>
      <c r="D41" s="440" t="s">
        <v>126</v>
      </c>
      <c r="E41" s="440"/>
      <c r="F41" s="440"/>
      <c r="G41" s="440"/>
      <c r="H41" s="440"/>
      <c r="I41" s="440"/>
      <c r="J41" s="440"/>
    </row>
    <row r="42" spans="1:10" ht="15" customHeight="1">
      <c r="A42" s="69"/>
      <c r="B42" s="64"/>
      <c r="D42" s="438" t="s">
        <v>127</v>
      </c>
      <c r="E42" s="438"/>
      <c r="F42" s="438"/>
      <c r="G42" s="438"/>
      <c r="H42" s="438"/>
      <c r="I42" s="438"/>
      <c r="J42" s="438"/>
    </row>
    <row r="43" spans="1:10" ht="18" customHeight="1">
      <c r="A43" s="62"/>
      <c r="B43" s="64"/>
      <c r="C43" s="438" t="s">
        <v>128</v>
      </c>
      <c r="D43" s="437"/>
      <c r="E43" s="437"/>
      <c r="F43" s="437"/>
      <c r="G43" s="437"/>
      <c r="H43" s="437"/>
      <c r="I43" s="437"/>
      <c r="J43" s="437"/>
    </row>
    <row r="44" spans="1:5" ht="14.25" customHeight="1">
      <c r="A44" s="69"/>
      <c r="B44" s="64" t="s">
        <v>92</v>
      </c>
      <c r="C44" s="70" t="s">
        <v>129</v>
      </c>
      <c r="D44" s="60" t="s">
        <v>130</v>
      </c>
      <c r="E44" s="60" t="s">
        <v>131</v>
      </c>
    </row>
    <row r="45" spans="1:5" ht="18" customHeight="1">
      <c r="A45" s="62"/>
      <c r="B45" s="64"/>
      <c r="D45" s="70" t="s">
        <v>132</v>
      </c>
      <c r="E45" s="60" t="s">
        <v>133</v>
      </c>
    </row>
    <row r="46" spans="1:5" ht="14.15" customHeight="1">
      <c r="A46" s="62"/>
      <c r="B46" s="64"/>
      <c r="E46" s="60" t="s">
        <v>134</v>
      </c>
    </row>
    <row r="47" spans="1:10" ht="18" customHeight="1">
      <c r="A47" s="62"/>
      <c r="B47" s="64"/>
      <c r="E47" s="439"/>
      <c r="F47" s="439"/>
      <c r="G47" s="439"/>
      <c r="H47" s="439"/>
      <c r="I47" s="439"/>
      <c r="J47" s="439"/>
    </row>
    <row r="48" spans="1:4" ht="15.95" customHeight="1">
      <c r="A48" s="62"/>
      <c r="B48" s="64" t="s">
        <v>94</v>
      </c>
      <c r="C48" s="70" t="s">
        <v>0</v>
      </c>
      <c r="D48" s="71" t="s">
        <v>135</v>
      </c>
    </row>
    <row r="49" spans="1:4" ht="14.45" customHeight="1">
      <c r="A49" s="62"/>
      <c r="B49" s="64"/>
      <c r="D49" s="71" t="s">
        <v>136</v>
      </c>
    </row>
    <row r="50" ht="5.15" customHeight="1">
      <c r="A50" s="62"/>
    </row>
    <row r="51" spans="1:10" ht="37.5" customHeight="1">
      <c r="A51" s="62" t="s">
        <v>137</v>
      </c>
      <c r="B51" s="64" t="s">
        <v>90</v>
      </c>
      <c r="C51" s="438" t="s">
        <v>138</v>
      </c>
      <c r="D51" s="438"/>
      <c r="E51" s="438"/>
      <c r="F51" s="438"/>
      <c r="G51" s="438"/>
      <c r="H51" s="438"/>
      <c r="I51" s="438"/>
      <c r="J51" s="438"/>
    </row>
    <row r="52" spans="1:10" ht="38.45" customHeight="1">
      <c r="A52" s="62"/>
      <c r="B52" s="64" t="s">
        <v>92</v>
      </c>
      <c r="C52" s="438" t="s">
        <v>139</v>
      </c>
      <c r="D52" s="437"/>
      <c r="E52" s="437"/>
      <c r="F52" s="437"/>
      <c r="G52" s="437"/>
      <c r="H52" s="437"/>
      <c r="I52" s="437"/>
      <c r="J52" s="437"/>
    </row>
    <row r="53" spans="1:10" ht="83.25" customHeight="1">
      <c r="A53" s="62"/>
      <c r="B53" s="64" t="s">
        <v>94</v>
      </c>
      <c r="C53" s="434" t="s">
        <v>140</v>
      </c>
      <c r="D53" s="434"/>
      <c r="E53" s="434"/>
      <c r="F53" s="434"/>
      <c r="G53" s="434"/>
      <c r="H53" s="434"/>
      <c r="I53" s="434"/>
      <c r="J53" s="434"/>
    </row>
    <row r="54" spans="1:10" ht="18" customHeight="1">
      <c r="A54" s="62"/>
      <c r="B54" s="64" t="s">
        <v>96</v>
      </c>
      <c r="C54" s="432" t="s">
        <v>141</v>
      </c>
      <c r="D54" s="432"/>
      <c r="E54" s="432"/>
      <c r="F54" s="432"/>
      <c r="G54" s="432"/>
      <c r="H54" s="432"/>
      <c r="I54" s="432"/>
      <c r="J54" s="432"/>
    </row>
    <row r="55" spans="1:10" ht="30.65" customHeight="1">
      <c r="A55" s="62"/>
      <c r="B55" s="64" t="s">
        <v>98</v>
      </c>
      <c r="C55" s="438" t="s">
        <v>142</v>
      </c>
      <c r="D55" s="437"/>
      <c r="E55" s="437"/>
      <c r="F55" s="437"/>
      <c r="G55" s="437"/>
      <c r="H55" s="437"/>
      <c r="I55" s="437"/>
      <c r="J55" s="437"/>
    </row>
    <row r="56" spans="1:10" ht="16.5" customHeight="1">
      <c r="A56" s="62"/>
      <c r="B56" s="64"/>
      <c r="C56" s="437" t="s">
        <v>143</v>
      </c>
      <c r="D56" s="437"/>
      <c r="E56" s="437"/>
      <c r="F56" s="437"/>
      <c r="G56" s="437"/>
      <c r="H56" s="437"/>
      <c r="I56" s="437"/>
      <c r="J56" s="437"/>
    </row>
    <row r="57" spans="1:10" ht="14.15" customHeight="1">
      <c r="A57" s="62"/>
      <c r="B57" s="64"/>
      <c r="C57" s="437" t="s">
        <v>144</v>
      </c>
      <c r="D57" s="437"/>
      <c r="E57" s="437"/>
      <c r="F57" s="437"/>
      <c r="G57" s="437"/>
      <c r="H57" s="437"/>
      <c r="I57" s="437"/>
      <c r="J57" s="437"/>
    </row>
    <row r="58" spans="1:10" ht="14.15" customHeight="1">
      <c r="A58" s="62"/>
      <c r="B58" s="64"/>
      <c r="C58" s="437" t="s">
        <v>145</v>
      </c>
      <c r="D58" s="437"/>
      <c r="E58" s="437"/>
      <c r="F58" s="437"/>
      <c r="G58" s="437"/>
      <c r="H58" s="437"/>
      <c r="I58" s="437"/>
      <c r="J58" s="437"/>
    </row>
    <row r="59" spans="1:10" ht="13.5" customHeight="1">
      <c r="A59" s="62"/>
      <c r="B59" s="64"/>
      <c r="C59" s="437" t="s">
        <v>146</v>
      </c>
      <c r="D59" s="437"/>
      <c r="E59" s="437"/>
      <c r="F59" s="437"/>
      <c r="G59" s="437"/>
      <c r="H59" s="437"/>
      <c r="I59" s="437"/>
      <c r="J59" s="437"/>
    </row>
    <row r="60" spans="1:10" ht="12.95" customHeight="1">
      <c r="A60" s="62"/>
      <c r="B60" s="64"/>
      <c r="C60" s="438" t="s">
        <v>147</v>
      </c>
      <c r="D60" s="437"/>
      <c r="E60" s="437"/>
      <c r="F60" s="437"/>
      <c r="G60" s="437"/>
      <c r="H60" s="437"/>
      <c r="I60" s="437"/>
      <c r="J60" s="437"/>
    </row>
    <row r="61" spans="1:10" ht="14.15" customHeight="1">
      <c r="A61" s="62"/>
      <c r="B61" s="64"/>
      <c r="C61" s="432" t="s">
        <v>148</v>
      </c>
      <c r="D61" s="432"/>
      <c r="E61" s="432"/>
      <c r="F61" s="432"/>
      <c r="G61" s="432"/>
      <c r="H61" s="432"/>
      <c r="I61" s="432"/>
      <c r="J61" s="432"/>
    </row>
    <row r="62" spans="1:10" ht="27" customHeight="1">
      <c r="A62" s="62"/>
      <c r="B62" s="64"/>
      <c r="C62" s="431" t="s">
        <v>149</v>
      </c>
      <c r="D62" s="432"/>
      <c r="E62" s="432"/>
      <c r="F62" s="432"/>
      <c r="G62" s="432"/>
      <c r="H62" s="432"/>
      <c r="I62" s="432"/>
      <c r="J62" s="432"/>
    </row>
    <row r="63" spans="2:10" ht="15.95" customHeight="1">
      <c r="B63" s="64" t="s">
        <v>100</v>
      </c>
      <c r="C63" s="432" t="s">
        <v>150</v>
      </c>
      <c r="D63" s="432"/>
      <c r="E63" s="432"/>
      <c r="F63" s="432"/>
      <c r="G63" s="432"/>
      <c r="H63" s="432"/>
      <c r="I63" s="432"/>
      <c r="J63" s="432"/>
    </row>
    <row r="64" spans="2:10" ht="15" customHeight="1">
      <c r="B64" s="64" t="s">
        <v>110</v>
      </c>
      <c r="C64" s="432" t="s">
        <v>151</v>
      </c>
      <c r="D64" s="432"/>
      <c r="E64" s="432"/>
      <c r="F64" s="432"/>
      <c r="G64" s="432"/>
      <c r="H64" s="432"/>
      <c r="I64" s="432"/>
      <c r="J64" s="432"/>
    </row>
    <row r="65" spans="2:10" ht="15.75" customHeight="1">
      <c r="B65" s="64"/>
      <c r="C65" s="432" t="s">
        <v>152</v>
      </c>
      <c r="D65" s="432"/>
      <c r="E65" s="432"/>
      <c r="F65" s="432"/>
      <c r="G65" s="432"/>
      <c r="H65" s="432"/>
      <c r="I65" s="432"/>
      <c r="J65" s="432"/>
    </row>
    <row r="66" spans="2:10" ht="15.95" customHeight="1">
      <c r="B66" s="64"/>
      <c r="C66" s="432" t="s">
        <v>153</v>
      </c>
      <c r="D66" s="432"/>
      <c r="E66" s="432"/>
      <c r="F66" s="432"/>
      <c r="G66" s="432"/>
      <c r="H66" s="432"/>
      <c r="I66" s="432"/>
      <c r="J66" s="432"/>
    </row>
    <row r="67" spans="2:10" ht="13.5" customHeight="1">
      <c r="B67" s="64"/>
      <c r="C67" s="432" t="s">
        <v>154</v>
      </c>
      <c r="D67" s="432"/>
      <c r="E67" s="432"/>
      <c r="F67" s="432"/>
      <c r="G67" s="432"/>
      <c r="H67" s="432"/>
      <c r="I67" s="432"/>
      <c r="J67" s="432"/>
    </row>
    <row r="68" spans="2:10" ht="13.5" customHeight="1">
      <c r="B68" s="64"/>
      <c r="C68" s="436" t="s">
        <v>155</v>
      </c>
      <c r="D68" s="436"/>
      <c r="E68" s="436"/>
      <c r="F68" s="436"/>
      <c r="G68" s="436"/>
      <c r="H68" s="436"/>
      <c r="I68" s="436"/>
      <c r="J68" s="436"/>
    </row>
    <row r="69" spans="2:10" ht="14.25" customHeight="1">
      <c r="B69" s="64"/>
      <c r="C69" s="432" t="s">
        <v>156</v>
      </c>
      <c r="D69" s="432"/>
      <c r="E69" s="432"/>
      <c r="F69" s="432"/>
      <c r="G69" s="432"/>
      <c r="H69" s="432"/>
      <c r="I69" s="432"/>
      <c r="J69" s="432"/>
    </row>
    <row r="70" spans="2:10" ht="15.95" customHeight="1">
      <c r="B70" s="64"/>
      <c r="C70" s="431" t="s">
        <v>157</v>
      </c>
      <c r="D70" s="432"/>
      <c r="E70" s="432"/>
      <c r="F70" s="432"/>
      <c r="G70" s="432"/>
      <c r="H70" s="432"/>
      <c r="I70" s="432"/>
      <c r="J70" s="432"/>
    </row>
    <row r="71" spans="2:10" ht="14.45" customHeight="1">
      <c r="B71" s="64"/>
      <c r="C71" s="432" t="s">
        <v>158</v>
      </c>
      <c r="D71" s="432"/>
      <c r="E71" s="432"/>
      <c r="F71" s="432"/>
      <c r="G71" s="432"/>
      <c r="H71" s="432"/>
      <c r="I71" s="432"/>
      <c r="J71" s="432"/>
    </row>
    <row r="72" spans="2:10" ht="51.95" customHeight="1">
      <c r="B72" s="64" t="s">
        <v>112</v>
      </c>
      <c r="C72" s="431" t="s">
        <v>159</v>
      </c>
      <c r="D72" s="432"/>
      <c r="E72" s="432"/>
      <c r="F72" s="432"/>
      <c r="G72" s="432"/>
      <c r="H72" s="432"/>
      <c r="I72" s="432"/>
      <c r="J72" s="432"/>
    </row>
    <row r="73" spans="2:10" ht="18.75" customHeight="1">
      <c r="B73" s="64"/>
      <c r="C73" s="432" t="s">
        <v>160</v>
      </c>
      <c r="D73" s="432"/>
      <c r="E73" s="432"/>
      <c r="F73" s="432"/>
      <c r="G73" s="432"/>
      <c r="H73" s="432"/>
      <c r="I73" s="432"/>
      <c r="J73" s="432"/>
    </row>
    <row r="74" spans="2:10" ht="15.95" customHeight="1">
      <c r="B74" s="64"/>
      <c r="C74" s="432" t="s">
        <v>161</v>
      </c>
      <c r="D74" s="432"/>
      <c r="E74" s="432"/>
      <c r="F74" s="432"/>
      <c r="G74" s="432"/>
      <c r="H74" s="432"/>
      <c r="I74" s="432"/>
      <c r="J74" s="432"/>
    </row>
    <row r="75" spans="2:10" ht="28.5" customHeight="1">
      <c r="B75" s="64"/>
      <c r="C75" s="431" t="s">
        <v>162</v>
      </c>
      <c r="D75" s="431"/>
      <c r="E75" s="431"/>
      <c r="F75" s="431"/>
      <c r="G75" s="431"/>
      <c r="H75" s="431"/>
      <c r="I75" s="431"/>
      <c r="J75" s="431"/>
    </row>
    <row r="76" spans="2:10" ht="39" customHeight="1">
      <c r="B76" s="64" t="s">
        <v>114</v>
      </c>
      <c r="C76" s="431" t="s">
        <v>163</v>
      </c>
      <c r="D76" s="432"/>
      <c r="E76" s="432"/>
      <c r="F76" s="432"/>
      <c r="G76" s="432"/>
      <c r="H76" s="432"/>
      <c r="I76" s="432"/>
      <c r="J76" s="432"/>
    </row>
    <row r="77" spans="2:10" ht="51.95" customHeight="1">
      <c r="B77" s="64" t="s">
        <v>116</v>
      </c>
      <c r="C77" s="434" t="s">
        <v>164</v>
      </c>
      <c r="D77" s="435"/>
      <c r="E77" s="435"/>
      <c r="F77" s="435"/>
      <c r="G77" s="435"/>
      <c r="H77" s="435"/>
      <c r="I77" s="435"/>
      <c r="J77" s="435"/>
    </row>
    <row r="78" spans="2:10" ht="33" customHeight="1">
      <c r="B78" s="64" t="s">
        <v>118</v>
      </c>
      <c r="C78" s="431" t="s">
        <v>165</v>
      </c>
      <c r="D78" s="432"/>
      <c r="E78" s="432"/>
      <c r="F78" s="432"/>
      <c r="G78" s="432"/>
      <c r="H78" s="432"/>
      <c r="I78" s="432"/>
      <c r="J78" s="432"/>
    </row>
    <row r="79" spans="2:10" ht="92.15" customHeight="1">
      <c r="B79" s="60" t="s">
        <v>120</v>
      </c>
      <c r="C79" s="433" t="s">
        <v>166</v>
      </c>
      <c r="D79" s="433"/>
      <c r="E79" s="433"/>
      <c r="F79" s="433"/>
      <c r="G79" s="433"/>
      <c r="H79" s="433"/>
      <c r="I79" s="433"/>
      <c r="J79" s="433"/>
    </row>
    <row r="80" spans="2:10" ht="13.5" customHeight="1">
      <c r="B80" s="60" t="s">
        <v>122</v>
      </c>
      <c r="C80" s="431" t="s">
        <v>167</v>
      </c>
      <c r="D80" s="432"/>
      <c r="E80" s="432"/>
      <c r="F80" s="432"/>
      <c r="G80" s="432"/>
      <c r="H80" s="432"/>
      <c r="I80" s="432"/>
      <c r="J80" s="432"/>
    </row>
  </sheetData>
  <mergeCells count="63">
    <mergeCell ref="A1:H1"/>
    <mergeCell ref="I1:J1"/>
    <mergeCell ref="B3:J3"/>
    <mergeCell ref="B5:J5"/>
    <mergeCell ref="B7:J7"/>
    <mergeCell ref="B9:J9"/>
    <mergeCell ref="B13:J13"/>
    <mergeCell ref="B15:J15"/>
    <mergeCell ref="B17:J17"/>
    <mergeCell ref="C19:J19"/>
    <mergeCell ref="C20:J20"/>
    <mergeCell ref="C21:J21"/>
    <mergeCell ref="C22:J22"/>
    <mergeCell ref="C23:J23"/>
    <mergeCell ref="C24:J24"/>
    <mergeCell ref="C26:J26"/>
    <mergeCell ref="C27:J27"/>
    <mergeCell ref="C28:J28"/>
    <mergeCell ref="C29:J29"/>
    <mergeCell ref="C30:J30"/>
    <mergeCell ref="C31:J31"/>
    <mergeCell ref="C32:J32"/>
    <mergeCell ref="C33:J33"/>
    <mergeCell ref="C34:J34"/>
    <mergeCell ref="C35:J35"/>
    <mergeCell ref="C36:J36"/>
    <mergeCell ref="C37:J37"/>
    <mergeCell ref="C38:J38"/>
    <mergeCell ref="C39:J39"/>
    <mergeCell ref="D41:J41"/>
    <mergeCell ref="D42:J42"/>
    <mergeCell ref="C43:J43"/>
    <mergeCell ref="E47:J47"/>
    <mergeCell ref="C51:J51"/>
    <mergeCell ref="C52:J52"/>
    <mergeCell ref="C53:J53"/>
    <mergeCell ref="C54:J54"/>
    <mergeCell ref="C55:J55"/>
    <mergeCell ref="C56:J56"/>
    <mergeCell ref="C57:J57"/>
    <mergeCell ref="C58:J58"/>
    <mergeCell ref="C59:J59"/>
    <mergeCell ref="C60:J60"/>
    <mergeCell ref="C61:J61"/>
    <mergeCell ref="C62:J62"/>
    <mergeCell ref="C63:J63"/>
    <mergeCell ref="C64:J64"/>
    <mergeCell ref="C65:J65"/>
    <mergeCell ref="C66:J66"/>
    <mergeCell ref="C67:J67"/>
    <mergeCell ref="C68:J68"/>
    <mergeCell ref="C69:J69"/>
    <mergeCell ref="C70:J70"/>
    <mergeCell ref="C71:J71"/>
    <mergeCell ref="C72:J72"/>
    <mergeCell ref="C78:J78"/>
    <mergeCell ref="C79:J79"/>
    <mergeCell ref="C80:J80"/>
    <mergeCell ref="C73:J73"/>
    <mergeCell ref="C74:J74"/>
    <mergeCell ref="C75:J75"/>
    <mergeCell ref="C76:J76"/>
    <mergeCell ref="C77:J77"/>
  </mergeCells>
  <printOptions/>
  <pageMargins left="0.39370078740157477" right="0.39370078740157477" top="0.39370078740157477" bottom="0.39370078740157477" header="0.31496062992125984" footer="0.31496062992125984"/>
  <pageSetup fitToHeight="2" fitToWidth="1" horizontalDpi="600" verticalDpi="600" orientation="portrait" paperSize="9" scale="8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S59"/>
  <sheetViews>
    <sheetView showGridLines="0" zoomScale="60" zoomScaleNormal="60" workbookViewId="0" topLeftCell="A1"/>
  </sheetViews>
  <sheetFormatPr defaultColWidth="9.375" defaultRowHeight="13.5"/>
  <cols>
    <col min="1" max="31" width="5.75390625" style="72" customWidth="1"/>
    <col min="32" max="38" width="9.375" style="72" customWidth="1"/>
    <col min="39" max="40" width="9.375" style="73" hidden="1" customWidth="1"/>
    <col min="41" max="44" width="9.375" style="74" hidden="1" customWidth="1"/>
    <col min="45" max="45" width="9.375" style="73" hidden="1" customWidth="1"/>
    <col min="46" max="46" width="9.375" style="72" hidden="1" customWidth="1"/>
    <col min="47" max="47" width="9.375" style="72" customWidth="1"/>
    <col min="48" max="16384" width="9.375" style="72" customWidth="1"/>
  </cols>
  <sheetData>
    <row r="1" spans="2:45" s="75" customFormat="1" ht="38.5" customHeight="1">
      <c r="B1" s="486" t="s">
        <v>168</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76"/>
      <c r="AE1" s="76"/>
      <c r="AM1" s="73" t="s">
        <v>169</v>
      </c>
      <c r="AN1" s="73" t="s">
        <v>170</v>
      </c>
      <c r="AO1" s="74" t="s">
        <v>171</v>
      </c>
      <c r="AP1" s="74" t="s">
        <v>172</v>
      </c>
      <c r="AQ1" s="74" t="s">
        <v>173</v>
      </c>
      <c r="AR1" s="74" t="s">
        <v>174</v>
      </c>
      <c r="AS1" s="73" t="s">
        <v>64</v>
      </c>
    </row>
    <row r="2" spans="2:45" s="75" customFormat="1" ht="30.75" customHeight="1">
      <c r="B2" s="487" t="s">
        <v>9</v>
      </c>
      <c r="C2" s="488"/>
      <c r="D2" s="488"/>
      <c r="E2" s="488"/>
      <c r="F2" s="488"/>
      <c r="G2" s="489" t="s">
        <v>175</v>
      </c>
      <c r="H2" s="489"/>
      <c r="I2" s="489"/>
      <c r="J2" s="489"/>
      <c r="K2" s="489"/>
      <c r="L2" s="489"/>
      <c r="M2" s="489"/>
      <c r="N2" s="489"/>
      <c r="O2" s="489"/>
      <c r="P2" s="490"/>
      <c r="Q2" s="491" t="s">
        <v>176</v>
      </c>
      <c r="R2" s="488"/>
      <c r="S2" s="488"/>
      <c r="T2" s="77" t="s">
        <v>177</v>
      </c>
      <c r="U2" s="77">
        <v>2</v>
      </c>
      <c r="V2" s="78" t="s">
        <v>171</v>
      </c>
      <c r="W2" s="77">
        <v>12</v>
      </c>
      <c r="X2" s="78" t="s">
        <v>172</v>
      </c>
      <c r="Y2" s="77">
        <v>5</v>
      </c>
      <c r="Z2" s="78" t="s">
        <v>173</v>
      </c>
      <c r="AA2" s="79" t="s">
        <v>178</v>
      </c>
      <c r="AB2" s="492" t="s">
        <v>179</v>
      </c>
      <c r="AC2" s="493"/>
      <c r="AD2" s="80"/>
      <c r="AE2" s="80"/>
      <c r="AM2" s="73" t="s">
        <v>180</v>
      </c>
      <c r="AN2" s="73" t="s">
        <v>181</v>
      </c>
      <c r="AO2" s="74">
        <v>1</v>
      </c>
      <c r="AP2" s="74">
        <v>1</v>
      </c>
      <c r="AQ2" s="74">
        <v>1</v>
      </c>
      <c r="AR2" s="74" t="s">
        <v>172</v>
      </c>
      <c r="AS2" s="73" t="s">
        <v>182</v>
      </c>
    </row>
    <row r="3" spans="2:45" s="75" customFormat="1" ht="30.75" customHeight="1">
      <c r="B3" s="494" t="s">
        <v>183</v>
      </c>
      <c r="C3" s="495"/>
      <c r="D3" s="495"/>
      <c r="E3" s="495"/>
      <c r="F3" s="495"/>
      <c r="G3" s="496" t="s">
        <v>184</v>
      </c>
      <c r="H3" s="496"/>
      <c r="I3" s="496"/>
      <c r="J3" s="496"/>
      <c r="K3" s="496"/>
      <c r="L3" s="496"/>
      <c r="M3" s="496"/>
      <c r="N3" s="496"/>
      <c r="O3" s="496"/>
      <c r="P3" s="497"/>
      <c r="Q3" s="498" t="s">
        <v>64</v>
      </c>
      <c r="R3" s="495"/>
      <c r="S3" s="495"/>
      <c r="T3" s="496" t="s">
        <v>185</v>
      </c>
      <c r="U3" s="496"/>
      <c r="V3" s="496"/>
      <c r="W3" s="496"/>
      <c r="X3" s="496"/>
      <c r="Y3" s="496"/>
      <c r="Z3" s="496"/>
      <c r="AA3" s="496"/>
      <c r="AB3" s="496"/>
      <c r="AC3" s="499"/>
      <c r="AD3" s="80"/>
      <c r="AE3" s="80"/>
      <c r="AM3" s="73" t="s">
        <v>186</v>
      </c>
      <c r="AN3" s="73" t="s">
        <v>187</v>
      </c>
      <c r="AO3" s="74">
        <v>2</v>
      </c>
      <c r="AP3" s="74">
        <v>2</v>
      </c>
      <c r="AQ3" s="74">
        <v>2</v>
      </c>
      <c r="AR3" s="74" t="s">
        <v>188</v>
      </c>
      <c r="AS3" s="73" t="s">
        <v>189</v>
      </c>
    </row>
    <row r="4" spans="2:45" s="75" customFormat="1" ht="30.75" customHeight="1">
      <c r="B4" s="467" t="s">
        <v>190</v>
      </c>
      <c r="C4" s="468"/>
      <c r="D4" s="468"/>
      <c r="E4" s="468"/>
      <c r="F4" s="468"/>
      <c r="G4" s="469" t="s">
        <v>191</v>
      </c>
      <c r="H4" s="469"/>
      <c r="I4" s="469"/>
      <c r="J4" s="469"/>
      <c r="K4" s="469"/>
      <c r="L4" s="469"/>
      <c r="M4" s="469"/>
      <c r="N4" s="469"/>
      <c r="O4" s="469"/>
      <c r="P4" s="470"/>
      <c r="Q4" s="471" t="s">
        <v>192</v>
      </c>
      <c r="R4" s="468"/>
      <c r="S4" s="468"/>
      <c r="T4" s="472" t="s">
        <v>193</v>
      </c>
      <c r="U4" s="472"/>
      <c r="V4" s="81" t="s">
        <v>16</v>
      </c>
      <c r="W4" s="472" t="s">
        <v>194</v>
      </c>
      <c r="X4" s="472"/>
      <c r="Y4" s="472"/>
      <c r="Z4" s="81" t="s">
        <v>16</v>
      </c>
      <c r="AA4" s="472" t="s">
        <v>194</v>
      </c>
      <c r="AB4" s="472"/>
      <c r="AC4" s="473"/>
      <c r="AD4" s="80"/>
      <c r="AE4" s="80"/>
      <c r="AM4" s="73" t="s">
        <v>195</v>
      </c>
      <c r="AN4" s="73" t="s">
        <v>196</v>
      </c>
      <c r="AO4" s="74">
        <v>3</v>
      </c>
      <c r="AP4" s="74">
        <v>3</v>
      </c>
      <c r="AQ4" s="74">
        <v>3</v>
      </c>
      <c r="AR4" s="74" t="s">
        <v>197</v>
      </c>
      <c r="AS4" s="73" t="s">
        <v>198</v>
      </c>
    </row>
    <row r="5" spans="39:45" ht="30.75" customHeight="1">
      <c r="AM5" s="73" t="s">
        <v>21</v>
      </c>
      <c r="AN5" s="73" t="s">
        <v>199</v>
      </c>
      <c r="AO5" s="74">
        <v>4</v>
      </c>
      <c r="AP5" s="74">
        <v>4</v>
      </c>
      <c r="AQ5" s="74">
        <v>4</v>
      </c>
      <c r="AR5" s="74" t="s">
        <v>200</v>
      </c>
      <c r="AS5" s="73" t="s">
        <v>201</v>
      </c>
    </row>
    <row r="6" spans="2:45" s="75" customFormat="1" ht="30.75" customHeight="1">
      <c r="B6" s="474" t="s">
        <v>202</v>
      </c>
      <c r="C6" s="475"/>
      <c r="D6" s="475"/>
      <c r="E6" s="475"/>
      <c r="F6" s="475"/>
      <c r="G6" s="475"/>
      <c r="H6" s="475"/>
      <c r="I6" s="475"/>
      <c r="J6" s="475"/>
      <c r="K6" s="475"/>
      <c r="L6" s="475"/>
      <c r="M6" s="476"/>
      <c r="N6" s="480" t="s">
        <v>203</v>
      </c>
      <c r="O6" s="476"/>
      <c r="P6" s="481" t="s">
        <v>204</v>
      </c>
      <c r="Q6" s="481"/>
      <c r="R6" s="481"/>
      <c r="S6" s="481"/>
      <c r="T6" s="481"/>
      <c r="U6" s="481"/>
      <c r="V6" s="481" t="s">
        <v>205</v>
      </c>
      <c r="W6" s="481"/>
      <c r="X6" s="481"/>
      <c r="Y6" s="481"/>
      <c r="Z6" s="481"/>
      <c r="AA6" s="481"/>
      <c r="AB6" s="481"/>
      <c r="AC6" s="482"/>
      <c r="AM6" s="73" t="s">
        <v>206</v>
      </c>
      <c r="AN6" s="73" t="s">
        <v>207</v>
      </c>
      <c r="AO6" s="74">
        <v>5</v>
      </c>
      <c r="AP6" s="74">
        <v>5</v>
      </c>
      <c r="AQ6" s="74">
        <v>5</v>
      </c>
      <c r="AR6" s="74" t="s">
        <v>208</v>
      </c>
      <c r="AS6" s="73" t="s">
        <v>209</v>
      </c>
    </row>
    <row r="7" spans="2:45" s="75" customFormat="1" ht="30.75" customHeight="1">
      <c r="B7" s="477"/>
      <c r="C7" s="478"/>
      <c r="D7" s="478"/>
      <c r="E7" s="478"/>
      <c r="F7" s="478"/>
      <c r="G7" s="478"/>
      <c r="H7" s="478"/>
      <c r="I7" s="478"/>
      <c r="J7" s="478"/>
      <c r="K7" s="478"/>
      <c r="L7" s="478"/>
      <c r="M7" s="479"/>
      <c r="N7" s="483" t="s">
        <v>210</v>
      </c>
      <c r="O7" s="479"/>
      <c r="P7" s="484" t="s">
        <v>211</v>
      </c>
      <c r="Q7" s="484"/>
      <c r="R7" s="484" t="s">
        <v>212</v>
      </c>
      <c r="S7" s="484"/>
      <c r="T7" s="484" t="s">
        <v>213</v>
      </c>
      <c r="U7" s="484"/>
      <c r="V7" s="484" t="s">
        <v>214</v>
      </c>
      <c r="W7" s="484"/>
      <c r="X7" s="484"/>
      <c r="Y7" s="484"/>
      <c r="Z7" s="484"/>
      <c r="AA7" s="484" t="s">
        <v>215</v>
      </c>
      <c r="AB7" s="484"/>
      <c r="AC7" s="485"/>
      <c r="AM7" s="73" t="s">
        <v>216</v>
      </c>
      <c r="AN7" s="73" t="s">
        <v>217</v>
      </c>
      <c r="AO7" s="74">
        <v>6</v>
      </c>
      <c r="AP7" s="74">
        <v>6</v>
      </c>
      <c r="AQ7" s="74">
        <v>6</v>
      </c>
      <c r="AR7" s="74" t="s">
        <v>178</v>
      </c>
      <c r="AS7" s="73" t="s">
        <v>218</v>
      </c>
    </row>
    <row r="8" spans="2:45" s="75" customFormat="1" ht="30.75" customHeight="1">
      <c r="B8" s="82">
        <v>1</v>
      </c>
      <c r="C8" s="462" t="s">
        <v>191</v>
      </c>
      <c r="D8" s="462"/>
      <c r="E8" s="462"/>
      <c r="F8" s="462"/>
      <c r="G8" s="462"/>
      <c r="H8" s="462"/>
      <c r="I8" s="462"/>
      <c r="J8" s="462"/>
      <c r="K8" s="462"/>
      <c r="L8" s="462"/>
      <c r="M8" s="463"/>
      <c r="N8" s="464"/>
      <c r="O8" s="464"/>
      <c r="P8" s="465" t="s">
        <v>15</v>
      </c>
      <c r="Q8" s="465"/>
      <c r="R8" s="465"/>
      <c r="S8" s="465"/>
      <c r="T8" s="465"/>
      <c r="U8" s="465"/>
      <c r="V8" s="466">
        <v>36.5</v>
      </c>
      <c r="W8" s="462"/>
      <c r="X8" s="462"/>
      <c r="Y8" s="462"/>
      <c r="Z8" s="83" t="s">
        <v>219</v>
      </c>
      <c r="AA8" s="84" t="s">
        <v>220</v>
      </c>
      <c r="AB8" s="85" t="s">
        <v>221</v>
      </c>
      <c r="AC8" s="86" t="s">
        <v>222</v>
      </c>
      <c r="AM8" s="73" t="s">
        <v>223</v>
      </c>
      <c r="AN8" s="73" t="s">
        <v>224</v>
      </c>
      <c r="AO8" s="74">
        <v>7</v>
      </c>
      <c r="AP8" s="74">
        <v>7</v>
      </c>
      <c r="AQ8" s="74">
        <v>7</v>
      </c>
      <c r="AR8" s="74" t="s">
        <v>173</v>
      </c>
      <c r="AS8" s="73" t="s">
        <v>225</v>
      </c>
    </row>
    <row r="9" spans="2:45" s="75" customFormat="1" ht="30.75" customHeight="1">
      <c r="B9" s="87">
        <v>2</v>
      </c>
      <c r="C9" s="452" t="s">
        <v>226</v>
      </c>
      <c r="D9" s="452"/>
      <c r="E9" s="452"/>
      <c r="F9" s="452"/>
      <c r="G9" s="452"/>
      <c r="H9" s="452"/>
      <c r="I9" s="452"/>
      <c r="J9" s="452"/>
      <c r="K9" s="452"/>
      <c r="L9" s="452"/>
      <c r="M9" s="453"/>
      <c r="N9" s="454">
        <v>5</v>
      </c>
      <c r="O9" s="454"/>
      <c r="P9" s="455"/>
      <c r="Q9" s="455"/>
      <c r="R9" s="455" t="s">
        <v>15</v>
      </c>
      <c r="S9" s="455"/>
      <c r="T9" s="455"/>
      <c r="U9" s="455"/>
      <c r="V9" s="456">
        <v>36.2</v>
      </c>
      <c r="W9" s="452"/>
      <c r="X9" s="452"/>
      <c r="Y9" s="452"/>
      <c r="Z9" s="88" t="s">
        <v>219</v>
      </c>
      <c r="AA9" s="89" t="s">
        <v>220</v>
      </c>
      <c r="AB9" s="90" t="s">
        <v>221</v>
      </c>
      <c r="AC9" s="91" t="s">
        <v>222</v>
      </c>
      <c r="AM9" s="73" t="s">
        <v>227</v>
      </c>
      <c r="AN9" s="73" t="s">
        <v>184</v>
      </c>
      <c r="AO9" s="74">
        <v>8</v>
      </c>
      <c r="AP9" s="74">
        <v>8</v>
      </c>
      <c r="AQ9" s="74">
        <v>8</v>
      </c>
      <c r="AR9" s="74"/>
      <c r="AS9" s="73" t="s">
        <v>228</v>
      </c>
    </row>
    <row r="10" spans="2:45" s="75" customFormat="1" ht="30.75" customHeight="1">
      <c r="B10" s="87">
        <v>3</v>
      </c>
      <c r="C10" s="452" t="s">
        <v>229</v>
      </c>
      <c r="D10" s="452"/>
      <c r="E10" s="452"/>
      <c r="F10" s="452"/>
      <c r="G10" s="452"/>
      <c r="H10" s="452"/>
      <c r="I10" s="452"/>
      <c r="J10" s="452"/>
      <c r="K10" s="452"/>
      <c r="L10" s="452"/>
      <c r="M10" s="453"/>
      <c r="N10" s="454">
        <v>6</v>
      </c>
      <c r="O10" s="454"/>
      <c r="P10" s="455"/>
      <c r="Q10" s="455"/>
      <c r="R10" s="455" t="s">
        <v>15</v>
      </c>
      <c r="S10" s="455"/>
      <c r="T10" s="455"/>
      <c r="U10" s="455"/>
      <c r="V10" s="456">
        <v>36.5</v>
      </c>
      <c r="W10" s="452"/>
      <c r="X10" s="452"/>
      <c r="Y10" s="452"/>
      <c r="Z10" s="88" t="s">
        <v>219</v>
      </c>
      <c r="AA10" s="89" t="s">
        <v>220</v>
      </c>
      <c r="AB10" s="90" t="s">
        <v>221</v>
      </c>
      <c r="AC10" s="91" t="s">
        <v>222</v>
      </c>
      <c r="AM10" s="73" t="s">
        <v>230</v>
      </c>
      <c r="AN10" s="73" t="s">
        <v>231</v>
      </c>
      <c r="AO10" s="74">
        <v>9</v>
      </c>
      <c r="AP10" s="74">
        <v>9</v>
      </c>
      <c r="AQ10" s="74">
        <v>9</v>
      </c>
      <c r="AR10" s="74"/>
      <c r="AS10" s="73" t="s">
        <v>185</v>
      </c>
    </row>
    <row r="11" spans="2:45" s="75" customFormat="1" ht="30.75" customHeight="1">
      <c r="B11" s="87">
        <v>4</v>
      </c>
      <c r="C11" s="452" t="s">
        <v>232</v>
      </c>
      <c r="D11" s="452"/>
      <c r="E11" s="452"/>
      <c r="F11" s="452"/>
      <c r="G11" s="452"/>
      <c r="H11" s="452"/>
      <c r="I11" s="452"/>
      <c r="J11" s="452"/>
      <c r="K11" s="452"/>
      <c r="L11" s="452"/>
      <c r="M11" s="453"/>
      <c r="N11" s="454">
        <v>6</v>
      </c>
      <c r="O11" s="454"/>
      <c r="P11" s="455"/>
      <c r="Q11" s="455"/>
      <c r="R11" s="455"/>
      <c r="S11" s="455"/>
      <c r="T11" s="455"/>
      <c r="U11" s="455"/>
      <c r="V11" s="456"/>
      <c r="W11" s="452"/>
      <c r="X11" s="452"/>
      <c r="Y11" s="452"/>
      <c r="Z11" s="88" t="s">
        <v>219</v>
      </c>
      <c r="AA11" s="89" t="s">
        <v>220</v>
      </c>
      <c r="AB11" s="90" t="s">
        <v>221</v>
      </c>
      <c r="AC11" s="91" t="s">
        <v>222</v>
      </c>
      <c r="AM11" s="73" t="s">
        <v>233</v>
      </c>
      <c r="AN11" s="73" t="s">
        <v>234</v>
      </c>
      <c r="AO11" s="74">
        <v>10</v>
      </c>
      <c r="AP11" s="74">
        <v>10</v>
      </c>
      <c r="AQ11" s="74">
        <v>10</v>
      </c>
      <c r="AR11" s="74"/>
      <c r="AS11" s="73" t="s">
        <v>235</v>
      </c>
    </row>
    <row r="12" spans="2:45" s="75" customFormat="1" ht="30.75" customHeight="1">
      <c r="B12" s="87">
        <v>5</v>
      </c>
      <c r="C12" s="452" t="s">
        <v>236</v>
      </c>
      <c r="D12" s="452"/>
      <c r="E12" s="452"/>
      <c r="F12" s="452"/>
      <c r="G12" s="452"/>
      <c r="H12" s="452"/>
      <c r="I12" s="452"/>
      <c r="J12" s="452"/>
      <c r="K12" s="452"/>
      <c r="L12" s="452"/>
      <c r="M12" s="453"/>
      <c r="N12" s="454"/>
      <c r="O12" s="454"/>
      <c r="P12" s="455"/>
      <c r="Q12" s="455"/>
      <c r="R12" s="455"/>
      <c r="S12" s="455"/>
      <c r="T12" s="455" t="s">
        <v>15</v>
      </c>
      <c r="U12" s="455"/>
      <c r="V12" s="456">
        <v>36.2</v>
      </c>
      <c r="W12" s="452"/>
      <c r="X12" s="452"/>
      <c r="Y12" s="452"/>
      <c r="Z12" s="88" t="s">
        <v>219</v>
      </c>
      <c r="AA12" s="89" t="s">
        <v>220</v>
      </c>
      <c r="AB12" s="90" t="s">
        <v>221</v>
      </c>
      <c r="AC12" s="91" t="s">
        <v>222</v>
      </c>
      <c r="AM12" s="73" t="s">
        <v>28</v>
      </c>
      <c r="AN12" s="73" t="s">
        <v>237</v>
      </c>
      <c r="AO12" s="74">
        <v>11</v>
      </c>
      <c r="AP12" s="74">
        <v>11</v>
      </c>
      <c r="AQ12" s="74">
        <v>11</v>
      </c>
      <c r="AR12" s="74"/>
      <c r="AS12" s="73" t="s">
        <v>238</v>
      </c>
    </row>
    <row r="13" spans="2:45" s="75" customFormat="1" ht="30.75" customHeight="1">
      <c r="B13" s="87">
        <v>6</v>
      </c>
      <c r="C13" s="452"/>
      <c r="D13" s="452"/>
      <c r="E13" s="452"/>
      <c r="F13" s="452"/>
      <c r="G13" s="452"/>
      <c r="H13" s="452"/>
      <c r="I13" s="452"/>
      <c r="J13" s="452"/>
      <c r="K13" s="452"/>
      <c r="L13" s="452"/>
      <c r="M13" s="453"/>
      <c r="N13" s="454"/>
      <c r="O13" s="454"/>
      <c r="P13" s="455"/>
      <c r="Q13" s="455"/>
      <c r="R13" s="455"/>
      <c r="S13" s="455"/>
      <c r="T13" s="455"/>
      <c r="U13" s="455"/>
      <c r="V13" s="456"/>
      <c r="W13" s="452"/>
      <c r="X13" s="452"/>
      <c r="Y13" s="452"/>
      <c r="Z13" s="88" t="s">
        <v>219</v>
      </c>
      <c r="AA13" s="89" t="s">
        <v>220</v>
      </c>
      <c r="AB13" s="90" t="s">
        <v>221</v>
      </c>
      <c r="AC13" s="91" t="s">
        <v>222</v>
      </c>
      <c r="AM13" s="73" t="s">
        <v>239</v>
      </c>
      <c r="AN13" s="73" t="s">
        <v>240</v>
      </c>
      <c r="AO13" s="74">
        <v>12</v>
      </c>
      <c r="AP13" s="74">
        <v>12</v>
      </c>
      <c r="AQ13" s="74">
        <v>12</v>
      </c>
      <c r="AR13" s="74"/>
      <c r="AS13" s="73" t="s">
        <v>241</v>
      </c>
    </row>
    <row r="14" spans="2:45" s="75" customFormat="1" ht="30.75" customHeight="1">
      <c r="B14" s="87">
        <v>7</v>
      </c>
      <c r="C14" s="452"/>
      <c r="D14" s="452"/>
      <c r="E14" s="452"/>
      <c r="F14" s="452"/>
      <c r="G14" s="452"/>
      <c r="H14" s="452"/>
      <c r="I14" s="452"/>
      <c r="J14" s="452"/>
      <c r="K14" s="452"/>
      <c r="L14" s="452"/>
      <c r="M14" s="453"/>
      <c r="N14" s="454"/>
      <c r="O14" s="454"/>
      <c r="P14" s="455"/>
      <c r="Q14" s="455"/>
      <c r="R14" s="455"/>
      <c r="S14" s="455"/>
      <c r="T14" s="455"/>
      <c r="U14" s="455"/>
      <c r="V14" s="456"/>
      <c r="W14" s="452"/>
      <c r="X14" s="452"/>
      <c r="Y14" s="452"/>
      <c r="Z14" s="88" t="s">
        <v>219</v>
      </c>
      <c r="AA14" s="89" t="s">
        <v>220</v>
      </c>
      <c r="AB14" s="90" t="s">
        <v>221</v>
      </c>
      <c r="AC14" s="91" t="s">
        <v>222</v>
      </c>
      <c r="AM14" s="73" t="s">
        <v>242</v>
      </c>
      <c r="AN14" s="73" t="s">
        <v>243</v>
      </c>
      <c r="AO14" s="74">
        <v>13</v>
      </c>
      <c r="AP14" s="74"/>
      <c r="AQ14" s="74">
        <v>13</v>
      </c>
      <c r="AR14" s="74"/>
      <c r="AS14" s="73"/>
    </row>
    <row r="15" spans="2:45" s="75" customFormat="1" ht="30.75" customHeight="1">
      <c r="B15" s="87">
        <v>8</v>
      </c>
      <c r="C15" s="452"/>
      <c r="D15" s="452"/>
      <c r="E15" s="452"/>
      <c r="F15" s="452"/>
      <c r="G15" s="452"/>
      <c r="H15" s="452"/>
      <c r="I15" s="452"/>
      <c r="J15" s="452"/>
      <c r="K15" s="452"/>
      <c r="L15" s="452"/>
      <c r="M15" s="453"/>
      <c r="N15" s="454"/>
      <c r="O15" s="454"/>
      <c r="P15" s="455"/>
      <c r="Q15" s="455"/>
      <c r="R15" s="455"/>
      <c r="S15" s="455"/>
      <c r="T15" s="455"/>
      <c r="U15" s="455"/>
      <c r="V15" s="456"/>
      <c r="W15" s="452"/>
      <c r="X15" s="452"/>
      <c r="Y15" s="452"/>
      <c r="Z15" s="88" t="s">
        <v>219</v>
      </c>
      <c r="AA15" s="89" t="s">
        <v>220</v>
      </c>
      <c r="AB15" s="90" t="s">
        <v>221</v>
      </c>
      <c r="AC15" s="91" t="s">
        <v>222</v>
      </c>
      <c r="AM15" s="73" t="s">
        <v>244</v>
      </c>
      <c r="AN15" s="73" t="s">
        <v>245</v>
      </c>
      <c r="AO15" s="74">
        <v>14</v>
      </c>
      <c r="AP15" s="74"/>
      <c r="AQ15" s="74">
        <v>14</v>
      </c>
      <c r="AR15" s="74"/>
      <c r="AS15" s="73"/>
    </row>
    <row r="16" spans="2:45" s="75" customFormat="1" ht="30.75" customHeight="1">
      <c r="B16" s="87">
        <v>9</v>
      </c>
      <c r="C16" s="452"/>
      <c r="D16" s="452"/>
      <c r="E16" s="452"/>
      <c r="F16" s="452"/>
      <c r="G16" s="452"/>
      <c r="H16" s="452"/>
      <c r="I16" s="452"/>
      <c r="J16" s="452"/>
      <c r="K16" s="452"/>
      <c r="L16" s="452"/>
      <c r="M16" s="453"/>
      <c r="N16" s="454"/>
      <c r="O16" s="454"/>
      <c r="P16" s="455"/>
      <c r="Q16" s="455"/>
      <c r="R16" s="455"/>
      <c r="S16" s="455"/>
      <c r="T16" s="455"/>
      <c r="U16" s="455"/>
      <c r="V16" s="456"/>
      <c r="W16" s="452"/>
      <c r="X16" s="452"/>
      <c r="Y16" s="452"/>
      <c r="Z16" s="88" t="s">
        <v>219</v>
      </c>
      <c r="AA16" s="89" t="s">
        <v>220</v>
      </c>
      <c r="AB16" s="90" t="s">
        <v>221</v>
      </c>
      <c r="AC16" s="91" t="s">
        <v>222</v>
      </c>
      <c r="AM16" s="73" t="s">
        <v>246</v>
      </c>
      <c r="AN16" s="73" t="s">
        <v>247</v>
      </c>
      <c r="AO16" s="74">
        <v>15</v>
      </c>
      <c r="AP16" s="74"/>
      <c r="AQ16" s="74">
        <v>15</v>
      </c>
      <c r="AR16" s="74"/>
      <c r="AS16" s="73"/>
    </row>
    <row r="17" spans="2:45" s="75" customFormat="1" ht="30.75" customHeight="1">
      <c r="B17" s="87">
        <v>10</v>
      </c>
      <c r="C17" s="452"/>
      <c r="D17" s="452"/>
      <c r="E17" s="452"/>
      <c r="F17" s="452"/>
      <c r="G17" s="452"/>
      <c r="H17" s="452"/>
      <c r="I17" s="452"/>
      <c r="J17" s="452"/>
      <c r="K17" s="452"/>
      <c r="L17" s="452"/>
      <c r="M17" s="453"/>
      <c r="N17" s="454"/>
      <c r="O17" s="454"/>
      <c r="P17" s="455"/>
      <c r="Q17" s="455"/>
      <c r="R17" s="455"/>
      <c r="S17" s="455"/>
      <c r="T17" s="455"/>
      <c r="U17" s="455"/>
      <c r="V17" s="456"/>
      <c r="W17" s="452"/>
      <c r="X17" s="452"/>
      <c r="Y17" s="452"/>
      <c r="Z17" s="88" t="s">
        <v>219</v>
      </c>
      <c r="AA17" s="89" t="s">
        <v>220</v>
      </c>
      <c r="AB17" s="90" t="s">
        <v>221</v>
      </c>
      <c r="AC17" s="91" t="s">
        <v>222</v>
      </c>
      <c r="AM17" s="73" t="s">
        <v>248</v>
      </c>
      <c r="AN17" s="73" t="s">
        <v>249</v>
      </c>
      <c r="AO17" s="74"/>
      <c r="AP17" s="74"/>
      <c r="AQ17" s="74">
        <v>16</v>
      </c>
      <c r="AR17" s="74"/>
      <c r="AS17" s="73"/>
    </row>
    <row r="18" spans="2:45" s="75" customFormat="1" ht="30.75" customHeight="1">
      <c r="B18" s="87">
        <v>11</v>
      </c>
      <c r="C18" s="452"/>
      <c r="D18" s="452"/>
      <c r="E18" s="452"/>
      <c r="F18" s="452"/>
      <c r="G18" s="452"/>
      <c r="H18" s="452"/>
      <c r="I18" s="452"/>
      <c r="J18" s="452"/>
      <c r="K18" s="452"/>
      <c r="L18" s="452"/>
      <c r="M18" s="453"/>
      <c r="N18" s="454"/>
      <c r="O18" s="454"/>
      <c r="P18" s="455"/>
      <c r="Q18" s="455"/>
      <c r="R18" s="455"/>
      <c r="S18" s="455"/>
      <c r="T18" s="455"/>
      <c r="U18" s="455"/>
      <c r="V18" s="456"/>
      <c r="W18" s="452"/>
      <c r="X18" s="452"/>
      <c r="Y18" s="452"/>
      <c r="Z18" s="88" t="s">
        <v>219</v>
      </c>
      <c r="AA18" s="89" t="s">
        <v>220</v>
      </c>
      <c r="AB18" s="90" t="s">
        <v>221</v>
      </c>
      <c r="AC18" s="91" t="s">
        <v>222</v>
      </c>
      <c r="AM18" s="73" t="s">
        <v>250</v>
      </c>
      <c r="AN18" s="73" t="s">
        <v>251</v>
      </c>
      <c r="AO18" s="74"/>
      <c r="AP18" s="74"/>
      <c r="AQ18" s="74">
        <v>17</v>
      </c>
      <c r="AR18" s="74"/>
      <c r="AS18" s="73"/>
    </row>
    <row r="19" spans="2:45" s="75" customFormat="1" ht="30.75" customHeight="1">
      <c r="B19" s="87">
        <v>12</v>
      </c>
      <c r="C19" s="452"/>
      <c r="D19" s="452"/>
      <c r="E19" s="452"/>
      <c r="F19" s="452"/>
      <c r="G19" s="452"/>
      <c r="H19" s="452"/>
      <c r="I19" s="452"/>
      <c r="J19" s="452"/>
      <c r="K19" s="452"/>
      <c r="L19" s="452"/>
      <c r="M19" s="453"/>
      <c r="N19" s="454"/>
      <c r="O19" s="454"/>
      <c r="P19" s="455"/>
      <c r="Q19" s="455"/>
      <c r="R19" s="455"/>
      <c r="S19" s="455"/>
      <c r="T19" s="455"/>
      <c r="U19" s="455"/>
      <c r="V19" s="456"/>
      <c r="W19" s="452"/>
      <c r="X19" s="452"/>
      <c r="Y19" s="452"/>
      <c r="Z19" s="88" t="s">
        <v>219</v>
      </c>
      <c r="AA19" s="89" t="s">
        <v>220</v>
      </c>
      <c r="AB19" s="90" t="s">
        <v>221</v>
      </c>
      <c r="AC19" s="91" t="s">
        <v>222</v>
      </c>
      <c r="AM19" s="73" t="s">
        <v>252</v>
      </c>
      <c r="AN19" s="73" t="s">
        <v>253</v>
      </c>
      <c r="AO19" s="74"/>
      <c r="AP19" s="74"/>
      <c r="AQ19" s="74">
        <v>18</v>
      </c>
      <c r="AR19" s="74"/>
      <c r="AS19" s="73"/>
    </row>
    <row r="20" spans="2:45" s="75" customFormat="1" ht="30.75" customHeight="1">
      <c r="B20" s="87">
        <v>13</v>
      </c>
      <c r="C20" s="452"/>
      <c r="D20" s="452"/>
      <c r="E20" s="452"/>
      <c r="F20" s="452"/>
      <c r="G20" s="452"/>
      <c r="H20" s="452"/>
      <c r="I20" s="452"/>
      <c r="J20" s="452"/>
      <c r="K20" s="452"/>
      <c r="L20" s="452"/>
      <c r="M20" s="453"/>
      <c r="N20" s="454"/>
      <c r="O20" s="454"/>
      <c r="P20" s="455"/>
      <c r="Q20" s="455"/>
      <c r="R20" s="455"/>
      <c r="S20" s="455"/>
      <c r="T20" s="455"/>
      <c r="U20" s="455"/>
      <c r="V20" s="456"/>
      <c r="W20" s="452"/>
      <c r="X20" s="452"/>
      <c r="Y20" s="452"/>
      <c r="Z20" s="88" t="s">
        <v>219</v>
      </c>
      <c r="AA20" s="89" t="s">
        <v>220</v>
      </c>
      <c r="AB20" s="90" t="s">
        <v>221</v>
      </c>
      <c r="AC20" s="91" t="s">
        <v>222</v>
      </c>
      <c r="AM20" s="73" t="s">
        <v>254</v>
      </c>
      <c r="AN20" s="73" t="s">
        <v>255</v>
      </c>
      <c r="AO20" s="74"/>
      <c r="AP20" s="74"/>
      <c r="AQ20" s="74">
        <v>19</v>
      </c>
      <c r="AR20" s="74"/>
      <c r="AS20" s="73"/>
    </row>
    <row r="21" spans="2:45" s="75" customFormat="1" ht="30.75" customHeight="1">
      <c r="B21" s="87">
        <v>14</v>
      </c>
      <c r="C21" s="452"/>
      <c r="D21" s="452"/>
      <c r="E21" s="452"/>
      <c r="F21" s="452"/>
      <c r="G21" s="452"/>
      <c r="H21" s="452"/>
      <c r="I21" s="452"/>
      <c r="J21" s="452"/>
      <c r="K21" s="452"/>
      <c r="L21" s="452"/>
      <c r="M21" s="453"/>
      <c r="N21" s="454"/>
      <c r="O21" s="454"/>
      <c r="P21" s="455"/>
      <c r="Q21" s="455"/>
      <c r="R21" s="455"/>
      <c r="S21" s="455"/>
      <c r="T21" s="455"/>
      <c r="U21" s="455"/>
      <c r="V21" s="456"/>
      <c r="W21" s="452"/>
      <c r="X21" s="452"/>
      <c r="Y21" s="452"/>
      <c r="Z21" s="88" t="s">
        <v>219</v>
      </c>
      <c r="AA21" s="89" t="s">
        <v>220</v>
      </c>
      <c r="AB21" s="90" t="s">
        <v>221</v>
      </c>
      <c r="AC21" s="91" t="s">
        <v>222</v>
      </c>
      <c r="AM21" s="73" t="s">
        <v>256</v>
      </c>
      <c r="AN21" s="73" t="s">
        <v>241</v>
      </c>
      <c r="AO21" s="74"/>
      <c r="AP21" s="74"/>
      <c r="AQ21" s="74">
        <v>20</v>
      </c>
      <c r="AR21" s="74"/>
      <c r="AS21" s="73"/>
    </row>
    <row r="22" spans="2:45" s="75" customFormat="1" ht="30.75" customHeight="1">
      <c r="B22" s="87">
        <v>15</v>
      </c>
      <c r="C22" s="452"/>
      <c r="D22" s="452"/>
      <c r="E22" s="452"/>
      <c r="F22" s="452"/>
      <c r="G22" s="452"/>
      <c r="H22" s="452"/>
      <c r="I22" s="452"/>
      <c r="J22" s="452"/>
      <c r="K22" s="452"/>
      <c r="L22" s="452"/>
      <c r="M22" s="453"/>
      <c r="N22" s="454"/>
      <c r="O22" s="454"/>
      <c r="P22" s="455"/>
      <c r="Q22" s="455"/>
      <c r="R22" s="455"/>
      <c r="S22" s="455"/>
      <c r="T22" s="455"/>
      <c r="U22" s="455"/>
      <c r="V22" s="456"/>
      <c r="W22" s="452"/>
      <c r="X22" s="452"/>
      <c r="Y22" s="452"/>
      <c r="Z22" s="88" t="s">
        <v>219</v>
      </c>
      <c r="AA22" s="89" t="s">
        <v>220</v>
      </c>
      <c r="AB22" s="90" t="s">
        <v>221</v>
      </c>
      <c r="AC22" s="91" t="s">
        <v>222</v>
      </c>
      <c r="AM22" s="73" t="s">
        <v>257</v>
      </c>
      <c r="AO22" s="74"/>
      <c r="AP22" s="74"/>
      <c r="AQ22" s="74">
        <v>21</v>
      </c>
      <c r="AR22" s="74"/>
      <c r="AS22" s="73"/>
    </row>
    <row r="23" spans="2:45" s="75" customFormat="1" ht="30.75" customHeight="1">
      <c r="B23" s="87">
        <v>16</v>
      </c>
      <c r="C23" s="452"/>
      <c r="D23" s="452"/>
      <c r="E23" s="452"/>
      <c r="F23" s="452"/>
      <c r="G23" s="452"/>
      <c r="H23" s="452"/>
      <c r="I23" s="452"/>
      <c r="J23" s="452"/>
      <c r="K23" s="452"/>
      <c r="L23" s="452"/>
      <c r="M23" s="453"/>
      <c r="N23" s="454"/>
      <c r="O23" s="454"/>
      <c r="P23" s="455"/>
      <c r="Q23" s="455"/>
      <c r="R23" s="455"/>
      <c r="S23" s="455"/>
      <c r="T23" s="455"/>
      <c r="U23" s="455"/>
      <c r="V23" s="456"/>
      <c r="W23" s="452"/>
      <c r="X23" s="452"/>
      <c r="Y23" s="452"/>
      <c r="Z23" s="88" t="s">
        <v>219</v>
      </c>
      <c r="AA23" s="89" t="s">
        <v>220</v>
      </c>
      <c r="AB23" s="90" t="s">
        <v>221</v>
      </c>
      <c r="AC23" s="91" t="s">
        <v>222</v>
      </c>
      <c r="AM23" s="73" t="s">
        <v>258</v>
      </c>
      <c r="AO23" s="74"/>
      <c r="AP23" s="74"/>
      <c r="AQ23" s="74">
        <v>22</v>
      </c>
      <c r="AR23" s="74"/>
      <c r="AS23" s="73"/>
    </row>
    <row r="24" spans="2:45" s="75" customFormat="1" ht="30.75" customHeight="1">
      <c r="B24" s="87">
        <v>17</v>
      </c>
      <c r="C24" s="452"/>
      <c r="D24" s="452"/>
      <c r="E24" s="452"/>
      <c r="F24" s="452"/>
      <c r="G24" s="452"/>
      <c r="H24" s="452"/>
      <c r="I24" s="452"/>
      <c r="J24" s="452"/>
      <c r="K24" s="452"/>
      <c r="L24" s="452"/>
      <c r="M24" s="453"/>
      <c r="N24" s="454"/>
      <c r="O24" s="454"/>
      <c r="P24" s="455"/>
      <c r="Q24" s="455"/>
      <c r="R24" s="455"/>
      <c r="S24" s="455"/>
      <c r="T24" s="455"/>
      <c r="U24" s="455"/>
      <c r="V24" s="456"/>
      <c r="W24" s="452"/>
      <c r="X24" s="452"/>
      <c r="Y24" s="452"/>
      <c r="Z24" s="88" t="s">
        <v>219</v>
      </c>
      <c r="AA24" s="89" t="s">
        <v>220</v>
      </c>
      <c r="AB24" s="90" t="s">
        <v>221</v>
      </c>
      <c r="AC24" s="91" t="s">
        <v>222</v>
      </c>
      <c r="AM24" s="73" t="s">
        <v>23</v>
      </c>
      <c r="AN24" s="73"/>
      <c r="AO24" s="74"/>
      <c r="AP24" s="74"/>
      <c r="AQ24" s="74">
        <v>23</v>
      </c>
      <c r="AR24" s="74"/>
      <c r="AS24" s="73"/>
    </row>
    <row r="25" spans="2:45" s="75" customFormat="1" ht="30.75" customHeight="1">
      <c r="B25" s="87">
        <v>18</v>
      </c>
      <c r="C25" s="452"/>
      <c r="D25" s="452"/>
      <c r="E25" s="452"/>
      <c r="F25" s="452"/>
      <c r="G25" s="452"/>
      <c r="H25" s="452"/>
      <c r="I25" s="452"/>
      <c r="J25" s="452"/>
      <c r="K25" s="452"/>
      <c r="L25" s="452"/>
      <c r="M25" s="453"/>
      <c r="N25" s="454"/>
      <c r="O25" s="454"/>
      <c r="P25" s="455"/>
      <c r="Q25" s="455"/>
      <c r="R25" s="455"/>
      <c r="S25" s="455"/>
      <c r="T25" s="455"/>
      <c r="U25" s="455"/>
      <c r="V25" s="456"/>
      <c r="W25" s="452"/>
      <c r="X25" s="452"/>
      <c r="Y25" s="452"/>
      <c r="Z25" s="88" t="s">
        <v>219</v>
      </c>
      <c r="AA25" s="89" t="s">
        <v>220</v>
      </c>
      <c r="AB25" s="90" t="s">
        <v>221</v>
      </c>
      <c r="AC25" s="91" t="s">
        <v>222</v>
      </c>
      <c r="AM25" s="73" t="s">
        <v>259</v>
      </c>
      <c r="AN25" s="73"/>
      <c r="AO25" s="74"/>
      <c r="AP25" s="74"/>
      <c r="AQ25" s="74">
        <v>24</v>
      </c>
      <c r="AR25" s="74"/>
      <c r="AS25" s="73"/>
    </row>
    <row r="26" spans="2:45" s="75" customFormat="1" ht="30.75" customHeight="1">
      <c r="B26" s="87">
        <v>19</v>
      </c>
      <c r="C26" s="452"/>
      <c r="D26" s="452"/>
      <c r="E26" s="452"/>
      <c r="F26" s="452"/>
      <c r="G26" s="452"/>
      <c r="H26" s="452"/>
      <c r="I26" s="452"/>
      <c r="J26" s="452"/>
      <c r="K26" s="452"/>
      <c r="L26" s="452"/>
      <c r="M26" s="453"/>
      <c r="N26" s="454"/>
      <c r="O26" s="454"/>
      <c r="P26" s="455"/>
      <c r="Q26" s="455"/>
      <c r="R26" s="455"/>
      <c r="S26" s="455"/>
      <c r="T26" s="455"/>
      <c r="U26" s="455"/>
      <c r="V26" s="456"/>
      <c r="W26" s="452"/>
      <c r="X26" s="452"/>
      <c r="Y26" s="452"/>
      <c r="Z26" s="88" t="s">
        <v>219</v>
      </c>
      <c r="AA26" s="89" t="s">
        <v>220</v>
      </c>
      <c r="AB26" s="90" t="s">
        <v>221</v>
      </c>
      <c r="AC26" s="91" t="s">
        <v>222</v>
      </c>
      <c r="AM26" s="73" t="s">
        <v>260</v>
      </c>
      <c r="AN26" s="73"/>
      <c r="AO26" s="74"/>
      <c r="AP26" s="74"/>
      <c r="AQ26" s="74">
        <v>25</v>
      </c>
      <c r="AR26" s="74"/>
      <c r="AS26" s="73"/>
    </row>
    <row r="27" spans="2:45" s="75" customFormat="1" ht="30.75" customHeight="1">
      <c r="B27" s="87">
        <v>20</v>
      </c>
      <c r="C27" s="452"/>
      <c r="D27" s="452"/>
      <c r="E27" s="452"/>
      <c r="F27" s="452"/>
      <c r="G27" s="452"/>
      <c r="H27" s="452"/>
      <c r="I27" s="452"/>
      <c r="J27" s="452"/>
      <c r="K27" s="452"/>
      <c r="L27" s="452"/>
      <c r="M27" s="453"/>
      <c r="N27" s="454"/>
      <c r="O27" s="454"/>
      <c r="P27" s="455"/>
      <c r="Q27" s="455"/>
      <c r="R27" s="455"/>
      <c r="S27" s="455"/>
      <c r="T27" s="455"/>
      <c r="U27" s="455"/>
      <c r="V27" s="456"/>
      <c r="W27" s="452"/>
      <c r="X27" s="452"/>
      <c r="Y27" s="452"/>
      <c r="Z27" s="88" t="s">
        <v>219</v>
      </c>
      <c r="AA27" s="89" t="s">
        <v>220</v>
      </c>
      <c r="AB27" s="90" t="s">
        <v>221</v>
      </c>
      <c r="AC27" s="91" t="s">
        <v>222</v>
      </c>
      <c r="AM27" s="73" t="s">
        <v>261</v>
      </c>
      <c r="AN27" s="73"/>
      <c r="AO27" s="74"/>
      <c r="AP27" s="74"/>
      <c r="AQ27" s="74">
        <v>26</v>
      </c>
      <c r="AR27" s="74"/>
      <c r="AS27" s="73"/>
    </row>
    <row r="28" spans="2:43" ht="30.75" customHeight="1">
      <c r="B28" s="87">
        <v>21</v>
      </c>
      <c r="C28" s="452"/>
      <c r="D28" s="452"/>
      <c r="E28" s="452"/>
      <c r="F28" s="452"/>
      <c r="G28" s="452"/>
      <c r="H28" s="452"/>
      <c r="I28" s="452"/>
      <c r="J28" s="452"/>
      <c r="K28" s="452"/>
      <c r="L28" s="452"/>
      <c r="M28" s="453"/>
      <c r="N28" s="454"/>
      <c r="O28" s="454"/>
      <c r="P28" s="455"/>
      <c r="Q28" s="455"/>
      <c r="R28" s="455"/>
      <c r="S28" s="455"/>
      <c r="T28" s="455"/>
      <c r="U28" s="455"/>
      <c r="V28" s="456"/>
      <c r="W28" s="452"/>
      <c r="X28" s="452"/>
      <c r="Y28" s="452"/>
      <c r="Z28" s="88" t="s">
        <v>219</v>
      </c>
      <c r="AA28" s="89" t="s">
        <v>220</v>
      </c>
      <c r="AB28" s="90" t="s">
        <v>221</v>
      </c>
      <c r="AC28" s="91" t="s">
        <v>222</v>
      </c>
      <c r="AM28" s="73" t="s">
        <v>26</v>
      </c>
      <c r="AQ28" s="74">
        <v>27</v>
      </c>
    </row>
    <row r="29" spans="2:43" ht="30.75" customHeight="1">
      <c r="B29" s="87">
        <v>22</v>
      </c>
      <c r="C29" s="452"/>
      <c r="D29" s="452"/>
      <c r="E29" s="452"/>
      <c r="F29" s="452"/>
      <c r="G29" s="452"/>
      <c r="H29" s="452"/>
      <c r="I29" s="452"/>
      <c r="J29" s="452"/>
      <c r="K29" s="452"/>
      <c r="L29" s="452"/>
      <c r="M29" s="453"/>
      <c r="N29" s="454"/>
      <c r="O29" s="454"/>
      <c r="P29" s="455"/>
      <c r="Q29" s="455"/>
      <c r="R29" s="455"/>
      <c r="S29" s="455"/>
      <c r="T29" s="455"/>
      <c r="U29" s="455"/>
      <c r="V29" s="456"/>
      <c r="W29" s="452"/>
      <c r="X29" s="452"/>
      <c r="Y29" s="452"/>
      <c r="Z29" s="88" t="s">
        <v>219</v>
      </c>
      <c r="AA29" s="89" t="s">
        <v>220</v>
      </c>
      <c r="AB29" s="90" t="s">
        <v>221</v>
      </c>
      <c r="AC29" s="91" t="s">
        <v>222</v>
      </c>
      <c r="AM29" s="73" t="s">
        <v>262</v>
      </c>
      <c r="AQ29" s="74">
        <v>28</v>
      </c>
    </row>
    <row r="30" spans="2:43" ht="30.75" customHeight="1">
      <c r="B30" s="87">
        <v>23</v>
      </c>
      <c r="C30" s="452"/>
      <c r="D30" s="452"/>
      <c r="E30" s="452"/>
      <c r="F30" s="452"/>
      <c r="G30" s="452"/>
      <c r="H30" s="452"/>
      <c r="I30" s="452"/>
      <c r="J30" s="452"/>
      <c r="K30" s="452"/>
      <c r="L30" s="452"/>
      <c r="M30" s="453"/>
      <c r="N30" s="454"/>
      <c r="O30" s="454"/>
      <c r="P30" s="455"/>
      <c r="Q30" s="455"/>
      <c r="R30" s="455"/>
      <c r="S30" s="455"/>
      <c r="T30" s="455"/>
      <c r="U30" s="455"/>
      <c r="V30" s="456"/>
      <c r="W30" s="452"/>
      <c r="X30" s="452"/>
      <c r="Y30" s="452"/>
      <c r="Z30" s="88" t="s">
        <v>219</v>
      </c>
      <c r="AA30" s="89" t="s">
        <v>220</v>
      </c>
      <c r="AB30" s="90" t="s">
        <v>221</v>
      </c>
      <c r="AC30" s="91" t="s">
        <v>222</v>
      </c>
      <c r="AM30" s="73" t="s">
        <v>263</v>
      </c>
      <c r="AQ30" s="74">
        <v>29</v>
      </c>
    </row>
    <row r="31" spans="2:43" ht="30.75" customHeight="1">
      <c r="B31" s="87">
        <v>24</v>
      </c>
      <c r="C31" s="452"/>
      <c r="D31" s="452"/>
      <c r="E31" s="452"/>
      <c r="F31" s="452"/>
      <c r="G31" s="452"/>
      <c r="H31" s="452"/>
      <c r="I31" s="452"/>
      <c r="J31" s="452"/>
      <c r="K31" s="452"/>
      <c r="L31" s="452"/>
      <c r="M31" s="453"/>
      <c r="N31" s="454"/>
      <c r="O31" s="454"/>
      <c r="P31" s="455"/>
      <c r="Q31" s="455"/>
      <c r="R31" s="455"/>
      <c r="S31" s="455"/>
      <c r="T31" s="455"/>
      <c r="U31" s="455"/>
      <c r="V31" s="456"/>
      <c r="W31" s="452"/>
      <c r="X31" s="452"/>
      <c r="Y31" s="452"/>
      <c r="Z31" s="88" t="s">
        <v>219</v>
      </c>
      <c r="AA31" s="89" t="s">
        <v>220</v>
      </c>
      <c r="AB31" s="90" t="s">
        <v>221</v>
      </c>
      <c r="AC31" s="91" t="s">
        <v>222</v>
      </c>
      <c r="AM31" s="73" t="s">
        <v>264</v>
      </c>
      <c r="AQ31" s="74">
        <v>30</v>
      </c>
    </row>
    <row r="32" spans="2:43" ht="30.75" customHeight="1">
      <c r="B32" s="87">
        <v>25</v>
      </c>
      <c r="C32" s="452"/>
      <c r="D32" s="452"/>
      <c r="E32" s="452"/>
      <c r="F32" s="452"/>
      <c r="G32" s="452"/>
      <c r="H32" s="452"/>
      <c r="I32" s="452"/>
      <c r="J32" s="452"/>
      <c r="K32" s="452"/>
      <c r="L32" s="452"/>
      <c r="M32" s="453"/>
      <c r="N32" s="454"/>
      <c r="O32" s="454"/>
      <c r="P32" s="455"/>
      <c r="Q32" s="455"/>
      <c r="R32" s="455"/>
      <c r="S32" s="455"/>
      <c r="T32" s="455"/>
      <c r="U32" s="455"/>
      <c r="V32" s="456"/>
      <c r="W32" s="452"/>
      <c r="X32" s="452"/>
      <c r="Y32" s="452"/>
      <c r="Z32" s="88" t="s">
        <v>219</v>
      </c>
      <c r="AA32" s="89" t="s">
        <v>220</v>
      </c>
      <c r="AB32" s="90" t="s">
        <v>221</v>
      </c>
      <c r="AC32" s="91" t="s">
        <v>222</v>
      </c>
      <c r="AM32" s="73" t="s">
        <v>265</v>
      </c>
      <c r="AQ32" s="74">
        <v>31</v>
      </c>
    </row>
    <row r="33" spans="2:39" ht="30.75" customHeight="1">
      <c r="B33" s="87">
        <v>26</v>
      </c>
      <c r="C33" s="452"/>
      <c r="D33" s="452"/>
      <c r="E33" s="452"/>
      <c r="F33" s="452"/>
      <c r="G33" s="452"/>
      <c r="H33" s="452"/>
      <c r="I33" s="452"/>
      <c r="J33" s="452"/>
      <c r="K33" s="452"/>
      <c r="L33" s="452"/>
      <c r="M33" s="453"/>
      <c r="N33" s="454"/>
      <c r="O33" s="454"/>
      <c r="P33" s="455"/>
      <c r="Q33" s="455"/>
      <c r="R33" s="455"/>
      <c r="S33" s="455"/>
      <c r="T33" s="455"/>
      <c r="U33" s="455"/>
      <c r="V33" s="456"/>
      <c r="W33" s="452"/>
      <c r="X33" s="452"/>
      <c r="Y33" s="452"/>
      <c r="Z33" s="88" t="s">
        <v>219</v>
      </c>
      <c r="AA33" s="89" t="s">
        <v>220</v>
      </c>
      <c r="AB33" s="90" t="s">
        <v>221</v>
      </c>
      <c r="AC33" s="91" t="s">
        <v>222</v>
      </c>
      <c r="AM33" s="73" t="s">
        <v>266</v>
      </c>
    </row>
    <row r="34" spans="2:39" ht="30.75" customHeight="1">
      <c r="B34" s="87">
        <v>27</v>
      </c>
      <c r="C34" s="452"/>
      <c r="D34" s="452"/>
      <c r="E34" s="452"/>
      <c r="F34" s="452"/>
      <c r="G34" s="452"/>
      <c r="H34" s="452"/>
      <c r="I34" s="452"/>
      <c r="J34" s="452"/>
      <c r="K34" s="452"/>
      <c r="L34" s="452"/>
      <c r="M34" s="453"/>
      <c r="N34" s="454"/>
      <c r="O34" s="454"/>
      <c r="P34" s="455"/>
      <c r="Q34" s="455"/>
      <c r="R34" s="455"/>
      <c r="S34" s="455"/>
      <c r="T34" s="455"/>
      <c r="U34" s="455"/>
      <c r="V34" s="456"/>
      <c r="W34" s="452"/>
      <c r="X34" s="452"/>
      <c r="Y34" s="452"/>
      <c r="Z34" s="88" t="s">
        <v>219</v>
      </c>
      <c r="AA34" s="89" t="s">
        <v>220</v>
      </c>
      <c r="AB34" s="90" t="s">
        <v>221</v>
      </c>
      <c r="AC34" s="91" t="s">
        <v>222</v>
      </c>
      <c r="AM34" s="73" t="s">
        <v>267</v>
      </c>
    </row>
    <row r="35" spans="2:39" ht="30.75" customHeight="1">
      <c r="B35" s="87">
        <v>28</v>
      </c>
      <c r="C35" s="452"/>
      <c r="D35" s="452"/>
      <c r="E35" s="452"/>
      <c r="F35" s="452"/>
      <c r="G35" s="452"/>
      <c r="H35" s="452"/>
      <c r="I35" s="452"/>
      <c r="J35" s="452"/>
      <c r="K35" s="452"/>
      <c r="L35" s="452"/>
      <c r="M35" s="453"/>
      <c r="N35" s="454"/>
      <c r="O35" s="454"/>
      <c r="P35" s="455"/>
      <c r="Q35" s="455"/>
      <c r="R35" s="455"/>
      <c r="S35" s="455"/>
      <c r="T35" s="455"/>
      <c r="U35" s="455"/>
      <c r="V35" s="456"/>
      <c r="W35" s="452"/>
      <c r="X35" s="452"/>
      <c r="Y35" s="452"/>
      <c r="Z35" s="88" t="s">
        <v>219</v>
      </c>
      <c r="AA35" s="89" t="s">
        <v>220</v>
      </c>
      <c r="AB35" s="90" t="s">
        <v>221</v>
      </c>
      <c r="AC35" s="91" t="s">
        <v>222</v>
      </c>
      <c r="AM35" s="73" t="s">
        <v>33</v>
      </c>
    </row>
    <row r="36" spans="2:39" ht="30.75" customHeight="1">
      <c r="B36" s="87">
        <v>29</v>
      </c>
      <c r="C36" s="452"/>
      <c r="D36" s="452"/>
      <c r="E36" s="452"/>
      <c r="F36" s="452"/>
      <c r="G36" s="452"/>
      <c r="H36" s="452"/>
      <c r="I36" s="452"/>
      <c r="J36" s="452"/>
      <c r="K36" s="452"/>
      <c r="L36" s="452"/>
      <c r="M36" s="453"/>
      <c r="N36" s="454"/>
      <c r="O36" s="454"/>
      <c r="P36" s="455"/>
      <c r="Q36" s="455"/>
      <c r="R36" s="455"/>
      <c r="S36" s="455"/>
      <c r="T36" s="455"/>
      <c r="U36" s="455"/>
      <c r="V36" s="456"/>
      <c r="W36" s="452"/>
      <c r="X36" s="452"/>
      <c r="Y36" s="452"/>
      <c r="Z36" s="88" t="s">
        <v>219</v>
      </c>
      <c r="AA36" s="89" t="s">
        <v>220</v>
      </c>
      <c r="AB36" s="90" t="s">
        <v>221</v>
      </c>
      <c r="AC36" s="91" t="s">
        <v>222</v>
      </c>
      <c r="AM36" s="73" t="s">
        <v>268</v>
      </c>
    </row>
    <row r="37" spans="2:39" ht="30.75" customHeight="1">
      <c r="B37" s="87">
        <v>30</v>
      </c>
      <c r="C37" s="452"/>
      <c r="D37" s="452"/>
      <c r="E37" s="452"/>
      <c r="F37" s="452"/>
      <c r="G37" s="452"/>
      <c r="H37" s="452"/>
      <c r="I37" s="452"/>
      <c r="J37" s="452"/>
      <c r="K37" s="452"/>
      <c r="L37" s="452"/>
      <c r="M37" s="453"/>
      <c r="N37" s="454"/>
      <c r="O37" s="454"/>
      <c r="P37" s="455"/>
      <c r="Q37" s="455"/>
      <c r="R37" s="455"/>
      <c r="S37" s="455"/>
      <c r="T37" s="455"/>
      <c r="U37" s="455"/>
      <c r="V37" s="456"/>
      <c r="W37" s="452"/>
      <c r="X37" s="452"/>
      <c r="Y37" s="452"/>
      <c r="Z37" s="88" t="s">
        <v>219</v>
      </c>
      <c r="AA37" s="89" t="s">
        <v>220</v>
      </c>
      <c r="AB37" s="90" t="s">
        <v>221</v>
      </c>
      <c r="AC37" s="91" t="s">
        <v>222</v>
      </c>
      <c r="AM37" s="73" t="s">
        <v>269</v>
      </c>
    </row>
    <row r="38" spans="2:39" ht="30.75" customHeight="1">
      <c r="B38" s="87">
        <v>31</v>
      </c>
      <c r="C38" s="452"/>
      <c r="D38" s="452"/>
      <c r="E38" s="452"/>
      <c r="F38" s="452"/>
      <c r="G38" s="452"/>
      <c r="H38" s="452"/>
      <c r="I38" s="452"/>
      <c r="J38" s="452"/>
      <c r="K38" s="452"/>
      <c r="L38" s="452"/>
      <c r="M38" s="453"/>
      <c r="N38" s="454"/>
      <c r="O38" s="454"/>
      <c r="P38" s="455"/>
      <c r="Q38" s="455"/>
      <c r="R38" s="455"/>
      <c r="S38" s="455"/>
      <c r="T38" s="455"/>
      <c r="U38" s="455"/>
      <c r="V38" s="456"/>
      <c r="W38" s="452"/>
      <c r="X38" s="452"/>
      <c r="Y38" s="452"/>
      <c r="Z38" s="88" t="s">
        <v>219</v>
      </c>
      <c r="AA38" s="89" t="s">
        <v>220</v>
      </c>
      <c r="AB38" s="90" t="s">
        <v>221</v>
      </c>
      <c r="AC38" s="91" t="s">
        <v>222</v>
      </c>
      <c r="AM38" s="73" t="s">
        <v>270</v>
      </c>
    </row>
    <row r="39" spans="2:39" ht="30.75" customHeight="1">
      <c r="B39" s="87">
        <v>32</v>
      </c>
      <c r="C39" s="452"/>
      <c r="D39" s="452"/>
      <c r="E39" s="452"/>
      <c r="F39" s="452"/>
      <c r="G39" s="452"/>
      <c r="H39" s="452"/>
      <c r="I39" s="452"/>
      <c r="J39" s="452"/>
      <c r="K39" s="452"/>
      <c r="L39" s="452"/>
      <c r="M39" s="453"/>
      <c r="N39" s="454"/>
      <c r="O39" s="454"/>
      <c r="P39" s="455"/>
      <c r="Q39" s="455"/>
      <c r="R39" s="455"/>
      <c r="S39" s="455"/>
      <c r="T39" s="455"/>
      <c r="U39" s="455"/>
      <c r="V39" s="456"/>
      <c r="W39" s="452"/>
      <c r="X39" s="452"/>
      <c r="Y39" s="452"/>
      <c r="Z39" s="88" t="s">
        <v>219</v>
      </c>
      <c r="AA39" s="89" t="s">
        <v>220</v>
      </c>
      <c r="AB39" s="90" t="s">
        <v>221</v>
      </c>
      <c r="AC39" s="91" t="s">
        <v>222</v>
      </c>
      <c r="AM39" s="73" t="s">
        <v>36</v>
      </c>
    </row>
    <row r="40" spans="2:39" ht="30.75" customHeight="1">
      <c r="B40" s="87">
        <v>33</v>
      </c>
      <c r="C40" s="452"/>
      <c r="D40" s="452"/>
      <c r="E40" s="452"/>
      <c r="F40" s="452"/>
      <c r="G40" s="452"/>
      <c r="H40" s="452"/>
      <c r="I40" s="452"/>
      <c r="J40" s="452"/>
      <c r="K40" s="452"/>
      <c r="L40" s="452"/>
      <c r="M40" s="453"/>
      <c r="N40" s="454"/>
      <c r="O40" s="454"/>
      <c r="P40" s="455"/>
      <c r="Q40" s="455"/>
      <c r="R40" s="455"/>
      <c r="S40" s="455"/>
      <c r="T40" s="455"/>
      <c r="U40" s="455"/>
      <c r="V40" s="456"/>
      <c r="W40" s="452"/>
      <c r="X40" s="452"/>
      <c r="Y40" s="452"/>
      <c r="Z40" s="88" t="s">
        <v>219</v>
      </c>
      <c r="AA40" s="89" t="s">
        <v>220</v>
      </c>
      <c r="AB40" s="90" t="s">
        <v>221</v>
      </c>
      <c r="AC40" s="91" t="s">
        <v>222</v>
      </c>
      <c r="AM40" s="73" t="s">
        <v>271</v>
      </c>
    </row>
    <row r="41" spans="2:39" ht="30.75" customHeight="1">
      <c r="B41" s="87">
        <v>34</v>
      </c>
      <c r="C41" s="452"/>
      <c r="D41" s="452"/>
      <c r="E41" s="452"/>
      <c r="F41" s="452"/>
      <c r="G41" s="452"/>
      <c r="H41" s="452"/>
      <c r="I41" s="452"/>
      <c r="J41" s="452"/>
      <c r="K41" s="452"/>
      <c r="L41" s="452"/>
      <c r="M41" s="453"/>
      <c r="N41" s="454"/>
      <c r="O41" s="454"/>
      <c r="P41" s="455"/>
      <c r="Q41" s="455"/>
      <c r="R41" s="455"/>
      <c r="S41" s="455"/>
      <c r="T41" s="455"/>
      <c r="U41" s="455"/>
      <c r="V41" s="456"/>
      <c r="W41" s="452"/>
      <c r="X41" s="452"/>
      <c r="Y41" s="452"/>
      <c r="Z41" s="88" t="s">
        <v>219</v>
      </c>
      <c r="AA41" s="89" t="s">
        <v>220</v>
      </c>
      <c r="AB41" s="90" t="s">
        <v>221</v>
      </c>
      <c r="AC41" s="91" t="s">
        <v>222</v>
      </c>
      <c r="AM41" s="73" t="s">
        <v>272</v>
      </c>
    </row>
    <row r="42" spans="2:39" ht="30.75" customHeight="1">
      <c r="B42" s="87">
        <v>35</v>
      </c>
      <c r="C42" s="452"/>
      <c r="D42" s="452"/>
      <c r="E42" s="452"/>
      <c r="F42" s="452"/>
      <c r="G42" s="452"/>
      <c r="H42" s="452"/>
      <c r="I42" s="452"/>
      <c r="J42" s="452"/>
      <c r="K42" s="452"/>
      <c r="L42" s="452"/>
      <c r="M42" s="453"/>
      <c r="N42" s="454"/>
      <c r="O42" s="454"/>
      <c r="P42" s="455"/>
      <c r="Q42" s="455"/>
      <c r="R42" s="455"/>
      <c r="S42" s="455"/>
      <c r="T42" s="455"/>
      <c r="U42" s="455"/>
      <c r="V42" s="456"/>
      <c r="W42" s="452"/>
      <c r="X42" s="452"/>
      <c r="Y42" s="452"/>
      <c r="Z42" s="88" t="s">
        <v>219</v>
      </c>
      <c r="AA42" s="89" t="s">
        <v>220</v>
      </c>
      <c r="AB42" s="90" t="s">
        <v>221</v>
      </c>
      <c r="AC42" s="91" t="s">
        <v>222</v>
      </c>
      <c r="AM42" s="73" t="s">
        <v>38</v>
      </c>
    </row>
    <row r="43" spans="2:39" ht="30.75" customHeight="1">
      <c r="B43" s="87">
        <v>36</v>
      </c>
      <c r="C43" s="452"/>
      <c r="D43" s="452"/>
      <c r="E43" s="452"/>
      <c r="F43" s="452"/>
      <c r="G43" s="452"/>
      <c r="H43" s="452"/>
      <c r="I43" s="452"/>
      <c r="J43" s="452"/>
      <c r="K43" s="452"/>
      <c r="L43" s="452"/>
      <c r="M43" s="453"/>
      <c r="N43" s="454"/>
      <c r="O43" s="454"/>
      <c r="P43" s="455"/>
      <c r="Q43" s="455"/>
      <c r="R43" s="455"/>
      <c r="S43" s="455"/>
      <c r="T43" s="455"/>
      <c r="U43" s="455"/>
      <c r="V43" s="456"/>
      <c r="W43" s="452"/>
      <c r="X43" s="452"/>
      <c r="Y43" s="452"/>
      <c r="Z43" s="88" t="s">
        <v>219</v>
      </c>
      <c r="AA43" s="89" t="s">
        <v>220</v>
      </c>
      <c r="AB43" s="90" t="s">
        <v>221</v>
      </c>
      <c r="AC43" s="91" t="s">
        <v>222</v>
      </c>
      <c r="AM43" s="73" t="s">
        <v>273</v>
      </c>
    </row>
    <row r="44" spans="2:39" ht="30.75" customHeight="1">
      <c r="B44" s="87">
        <v>37</v>
      </c>
      <c r="C44" s="452"/>
      <c r="D44" s="452"/>
      <c r="E44" s="452"/>
      <c r="F44" s="452"/>
      <c r="G44" s="452"/>
      <c r="H44" s="452"/>
      <c r="I44" s="452"/>
      <c r="J44" s="452"/>
      <c r="K44" s="452"/>
      <c r="L44" s="452"/>
      <c r="M44" s="453"/>
      <c r="N44" s="454"/>
      <c r="O44" s="454"/>
      <c r="P44" s="455"/>
      <c r="Q44" s="455"/>
      <c r="R44" s="455"/>
      <c r="S44" s="455"/>
      <c r="T44" s="455"/>
      <c r="U44" s="455"/>
      <c r="V44" s="456"/>
      <c r="W44" s="452"/>
      <c r="X44" s="452"/>
      <c r="Y44" s="452"/>
      <c r="Z44" s="88" t="s">
        <v>219</v>
      </c>
      <c r="AA44" s="89" t="s">
        <v>220</v>
      </c>
      <c r="AB44" s="90" t="s">
        <v>221</v>
      </c>
      <c r="AC44" s="91" t="s">
        <v>222</v>
      </c>
      <c r="AM44" s="73" t="s">
        <v>41</v>
      </c>
    </row>
    <row r="45" spans="2:39" ht="30.75" customHeight="1">
      <c r="B45" s="87">
        <v>38</v>
      </c>
      <c r="C45" s="452"/>
      <c r="D45" s="452"/>
      <c r="E45" s="452"/>
      <c r="F45" s="452"/>
      <c r="G45" s="452"/>
      <c r="H45" s="452"/>
      <c r="I45" s="452"/>
      <c r="J45" s="452"/>
      <c r="K45" s="452"/>
      <c r="L45" s="452"/>
      <c r="M45" s="453"/>
      <c r="N45" s="454"/>
      <c r="O45" s="454"/>
      <c r="P45" s="455"/>
      <c r="Q45" s="455"/>
      <c r="R45" s="455"/>
      <c r="S45" s="455"/>
      <c r="T45" s="455"/>
      <c r="U45" s="455"/>
      <c r="V45" s="456"/>
      <c r="W45" s="452"/>
      <c r="X45" s="452"/>
      <c r="Y45" s="452"/>
      <c r="Z45" s="88" t="s">
        <v>219</v>
      </c>
      <c r="AA45" s="89" t="s">
        <v>220</v>
      </c>
      <c r="AB45" s="90" t="s">
        <v>221</v>
      </c>
      <c r="AC45" s="91" t="s">
        <v>222</v>
      </c>
      <c r="AM45" s="73" t="s">
        <v>274</v>
      </c>
    </row>
    <row r="46" spans="2:39" ht="30.75" customHeight="1">
      <c r="B46" s="87">
        <v>39</v>
      </c>
      <c r="C46" s="452"/>
      <c r="D46" s="452"/>
      <c r="E46" s="452"/>
      <c r="F46" s="452"/>
      <c r="G46" s="452"/>
      <c r="H46" s="452"/>
      <c r="I46" s="452"/>
      <c r="J46" s="452"/>
      <c r="K46" s="452"/>
      <c r="L46" s="452"/>
      <c r="M46" s="453"/>
      <c r="N46" s="454"/>
      <c r="O46" s="454"/>
      <c r="P46" s="455"/>
      <c r="Q46" s="455"/>
      <c r="R46" s="455"/>
      <c r="S46" s="455"/>
      <c r="T46" s="455"/>
      <c r="U46" s="455"/>
      <c r="V46" s="456"/>
      <c r="W46" s="452"/>
      <c r="X46" s="452"/>
      <c r="Y46" s="452"/>
      <c r="Z46" s="88" t="s">
        <v>219</v>
      </c>
      <c r="AA46" s="89" t="s">
        <v>220</v>
      </c>
      <c r="AB46" s="90" t="s">
        <v>221</v>
      </c>
      <c r="AC46" s="91" t="s">
        <v>222</v>
      </c>
      <c r="AM46" s="73" t="s">
        <v>19</v>
      </c>
    </row>
    <row r="47" spans="2:39" ht="30.75" customHeight="1">
      <c r="B47" s="92">
        <v>40</v>
      </c>
      <c r="C47" s="457"/>
      <c r="D47" s="457"/>
      <c r="E47" s="457"/>
      <c r="F47" s="457"/>
      <c r="G47" s="457"/>
      <c r="H47" s="457"/>
      <c r="I47" s="457"/>
      <c r="J47" s="457"/>
      <c r="K47" s="457"/>
      <c r="L47" s="457"/>
      <c r="M47" s="458"/>
      <c r="N47" s="459"/>
      <c r="O47" s="459"/>
      <c r="P47" s="460"/>
      <c r="Q47" s="460"/>
      <c r="R47" s="460"/>
      <c r="S47" s="460"/>
      <c r="T47" s="460"/>
      <c r="U47" s="460"/>
      <c r="V47" s="461"/>
      <c r="W47" s="457"/>
      <c r="X47" s="457"/>
      <c r="Y47" s="457"/>
      <c r="Z47" s="93" t="s">
        <v>219</v>
      </c>
      <c r="AA47" s="94" t="s">
        <v>220</v>
      </c>
      <c r="AB47" s="95" t="s">
        <v>221</v>
      </c>
      <c r="AC47" s="96" t="s">
        <v>222</v>
      </c>
      <c r="AM47" s="73" t="s">
        <v>275</v>
      </c>
    </row>
    <row r="48" spans="2:39" ht="30.75" customHeight="1">
      <c r="B48" s="447" t="s">
        <v>276</v>
      </c>
      <c r="C48" s="448"/>
      <c r="D48" s="448"/>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50"/>
      <c r="AM48" s="73" t="s">
        <v>277</v>
      </c>
    </row>
    <row r="49" spans="2:39" ht="27" customHeight="1">
      <c r="B49" s="451" t="s">
        <v>278</v>
      </c>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c r="AM49" s="73" t="s">
        <v>279</v>
      </c>
    </row>
    <row r="50" ht="13.5">
      <c r="AM50" s="73" t="s">
        <v>280</v>
      </c>
    </row>
    <row r="51" ht="13.5">
      <c r="AM51" s="73" t="s">
        <v>31</v>
      </c>
    </row>
    <row r="52" ht="13.5">
      <c r="AM52" s="73" t="s">
        <v>281</v>
      </c>
    </row>
    <row r="53" ht="13.5">
      <c r="AM53" s="73" t="s">
        <v>282</v>
      </c>
    </row>
    <row r="54" ht="13.5">
      <c r="AM54" s="73" t="s">
        <v>283</v>
      </c>
    </row>
    <row r="55" ht="13.5">
      <c r="AM55" s="73" t="s">
        <v>284</v>
      </c>
    </row>
    <row r="56" ht="13.5">
      <c r="AM56" s="73" t="s">
        <v>285</v>
      </c>
    </row>
    <row r="57" ht="13.5">
      <c r="AM57" s="73" t="s">
        <v>14</v>
      </c>
    </row>
    <row r="58" ht="13.5">
      <c r="AM58" s="73" t="s">
        <v>286</v>
      </c>
    </row>
    <row r="59" ht="13.5">
      <c r="AM59" s="73" t="s">
        <v>241</v>
      </c>
    </row>
  </sheetData>
  <mergeCells count="268">
    <mergeCell ref="B1:AC1"/>
    <mergeCell ref="B2:F2"/>
    <mergeCell ref="G2:P2"/>
    <mergeCell ref="Q2:S2"/>
    <mergeCell ref="AB2:AC2"/>
    <mergeCell ref="B3:F3"/>
    <mergeCell ref="G3:P3"/>
    <mergeCell ref="Q3:S3"/>
    <mergeCell ref="T3:AC3"/>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C8:M8"/>
    <mergeCell ref="N8:O8"/>
    <mergeCell ref="P8:Q8"/>
    <mergeCell ref="R8:S8"/>
    <mergeCell ref="T8:U8"/>
    <mergeCell ref="V8:Y8"/>
    <mergeCell ref="C9:M9"/>
    <mergeCell ref="N9:O9"/>
    <mergeCell ref="P9:Q9"/>
    <mergeCell ref="R9:S9"/>
    <mergeCell ref="T9:U9"/>
    <mergeCell ref="V9:Y9"/>
    <mergeCell ref="C10:M10"/>
    <mergeCell ref="N10:O10"/>
    <mergeCell ref="P10:Q10"/>
    <mergeCell ref="R10:S10"/>
    <mergeCell ref="T10:U10"/>
    <mergeCell ref="V10:Y10"/>
    <mergeCell ref="C11:M11"/>
    <mergeCell ref="N11:O11"/>
    <mergeCell ref="P11:Q11"/>
    <mergeCell ref="R11:S11"/>
    <mergeCell ref="T11:U11"/>
    <mergeCell ref="V11:Y11"/>
    <mergeCell ref="C12:M12"/>
    <mergeCell ref="N12:O12"/>
    <mergeCell ref="P12:Q12"/>
    <mergeCell ref="R12:S12"/>
    <mergeCell ref="T12:U12"/>
    <mergeCell ref="V12:Y12"/>
    <mergeCell ref="C13:M13"/>
    <mergeCell ref="N13:O13"/>
    <mergeCell ref="P13:Q13"/>
    <mergeCell ref="R13:S13"/>
    <mergeCell ref="T13:U13"/>
    <mergeCell ref="V13:Y13"/>
    <mergeCell ref="C14:M14"/>
    <mergeCell ref="N14:O14"/>
    <mergeCell ref="P14:Q14"/>
    <mergeCell ref="R14:S14"/>
    <mergeCell ref="T14:U14"/>
    <mergeCell ref="V14:Y14"/>
    <mergeCell ref="C15:M15"/>
    <mergeCell ref="N15:O15"/>
    <mergeCell ref="P15:Q15"/>
    <mergeCell ref="R15:S15"/>
    <mergeCell ref="T15:U15"/>
    <mergeCell ref="V15:Y15"/>
    <mergeCell ref="C16:M16"/>
    <mergeCell ref="N16:O16"/>
    <mergeCell ref="P16:Q16"/>
    <mergeCell ref="R16:S16"/>
    <mergeCell ref="T16:U16"/>
    <mergeCell ref="V16:Y16"/>
    <mergeCell ref="C17:M17"/>
    <mergeCell ref="N17:O17"/>
    <mergeCell ref="P17:Q17"/>
    <mergeCell ref="R17:S17"/>
    <mergeCell ref="T17:U17"/>
    <mergeCell ref="V17:Y17"/>
    <mergeCell ref="C18:M18"/>
    <mergeCell ref="N18:O18"/>
    <mergeCell ref="P18:Q18"/>
    <mergeCell ref="R18:S18"/>
    <mergeCell ref="T18:U18"/>
    <mergeCell ref="V18:Y18"/>
    <mergeCell ref="C19:M19"/>
    <mergeCell ref="N19:O19"/>
    <mergeCell ref="P19:Q19"/>
    <mergeCell ref="R19:S19"/>
    <mergeCell ref="T19:U19"/>
    <mergeCell ref="V19:Y19"/>
    <mergeCell ref="C20:M20"/>
    <mergeCell ref="N20:O20"/>
    <mergeCell ref="P20:Q20"/>
    <mergeCell ref="R20:S20"/>
    <mergeCell ref="T20:U20"/>
    <mergeCell ref="V20:Y20"/>
    <mergeCell ref="C21:M21"/>
    <mergeCell ref="N21:O21"/>
    <mergeCell ref="P21:Q21"/>
    <mergeCell ref="R21:S21"/>
    <mergeCell ref="T21:U21"/>
    <mergeCell ref="V21:Y21"/>
    <mergeCell ref="C22:M22"/>
    <mergeCell ref="N22:O22"/>
    <mergeCell ref="P22:Q22"/>
    <mergeCell ref="R22:S22"/>
    <mergeCell ref="T22:U22"/>
    <mergeCell ref="V22:Y22"/>
    <mergeCell ref="C23:M23"/>
    <mergeCell ref="N23:O23"/>
    <mergeCell ref="P23:Q23"/>
    <mergeCell ref="R23:S23"/>
    <mergeCell ref="T23:U23"/>
    <mergeCell ref="V23:Y23"/>
    <mergeCell ref="C24:M24"/>
    <mergeCell ref="N24:O24"/>
    <mergeCell ref="P24:Q24"/>
    <mergeCell ref="R24:S24"/>
    <mergeCell ref="T24:U24"/>
    <mergeCell ref="V24:Y24"/>
    <mergeCell ref="C25:M25"/>
    <mergeCell ref="N25:O25"/>
    <mergeCell ref="P25:Q25"/>
    <mergeCell ref="R25:S25"/>
    <mergeCell ref="T25:U25"/>
    <mergeCell ref="V25:Y25"/>
    <mergeCell ref="C26:M26"/>
    <mergeCell ref="N26:O26"/>
    <mergeCell ref="P26:Q26"/>
    <mergeCell ref="R26:S26"/>
    <mergeCell ref="T26:U26"/>
    <mergeCell ref="V26:Y26"/>
    <mergeCell ref="C27:M27"/>
    <mergeCell ref="N27:O27"/>
    <mergeCell ref="P27:Q27"/>
    <mergeCell ref="R27:S27"/>
    <mergeCell ref="T27:U27"/>
    <mergeCell ref="V27:Y27"/>
    <mergeCell ref="C28:M28"/>
    <mergeCell ref="N28:O28"/>
    <mergeCell ref="P28:Q28"/>
    <mergeCell ref="R28:S28"/>
    <mergeCell ref="T28:U28"/>
    <mergeCell ref="V28:Y28"/>
    <mergeCell ref="C29:M29"/>
    <mergeCell ref="N29:O29"/>
    <mergeCell ref="P29:Q29"/>
    <mergeCell ref="R29:S29"/>
    <mergeCell ref="T29:U29"/>
    <mergeCell ref="V29:Y29"/>
    <mergeCell ref="C30:M30"/>
    <mergeCell ref="N30:O30"/>
    <mergeCell ref="P30:Q30"/>
    <mergeCell ref="R30:S30"/>
    <mergeCell ref="T30:U30"/>
    <mergeCell ref="V30:Y30"/>
    <mergeCell ref="C31:M31"/>
    <mergeCell ref="N31:O31"/>
    <mergeCell ref="P31:Q31"/>
    <mergeCell ref="R31:S31"/>
    <mergeCell ref="T31:U31"/>
    <mergeCell ref="V31:Y31"/>
    <mergeCell ref="C32:M32"/>
    <mergeCell ref="N32:O32"/>
    <mergeCell ref="P32:Q32"/>
    <mergeCell ref="R32:S32"/>
    <mergeCell ref="T32:U32"/>
    <mergeCell ref="V32:Y32"/>
    <mergeCell ref="C33:M33"/>
    <mergeCell ref="N33:O33"/>
    <mergeCell ref="P33:Q33"/>
    <mergeCell ref="R33:S33"/>
    <mergeCell ref="T33:U33"/>
    <mergeCell ref="V33:Y33"/>
    <mergeCell ref="C34:M34"/>
    <mergeCell ref="N34:O34"/>
    <mergeCell ref="P34:Q34"/>
    <mergeCell ref="R34:S34"/>
    <mergeCell ref="T34:U34"/>
    <mergeCell ref="V34:Y34"/>
    <mergeCell ref="C35:M35"/>
    <mergeCell ref="N35:O35"/>
    <mergeCell ref="P35:Q35"/>
    <mergeCell ref="R35:S35"/>
    <mergeCell ref="T35:U35"/>
    <mergeCell ref="V35:Y35"/>
    <mergeCell ref="C36:M36"/>
    <mergeCell ref="N36:O36"/>
    <mergeCell ref="P36:Q36"/>
    <mergeCell ref="R36:S36"/>
    <mergeCell ref="T36:U36"/>
    <mergeCell ref="V36:Y36"/>
    <mergeCell ref="C37:M37"/>
    <mergeCell ref="N37:O37"/>
    <mergeCell ref="P37:Q37"/>
    <mergeCell ref="R37:S37"/>
    <mergeCell ref="T37:U37"/>
    <mergeCell ref="V37:Y37"/>
    <mergeCell ref="C38:M38"/>
    <mergeCell ref="N38:O38"/>
    <mergeCell ref="P38:Q38"/>
    <mergeCell ref="R38:S38"/>
    <mergeCell ref="T38:U38"/>
    <mergeCell ref="V38:Y38"/>
    <mergeCell ref="C39:M39"/>
    <mergeCell ref="N39:O39"/>
    <mergeCell ref="P39:Q39"/>
    <mergeCell ref="R39:S39"/>
    <mergeCell ref="T39:U39"/>
    <mergeCell ref="V39:Y39"/>
    <mergeCell ref="C40:M40"/>
    <mergeCell ref="N40:O40"/>
    <mergeCell ref="P40:Q40"/>
    <mergeCell ref="R40:S40"/>
    <mergeCell ref="T40:U40"/>
    <mergeCell ref="V40:Y40"/>
    <mergeCell ref="C41:M41"/>
    <mergeCell ref="N41:O41"/>
    <mergeCell ref="P41:Q41"/>
    <mergeCell ref="R41:S41"/>
    <mergeCell ref="T41:U41"/>
    <mergeCell ref="V41:Y41"/>
    <mergeCell ref="C42:M42"/>
    <mergeCell ref="N42:O42"/>
    <mergeCell ref="P42:Q42"/>
    <mergeCell ref="R42:S42"/>
    <mergeCell ref="T42:U42"/>
    <mergeCell ref="V42:Y42"/>
    <mergeCell ref="C43:M43"/>
    <mergeCell ref="N43:O43"/>
    <mergeCell ref="P43:Q43"/>
    <mergeCell ref="R43:S43"/>
    <mergeCell ref="T43:U43"/>
    <mergeCell ref="V43:Y43"/>
    <mergeCell ref="C44:M44"/>
    <mergeCell ref="N44:O44"/>
    <mergeCell ref="P44:Q44"/>
    <mergeCell ref="R44:S44"/>
    <mergeCell ref="T44:U44"/>
    <mergeCell ref="V44:Y44"/>
    <mergeCell ref="C45:M45"/>
    <mergeCell ref="N45:O45"/>
    <mergeCell ref="P45:Q45"/>
    <mergeCell ref="R45:S45"/>
    <mergeCell ref="T45:U45"/>
    <mergeCell ref="V45:Y45"/>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s>
  <dataValidations count="7">
    <dataValidation type="list" allowBlank="1" showInputMessage="1" showErrorMessage="1" sqref="G3:P3">
      <formula1>$AN$2:$AN$21</formula1>
    </dataValidation>
    <dataValidation type="list" allowBlank="1" showInputMessage="1" showErrorMessage="1" sqref="AA2">
      <formula1>$AR$2:$AR$8</formula1>
    </dataValidation>
    <dataValidation type="list" allowBlank="1" showInputMessage="1" showErrorMessage="1" sqref="Y2">
      <formula1>$AQ$2:$AQ$32</formula1>
    </dataValidation>
    <dataValidation type="list" allowBlank="1" showInputMessage="1" showErrorMessage="1" sqref="W2">
      <formula1>$AP$2:$AP$13</formula1>
    </dataValidation>
    <dataValidation type="list" allowBlank="1" showInputMessage="1" showErrorMessage="1" sqref="U2">
      <formula1>$AO$2:$AO$16</formula1>
    </dataValidation>
    <dataValidation type="list" allowBlank="1" showInputMessage="1" showErrorMessage="1" sqref="T3:AC3">
      <formula1>$AS$2:$AS$13</formula1>
    </dataValidation>
    <dataValidation type="list" allowBlank="1" showInputMessage="1" showErrorMessage="1" sqref="P8:U47">
      <formula1>"○"</formula1>
    </dataValidation>
  </dataValidations>
  <printOptions/>
  <pageMargins left="0.19685039370078738" right="0.19685039370078738" top="0.19685039370078738" bottom="0.19685039370078738" header="0.31496062992125984" footer="0.31496062992125984"/>
  <pageSetup fitToHeight="1" fitToWidth="1" horizontalDpi="300" verticalDpi="300" orientation="portrait" paperSize="9" scale="57"/>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AS49"/>
  <sheetViews>
    <sheetView showGridLines="0" zoomScale="60" zoomScaleNormal="60" workbookViewId="0" topLeftCell="A1"/>
  </sheetViews>
  <sheetFormatPr defaultColWidth="9.375" defaultRowHeight="13.5"/>
  <cols>
    <col min="1" max="31" width="5.75390625" style="72" customWidth="1"/>
    <col min="32" max="38" width="9.375" style="72" customWidth="1"/>
    <col min="39" max="40" width="9.375" style="73" hidden="1" customWidth="1"/>
    <col min="41" max="44" width="9.375" style="74" hidden="1" customWidth="1"/>
    <col min="45" max="45" width="9.375" style="73" hidden="1" customWidth="1"/>
    <col min="46" max="47" width="9.375" style="72" customWidth="1"/>
    <col min="48" max="16384" width="9.375" style="72" customWidth="1"/>
  </cols>
  <sheetData>
    <row r="1" spans="2:45" s="75" customFormat="1" ht="38.5" customHeight="1">
      <c r="B1" s="486" t="s">
        <v>168</v>
      </c>
      <c r="C1" s="486"/>
      <c r="D1" s="486"/>
      <c r="E1" s="486"/>
      <c r="F1" s="486"/>
      <c r="G1" s="486"/>
      <c r="H1" s="486"/>
      <c r="I1" s="486"/>
      <c r="J1" s="486"/>
      <c r="K1" s="486"/>
      <c r="L1" s="486"/>
      <c r="M1" s="486"/>
      <c r="N1" s="486"/>
      <c r="O1" s="486"/>
      <c r="P1" s="486"/>
      <c r="Q1" s="486"/>
      <c r="R1" s="486"/>
      <c r="S1" s="486"/>
      <c r="T1" s="486"/>
      <c r="U1" s="486"/>
      <c r="V1" s="486"/>
      <c r="W1" s="486"/>
      <c r="X1" s="486"/>
      <c r="Y1" s="486"/>
      <c r="Z1" s="486"/>
      <c r="AA1" s="486"/>
      <c r="AB1" s="486"/>
      <c r="AC1" s="486"/>
      <c r="AD1" s="76"/>
      <c r="AE1" s="76"/>
      <c r="AM1" s="73" t="s">
        <v>169</v>
      </c>
      <c r="AN1" s="73" t="s">
        <v>170</v>
      </c>
      <c r="AO1" s="74" t="s">
        <v>171</v>
      </c>
      <c r="AP1" s="74" t="s">
        <v>172</v>
      </c>
      <c r="AQ1" s="74" t="s">
        <v>173</v>
      </c>
      <c r="AR1" s="74" t="s">
        <v>174</v>
      </c>
      <c r="AS1" s="73" t="s">
        <v>64</v>
      </c>
    </row>
    <row r="2" spans="2:45" s="75" customFormat="1" ht="30.75" customHeight="1">
      <c r="B2" s="487" t="s">
        <v>9</v>
      </c>
      <c r="C2" s="488"/>
      <c r="D2" s="488"/>
      <c r="E2" s="488"/>
      <c r="F2" s="488"/>
      <c r="G2" s="489"/>
      <c r="H2" s="489"/>
      <c r="I2" s="489"/>
      <c r="J2" s="489"/>
      <c r="K2" s="489"/>
      <c r="L2" s="489"/>
      <c r="M2" s="489"/>
      <c r="N2" s="489"/>
      <c r="O2" s="489"/>
      <c r="P2" s="490"/>
      <c r="Q2" s="491" t="s">
        <v>176</v>
      </c>
      <c r="R2" s="488"/>
      <c r="S2" s="488"/>
      <c r="T2" s="77" t="s">
        <v>177</v>
      </c>
      <c r="U2" s="77">
        <v>4</v>
      </c>
      <c r="V2" s="78" t="s">
        <v>171</v>
      </c>
      <c r="W2" s="77">
        <v>7</v>
      </c>
      <c r="X2" s="78" t="s">
        <v>172</v>
      </c>
      <c r="Y2" s="77"/>
      <c r="Z2" s="78" t="s">
        <v>173</v>
      </c>
      <c r="AA2" s="79"/>
      <c r="AB2" s="492" t="s">
        <v>179</v>
      </c>
      <c r="AC2" s="493"/>
      <c r="AD2" s="80"/>
      <c r="AE2" s="80"/>
      <c r="AM2" s="73"/>
      <c r="AN2" s="73" t="s">
        <v>287</v>
      </c>
      <c r="AO2" s="74">
        <v>1</v>
      </c>
      <c r="AP2" s="74">
        <v>1</v>
      </c>
      <c r="AQ2" s="74">
        <v>1</v>
      </c>
      <c r="AR2" s="74" t="s">
        <v>172</v>
      </c>
      <c r="AS2" s="73" t="s">
        <v>288</v>
      </c>
    </row>
    <row r="3" spans="2:45" s="75" customFormat="1" ht="30.75" customHeight="1">
      <c r="B3" s="494" t="s">
        <v>183</v>
      </c>
      <c r="C3" s="495"/>
      <c r="D3" s="495"/>
      <c r="E3" s="495"/>
      <c r="F3" s="495"/>
      <c r="G3" s="500" t="s">
        <v>287</v>
      </c>
      <c r="H3" s="500"/>
      <c r="I3" s="500"/>
      <c r="J3" s="500"/>
      <c r="K3" s="500"/>
      <c r="L3" s="500"/>
      <c r="M3" s="500"/>
      <c r="N3" s="500"/>
      <c r="O3" s="500"/>
      <c r="P3" s="501"/>
      <c r="Q3" s="498" t="s">
        <v>64</v>
      </c>
      <c r="R3" s="495"/>
      <c r="S3" s="495"/>
      <c r="T3" s="500"/>
      <c r="U3" s="500"/>
      <c r="V3" s="500"/>
      <c r="W3" s="500"/>
      <c r="X3" s="500"/>
      <c r="Y3" s="500"/>
      <c r="Z3" s="500"/>
      <c r="AA3" s="500"/>
      <c r="AB3" s="500"/>
      <c r="AC3" s="502"/>
      <c r="AD3" s="80"/>
      <c r="AE3" s="80"/>
      <c r="AM3" s="73"/>
      <c r="AN3" s="73"/>
      <c r="AO3" s="74">
        <v>2</v>
      </c>
      <c r="AP3" s="74">
        <v>2</v>
      </c>
      <c r="AQ3" s="74">
        <v>2</v>
      </c>
      <c r="AR3" s="74" t="s">
        <v>188</v>
      </c>
      <c r="AS3" s="73" t="s">
        <v>289</v>
      </c>
    </row>
    <row r="4" spans="2:45" s="75" customFormat="1" ht="30.75" customHeight="1">
      <c r="B4" s="467" t="s">
        <v>190</v>
      </c>
      <c r="C4" s="468"/>
      <c r="D4" s="468"/>
      <c r="E4" s="468"/>
      <c r="F4" s="468"/>
      <c r="G4" s="469"/>
      <c r="H4" s="469"/>
      <c r="I4" s="469"/>
      <c r="J4" s="469"/>
      <c r="K4" s="469"/>
      <c r="L4" s="469"/>
      <c r="M4" s="469"/>
      <c r="N4" s="469"/>
      <c r="O4" s="469"/>
      <c r="P4" s="470"/>
      <c r="Q4" s="471" t="s">
        <v>192</v>
      </c>
      <c r="R4" s="468"/>
      <c r="S4" s="468"/>
      <c r="T4" s="472"/>
      <c r="U4" s="472"/>
      <c r="V4" s="81" t="s">
        <v>16</v>
      </c>
      <c r="W4" s="472"/>
      <c r="X4" s="472"/>
      <c r="Y4" s="472"/>
      <c r="Z4" s="81" t="s">
        <v>16</v>
      </c>
      <c r="AA4" s="472"/>
      <c r="AB4" s="472"/>
      <c r="AC4" s="473"/>
      <c r="AD4" s="80"/>
      <c r="AE4" s="80"/>
      <c r="AM4" s="73"/>
      <c r="AN4" s="73"/>
      <c r="AO4" s="74">
        <v>3</v>
      </c>
      <c r="AP4" s="74">
        <v>3</v>
      </c>
      <c r="AQ4" s="74">
        <v>3</v>
      </c>
      <c r="AR4" s="74" t="s">
        <v>197</v>
      </c>
      <c r="AS4" s="73" t="s">
        <v>290</v>
      </c>
    </row>
    <row r="5" spans="41:45" ht="30.75" customHeight="1">
      <c r="AO5" s="74">
        <v>4</v>
      </c>
      <c r="AP5" s="74">
        <v>4</v>
      </c>
      <c r="AQ5" s="74">
        <v>4</v>
      </c>
      <c r="AR5" s="74" t="s">
        <v>200</v>
      </c>
      <c r="AS5" s="73" t="s">
        <v>70</v>
      </c>
    </row>
    <row r="6" spans="2:45" s="75" customFormat="1" ht="30.75" customHeight="1">
      <c r="B6" s="474" t="s">
        <v>202</v>
      </c>
      <c r="C6" s="475"/>
      <c r="D6" s="475"/>
      <c r="E6" s="475"/>
      <c r="F6" s="475"/>
      <c r="G6" s="475"/>
      <c r="H6" s="475"/>
      <c r="I6" s="475"/>
      <c r="J6" s="475"/>
      <c r="K6" s="475"/>
      <c r="L6" s="475"/>
      <c r="M6" s="476"/>
      <c r="N6" s="480" t="s">
        <v>203</v>
      </c>
      <c r="O6" s="476"/>
      <c r="P6" s="481" t="s">
        <v>204</v>
      </c>
      <c r="Q6" s="481"/>
      <c r="R6" s="481"/>
      <c r="S6" s="481"/>
      <c r="T6" s="481"/>
      <c r="U6" s="481"/>
      <c r="V6" s="481" t="s">
        <v>205</v>
      </c>
      <c r="W6" s="481"/>
      <c r="X6" s="481"/>
      <c r="Y6" s="481"/>
      <c r="Z6" s="481"/>
      <c r="AA6" s="481"/>
      <c r="AB6" s="481"/>
      <c r="AC6" s="482"/>
      <c r="AM6" s="73"/>
      <c r="AN6" s="73"/>
      <c r="AO6" s="74">
        <v>5</v>
      </c>
      <c r="AP6" s="74">
        <v>5</v>
      </c>
      <c r="AQ6" s="74">
        <v>5</v>
      </c>
      <c r="AR6" s="74" t="s">
        <v>208</v>
      </c>
      <c r="AS6" s="73"/>
    </row>
    <row r="7" spans="2:45" s="75" customFormat="1" ht="30.75" customHeight="1">
      <c r="B7" s="477"/>
      <c r="C7" s="478"/>
      <c r="D7" s="478"/>
      <c r="E7" s="478"/>
      <c r="F7" s="478"/>
      <c r="G7" s="478"/>
      <c r="H7" s="478"/>
      <c r="I7" s="478"/>
      <c r="J7" s="478"/>
      <c r="K7" s="478"/>
      <c r="L7" s="478"/>
      <c r="M7" s="479"/>
      <c r="N7" s="483" t="s">
        <v>210</v>
      </c>
      <c r="O7" s="479"/>
      <c r="P7" s="484" t="s">
        <v>211</v>
      </c>
      <c r="Q7" s="484"/>
      <c r="R7" s="484" t="s">
        <v>212</v>
      </c>
      <c r="S7" s="484"/>
      <c r="T7" s="484" t="s">
        <v>213</v>
      </c>
      <c r="U7" s="484"/>
      <c r="V7" s="484" t="s">
        <v>214</v>
      </c>
      <c r="W7" s="484"/>
      <c r="X7" s="484"/>
      <c r="Y7" s="484"/>
      <c r="Z7" s="484"/>
      <c r="AA7" s="484" t="s">
        <v>215</v>
      </c>
      <c r="AB7" s="484"/>
      <c r="AC7" s="485"/>
      <c r="AM7" s="73"/>
      <c r="AN7" s="73"/>
      <c r="AO7" s="74">
        <v>6</v>
      </c>
      <c r="AP7" s="74">
        <v>6</v>
      </c>
      <c r="AQ7" s="74">
        <v>6</v>
      </c>
      <c r="AR7" s="74" t="s">
        <v>178</v>
      </c>
      <c r="AS7" s="73"/>
    </row>
    <row r="8" spans="2:45" s="75" customFormat="1" ht="30.75" customHeight="1">
      <c r="B8" s="82">
        <v>1</v>
      </c>
      <c r="C8" s="462"/>
      <c r="D8" s="462"/>
      <c r="E8" s="462"/>
      <c r="F8" s="462"/>
      <c r="G8" s="462"/>
      <c r="H8" s="462"/>
      <c r="I8" s="462"/>
      <c r="J8" s="462"/>
      <c r="K8" s="462"/>
      <c r="L8" s="462"/>
      <c r="M8" s="463"/>
      <c r="N8" s="464"/>
      <c r="O8" s="464"/>
      <c r="P8" s="465"/>
      <c r="Q8" s="465"/>
      <c r="R8" s="465"/>
      <c r="S8" s="465"/>
      <c r="T8" s="465"/>
      <c r="U8" s="465"/>
      <c r="V8" s="466"/>
      <c r="W8" s="462"/>
      <c r="X8" s="462"/>
      <c r="Y8" s="462"/>
      <c r="Z8" s="83" t="s">
        <v>219</v>
      </c>
      <c r="AA8" s="84" t="s">
        <v>220</v>
      </c>
      <c r="AB8" s="85" t="s">
        <v>221</v>
      </c>
      <c r="AC8" s="86" t="s">
        <v>222</v>
      </c>
      <c r="AM8" s="73"/>
      <c r="AN8" s="73"/>
      <c r="AO8" s="74">
        <v>7</v>
      </c>
      <c r="AP8" s="74">
        <v>7</v>
      </c>
      <c r="AQ8" s="74">
        <v>7</v>
      </c>
      <c r="AR8" s="74" t="s">
        <v>173</v>
      </c>
      <c r="AS8" s="73"/>
    </row>
    <row r="9" spans="2:45" s="75" customFormat="1" ht="30.75" customHeight="1">
      <c r="B9" s="87">
        <v>2</v>
      </c>
      <c r="C9" s="452"/>
      <c r="D9" s="452"/>
      <c r="E9" s="452"/>
      <c r="F9" s="452"/>
      <c r="G9" s="452"/>
      <c r="H9" s="452"/>
      <c r="I9" s="452"/>
      <c r="J9" s="452"/>
      <c r="K9" s="452"/>
      <c r="L9" s="452"/>
      <c r="M9" s="453"/>
      <c r="N9" s="454"/>
      <c r="O9" s="454"/>
      <c r="P9" s="455"/>
      <c r="Q9" s="455"/>
      <c r="R9" s="455"/>
      <c r="S9" s="455"/>
      <c r="T9" s="455"/>
      <c r="U9" s="455"/>
      <c r="V9" s="456"/>
      <c r="W9" s="452"/>
      <c r="X9" s="452"/>
      <c r="Y9" s="452"/>
      <c r="Z9" s="88" t="s">
        <v>219</v>
      </c>
      <c r="AA9" s="89" t="s">
        <v>220</v>
      </c>
      <c r="AB9" s="90" t="s">
        <v>221</v>
      </c>
      <c r="AC9" s="91" t="s">
        <v>222</v>
      </c>
      <c r="AM9" s="73"/>
      <c r="AN9" s="73"/>
      <c r="AO9" s="74">
        <v>8</v>
      </c>
      <c r="AP9" s="74">
        <v>8</v>
      </c>
      <c r="AQ9" s="74">
        <v>8</v>
      </c>
      <c r="AR9" s="74"/>
      <c r="AS9" s="73"/>
    </row>
    <row r="10" spans="2:45" s="75" customFormat="1" ht="30.75" customHeight="1">
      <c r="B10" s="87">
        <v>3</v>
      </c>
      <c r="C10" s="452"/>
      <c r="D10" s="452"/>
      <c r="E10" s="452"/>
      <c r="F10" s="452"/>
      <c r="G10" s="452"/>
      <c r="H10" s="452"/>
      <c r="I10" s="452"/>
      <c r="J10" s="452"/>
      <c r="K10" s="452"/>
      <c r="L10" s="452"/>
      <c r="M10" s="453"/>
      <c r="N10" s="454"/>
      <c r="O10" s="454"/>
      <c r="P10" s="455"/>
      <c r="Q10" s="455"/>
      <c r="R10" s="455"/>
      <c r="S10" s="455"/>
      <c r="T10" s="455"/>
      <c r="U10" s="455"/>
      <c r="V10" s="456"/>
      <c r="W10" s="452"/>
      <c r="X10" s="452"/>
      <c r="Y10" s="452"/>
      <c r="Z10" s="88" t="s">
        <v>219</v>
      </c>
      <c r="AA10" s="89" t="s">
        <v>220</v>
      </c>
      <c r="AB10" s="90" t="s">
        <v>221</v>
      </c>
      <c r="AC10" s="91" t="s">
        <v>222</v>
      </c>
      <c r="AM10" s="73"/>
      <c r="AN10" s="73"/>
      <c r="AO10" s="74">
        <v>9</v>
      </c>
      <c r="AP10" s="74">
        <v>9</v>
      </c>
      <c r="AQ10" s="74">
        <v>9</v>
      </c>
      <c r="AR10" s="74"/>
      <c r="AS10" s="73"/>
    </row>
    <row r="11" spans="2:45" s="75" customFormat="1" ht="30.75" customHeight="1">
      <c r="B11" s="87">
        <v>4</v>
      </c>
      <c r="C11" s="452"/>
      <c r="D11" s="452"/>
      <c r="E11" s="452"/>
      <c r="F11" s="452"/>
      <c r="G11" s="452"/>
      <c r="H11" s="452"/>
      <c r="I11" s="452"/>
      <c r="J11" s="452"/>
      <c r="K11" s="452"/>
      <c r="L11" s="452"/>
      <c r="M11" s="453"/>
      <c r="N11" s="454"/>
      <c r="O11" s="454"/>
      <c r="P11" s="455"/>
      <c r="Q11" s="455"/>
      <c r="R11" s="455"/>
      <c r="S11" s="455"/>
      <c r="T11" s="455"/>
      <c r="U11" s="455"/>
      <c r="V11" s="456"/>
      <c r="W11" s="452"/>
      <c r="X11" s="452"/>
      <c r="Y11" s="452"/>
      <c r="Z11" s="88" t="s">
        <v>219</v>
      </c>
      <c r="AA11" s="89" t="s">
        <v>220</v>
      </c>
      <c r="AB11" s="90" t="s">
        <v>221</v>
      </c>
      <c r="AC11" s="91" t="s">
        <v>222</v>
      </c>
      <c r="AM11" s="73"/>
      <c r="AN11" s="73"/>
      <c r="AO11" s="74">
        <v>10</v>
      </c>
      <c r="AP11" s="74">
        <v>10</v>
      </c>
      <c r="AQ11" s="74">
        <v>10</v>
      </c>
      <c r="AR11" s="74"/>
      <c r="AS11" s="73"/>
    </row>
    <row r="12" spans="2:45" s="75" customFormat="1" ht="30.75" customHeight="1">
      <c r="B12" s="87">
        <v>5</v>
      </c>
      <c r="C12" s="452"/>
      <c r="D12" s="452"/>
      <c r="E12" s="452"/>
      <c r="F12" s="452"/>
      <c r="G12" s="452"/>
      <c r="H12" s="452"/>
      <c r="I12" s="452"/>
      <c r="J12" s="452"/>
      <c r="K12" s="452"/>
      <c r="L12" s="452"/>
      <c r="M12" s="453"/>
      <c r="N12" s="454"/>
      <c r="O12" s="454"/>
      <c r="P12" s="455"/>
      <c r="Q12" s="455"/>
      <c r="R12" s="455"/>
      <c r="S12" s="455"/>
      <c r="T12" s="455"/>
      <c r="U12" s="455"/>
      <c r="V12" s="456"/>
      <c r="W12" s="452"/>
      <c r="X12" s="452"/>
      <c r="Y12" s="452"/>
      <c r="Z12" s="88" t="s">
        <v>219</v>
      </c>
      <c r="AA12" s="89" t="s">
        <v>220</v>
      </c>
      <c r="AB12" s="90" t="s">
        <v>221</v>
      </c>
      <c r="AC12" s="91" t="s">
        <v>222</v>
      </c>
      <c r="AM12" s="73"/>
      <c r="AN12" s="73"/>
      <c r="AO12" s="74">
        <v>11</v>
      </c>
      <c r="AP12" s="74">
        <v>11</v>
      </c>
      <c r="AQ12" s="74">
        <v>11</v>
      </c>
      <c r="AR12" s="74"/>
      <c r="AS12" s="73"/>
    </row>
    <row r="13" spans="2:45" s="75" customFormat="1" ht="30.75" customHeight="1">
      <c r="B13" s="87">
        <v>6</v>
      </c>
      <c r="C13" s="452"/>
      <c r="D13" s="452"/>
      <c r="E13" s="452"/>
      <c r="F13" s="452"/>
      <c r="G13" s="452"/>
      <c r="H13" s="452"/>
      <c r="I13" s="452"/>
      <c r="J13" s="452"/>
      <c r="K13" s="452"/>
      <c r="L13" s="452"/>
      <c r="M13" s="453"/>
      <c r="N13" s="454"/>
      <c r="O13" s="454"/>
      <c r="P13" s="455"/>
      <c r="Q13" s="455"/>
      <c r="R13" s="455"/>
      <c r="S13" s="455"/>
      <c r="T13" s="455"/>
      <c r="U13" s="455"/>
      <c r="V13" s="456"/>
      <c r="W13" s="452"/>
      <c r="X13" s="452"/>
      <c r="Y13" s="452"/>
      <c r="Z13" s="88" t="s">
        <v>219</v>
      </c>
      <c r="AA13" s="89" t="s">
        <v>220</v>
      </c>
      <c r="AB13" s="90" t="s">
        <v>221</v>
      </c>
      <c r="AC13" s="91" t="s">
        <v>222</v>
      </c>
      <c r="AM13" s="73"/>
      <c r="AN13" s="73"/>
      <c r="AO13" s="74">
        <v>12</v>
      </c>
      <c r="AP13" s="74">
        <v>12</v>
      </c>
      <c r="AQ13" s="74">
        <v>12</v>
      </c>
      <c r="AR13" s="74"/>
      <c r="AS13" s="73"/>
    </row>
    <row r="14" spans="2:45" s="75" customFormat="1" ht="30.75" customHeight="1">
      <c r="B14" s="87">
        <v>7</v>
      </c>
      <c r="C14" s="452"/>
      <c r="D14" s="452"/>
      <c r="E14" s="452"/>
      <c r="F14" s="452"/>
      <c r="G14" s="452"/>
      <c r="H14" s="452"/>
      <c r="I14" s="452"/>
      <c r="J14" s="452"/>
      <c r="K14" s="452"/>
      <c r="L14" s="452"/>
      <c r="M14" s="453"/>
      <c r="N14" s="454"/>
      <c r="O14" s="454"/>
      <c r="P14" s="455"/>
      <c r="Q14" s="455"/>
      <c r="R14" s="455"/>
      <c r="S14" s="455"/>
      <c r="T14" s="455"/>
      <c r="U14" s="455"/>
      <c r="V14" s="456"/>
      <c r="W14" s="452"/>
      <c r="X14" s="452"/>
      <c r="Y14" s="452"/>
      <c r="Z14" s="88" t="s">
        <v>219</v>
      </c>
      <c r="AA14" s="89" t="s">
        <v>220</v>
      </c>
      <c r="AB14" s="90" t="s">
        <v>221</v>
      </c>
      <c r="AC14" s="91" t="s">
        <v>222</v>
      </c>
      <c r="AM14" s="73"/>
      <c r="AN14" s="73"/>
      <c r="AO14" s="74">
        <v>13</v>
      </c>
      <c r="AP14" s="74"/>
      <c r="AQ14" s="74">
        <v>13</v>
      </c>
      <c r="AR14" s="74"/>
      <c r="AS14" s="73"/>
    </row>
    <row r="15" spans="2:45" s="75" customFormat="1" ht="30.75" customHeight="1">
      <c r="B15" s="87">
        <v>8</v>
      </c>
      <c r="C15" s="452"/>
      <c r="D15" s="452"/>
      <c r="E15" s="452"/>
      <c r="F15" s="452"/>
      <c r="G15" s="452"/>
      <c r="H15" s="452"/>
      <c r="I15" s="452"/>
      <c r="J15" s="452"/>
      <c r="K15" s="452"/>
      <c r="L15" s="452"/>
      <c r="M15" s="453"/>
      <c r="N15" s="454"/>
      <c r="O15" s="454"/>
      <c r="P15" s="455"/>
      <c r="Q15" s="455"/>
      <c r="R15" s="455"/>
      <c r="S15" s="455"/>
      <c r="T15" s="455"/>
      <c r="U15" s="455"/>
      <c r="V15" s="456"/>
      <c r="W15" s="452"/>
      <c r="X15" s="452"/>
      <c r="Y15" s="452"/>
      <c r="Z15" s="88" t="s">
        <v>219</v>
      </c>
      <c r="AA15" s="89" t="s">
        <v>220</v>
      </c>
      <c r="AB15" s="90" t="s">
        <v>221</v>
      </c>
      <c r="AC15" s="91" t="s">
        <v>222</v>
      </c>
      <c r="AM15" s="73"/>
      <c r="AN15" s="73"/>
      <c r="AO15" s="74">
        <v>14</v>
      </c>
      <c r="AP15" s="74"/>
      <c r="AQ15" s="74">
        <v>14</v>
      </c>
      <c r="AR15" s="74"/>
      <c r="AS15" s="73"/>
    </row>
    <row r="16" spans="2:45" s="75" customFormat="1" ht="30.75" customHeight="1">
      <c r="B16" s="87">
        <v>9</v>
      </c>
      <c r="C16" s="452"/>
      <c r="D16" s="452"/>
      <c r="E16" s="452"/>
      <c r="F16" s="452"/>
      <c r="G16" s="452"/>
      <c r="H16" s="452"/>
      <c r="I16" s="452"/>
      <c r="J16" s="452"/>
      <c r="K16" s="452"/>
      <c r="L16" s="452"/>
      <c r="M16" s="453"/>
      <c r="N16" s="454"/>
      <c r="O16" s="454"/>
      <c r="P16" s="455"/>
      <c r="Q16" s="455"/>
      <c r="R16" s="455"/>
      <c r="S16" s="455"/>
      <c r="T16" s="455"/>
      <c r="U16" s="455"/>
      <c r="V16" s="456"/>
      <c r="W16" s="452"/>
      <c r="X16" s="452"/>
      <c r="Y16" s="452"/>
      <c r="Z16" s="88" t="s">
        <v>219</v>
      </c>
      <c r="AA16" s="89" t="s">
        <v>220</v>
      </c>
      <c r="AB16" s="90" t="s">
        <v>221</v>
      </c>
      <c r="AC16" s="91" t="s">
        <v>222</v>
      </c>
      <c r="AM16" s="73"/>
      <c r="AN16" s="73"/>
      <c r="AO16" s="74">
        <v>15</v>
      </c>
      <c r="AP16" s="74"/>
      <c r="AQ16" s="74">
        <v>15</v>
      </c>
      <c r="AR16" s="74"/>
      <c r="AS16" s="73"/>
    </row>
    <row r="17" spans="2:45" s="75" customFormat="1" ht="30.75" customHeight="1">
      <c r="B17" s="87">
        <v>10</v>
      </c>
      <c r="C17" s="452"/>
      <c r="D17" s="452"/>
      <c r="E17" s="452"/>
      <c r="F17" s="452"/>
      <c r="G17" s="452"/>
      <c r="H17" s="452"/>
      <c r="I17" s="452"/>
      <c r="J17" s="452"/>
      <c r="K17" s="452"/>
      <c r="L17" s="452"/>
      <c r="M17" s="453"/>
      <c r="N17" s="454"/>
      <c r="O17" s="454"/>
      <c r="P17" s="455"/>
      <c r="Q17" s="455"/>
      <c r="R17" s="455"/>
      <c r="S17" s="455"/>
      <c r="T17" s="455"/>
      <c r="U17" s="455"/>
      <c r="V17" s="456"/>
      <c r="W17" s="452"/>
      <c r="X17" s="452"/>
      <c r="Y17" s="452"/>
      <c r="Z17" s="88" t="s">
        <v>219</v>
      </c>
      <c r="AA17" s="89" t="s">
        <v>220</v>
      </c>
      <c r="AB17" s="90" t="s">
        <v>221</v>
      </c>
      <c r="AC17" s="91" t="s">
        <v>222</v>
      </c>
      <c r="AM17" s="73"/>
      <c r="AN17" s="73"/>
      <c r="AO17" s="74"/>
      <c r="AP17" s="74"/>
      <c r="AQ17" s="74">
        <v>16</v>
      </c>
      <c r="AR17" s="74"/>
      <c r="AS17" s="73"/>
    </row>
    <row r="18" spans="2:45" s="75" customFormat="1" ht="30.75" customHeight="1">
      <c r="B18" s="87">
        <v>11</v>
      </c>
      <c r="C18" s="452"/>
      <c r="D18" s="452"/>
      <c r="E18" s="452"/>
      <c r="F18" s="452"/>
      <c r="G18" s="452"/>
      <c r="H18" s="452"/>
      <c r="I18" s="452"/>
      <c r="J18" s="452"/>
      <c r="K18" s="452"/>
      <c r="L18" s="452"/>
      <c r="M18" s="453"/>
      <c r="N18" s="454"/>
      <c r="O18" s="454"/>
      <c r="P18" s="455"/>
      <c r="Q18" s="455"/>
      <c r="R18" s="455"/>
      <c r="S18" s="455"/>
      <c r="T18" s="455"/>
      <c r="U18" s="455"/>
      <c r="V18" s="456"/>
      <c r="W18" s="452"/>
      <c r="X18" s="452"/>
      <c r="Y18" s="452"/>
      <c r="Z18" s="88" t="s">
        <v>219</v>
      </c>
      <c r="AA18" s="89" t="s">
        <v>220</v>
      </c>
      <c r="AB18" s="90" t="s">
        <v>221</v>
      </c>
      <c r="AC18" s="91" t="s">
        <v>222</v>
      </c>
      <c r="AM18" s="73"/>
      <c r="AN18" s="73"/>
      <c r="AO18" s="74"/>
      <c r="AP18" s="74"/>
      <c r="AQ18" s="74">
        <v>17</v>
      </c>
      <c r="AR18" s="74"/>
      <c r="AS18" s="73"/>
    </row>
    <row r="19" spans="2:45" s="75" customFormat="1" ht="30.75" customHeight="1">
      <c r="B19" s="87">
        <v>12</v>
      </c>
      <c r="C19" s="452"/>
      <c r="D19" s="452"/>
      <c r="E19" s="452"/>
      <c r="F19" s="452"/>
      <c r="G19" s="452"/>
      <c r="H19" s="452"/>
      <c r="I19" s="452"/>
      <c r="J19" s="452"/>
      <c r="K19" s="452"/>
      <c r="L19" s="452"/>
      <c r="M19" s="453"/>
      <c r="N19" s="454"/>
      <c r="O19" s="454"/>
      <c r="P19" s="455"/>
      <c r="Q19" s="455"/>
      <c r="R19" s="455"/>
      <c r="S19" s="455"/>
      <c r="T19" s="455"/>
      <c r="U19" s="455"/>
      <c r="V19" s="456"/>
      <c r="W19" s="452"/>
      <c r="X19" s="452"/>
      <c r="Y19" s="452"/>
      <c r="Z19" s="88" t="s">
        <v>219</v>
      </c>
      <c r="AA19" s="89" t="s">
        <v>220</v>
      </c>
      <c r="AB19" s="90" t="s">
        <v>221</v>
      </c>
      <c r="AC19" s="91" t="s">
        <v>222</v>
      </c>
      <c r="AM19" s="73"/>
      <c r="AN19" s="73"/>
      <c r="AO19" s="74"/>
      <c r="AP19" s="74"/>
      <c r="AQ19" s="74">
        <v>18</v>
      </c>
      <c r="AR19" s="74"/>
      <c r="AS19" s="73"/>
    </row>
    <row r="20" spans="2:45" s="75" customFormat="1" ht="30.75" customHeight="1">
      <c r="B20" s="87">
        <v>13</v>
      </c>
      <c r="C20" s="452"/>
      <c r="D20" s="452"/>
      <c r="E20" s="452"/>
      <c r="F20" s="452"/>
      <c r="G20" s="452"/>
      <c r="H20" s="452"/>
      <c r="I20" s="452"/>
      <c r="J20" s="452"/>
      <c r="K20" s="452"/>
      <c r="L20" s="452"/>
      <c r="M20" s="453"/>
      <c r="N20" s="454"/>
      <c r="O20" s="454"/>
      <c r="P20" s="455"/>
      <c r="Q20" s="455"/>
      <c r="R20" s="455"/>
      <c r="S20" s="455"/>
      <c r="T20" s="455"/>
      <c r="U20" s="455"/>
      <c r="V20" s="456"/>
      <c r="W20" s="452"/>
      <c r="X20" s="452"/>
      <c r="Y20" s="452"/>
      <c r="Z20" s="88" t="s">
        <v>219</v>
      </c>
      <c r="AA20" s="89" t="s">
        <v>220</v>
      </c>
      <c r="AB20" s="90" t="s">
        <v>221</v>
      </c>
      <c r="AC20" s="91" t="s">
        <v>222</v>
      </c>
      <c r="AM20" s="73"/>
      <c r="AN20" s="73"/>
      <c r="AO20" s="74"/>
      <c r="AP20" s="74"/>
      <c r="AQ20" s="74">
        <v>19</v>
      </c>
      <c r="AR20" s="74"/>
      <c r="AS20" s="73"/>
    </row>
    <row r="21" spans="2:45" s="75" customFormat="1" ht="30.75" customHeight="1">
      <c r="B21" s="87">
        <v>14</v>
      </c>
      <c r="C21" s="452"/>
      <c r="D21" s="452"/>
      <c r="E21" s="452"/>
      <c r="F21" s="452"/>
      <c r="G21" s="452"/>
      <c r="H21" s="452"/>
      <c r="I21" s="452"/>
      <c r="J21" s="452"/>
      <c r="K21" s="452"/>
      <c r="L21" s="452"/>
      <c r="M21" s="453"/>
      <c r="N21" s="454"/>
      <c r="O21" s="454"/>
      <c r="P21" s="455"/>
      <c r="Q21" s="455"/>
      <c r="R21" s="455"/>
      <c r="S21" s="455"/>
      <c r="T21" s="455"/>
      <c r="U21" s="455"/>
      <c r="V21" s="456"/>
      <c r="W21" s="452"/>
      <c r="X21" s="452"/>
      <c r="Y21" s="452"/>
      <c r="Z21" s="88" t="s">
        <v>219</v>
      </c>
      <c r="AA21" s="89" t="s">
        <v>220</v>
      </c>
      <c r="AB21" s="90" t="s">
        <v>221</v>
      </c>
      <c r="AC21" s="91" t="s">
        <v>222</v>
      </c>
      <c r="AM21" s="73"/>
      <c r="AN21" s="73"/>
      <c r="AO21" s="74"/>
      <c r="AP21" s="74"/>
      <c r="AQ21" s="74">
        <v>20</v>
      </c>
      <c r="AR21" s="74"/>
      <c r="AS21" s="73"/>
    </row>
    <row r="22" spans="2:45" s="75" customFormat="1" ht="30.75" customHeight="1">
      <c r="B22" s="87">
        <v>15</v>
      </c>
      <c r="C22" s="452"/>
      <c r="D22" s="452"/>
      <c r="E22" s="452"/>
      <c r="F22" s="452"/>
      <c r="G22" s="452"/>
      <c r="H22" s="452"/>
      <c r="I22" s="452"/>
      <c r="J22" s="452"/>
      <c r="K22" s="452"/>
      <c r="L22" s="452"/>
      <c r="M22" s="453"/>
      <c r="N22" s="454"/>
      <c r="O22" s="454"/>
      <c r="P22" s="455"/>
      <c r="Q22" s="455"/>
      <c r="R22" s="455"/>
      <c r="S22" s="455"/>
      <c r="T22" s="455"/>
      <c r="U22" s="455"/>
      <c r="V22" s="456"/>
      <c r="W22" s="452"/>
      <c r="X22" s="452"/>
      <c r="Y22" s="452"/>
      <c r="Z22" s="88" t="s">
        <v>219</v>
      </c>
      <c r="AA22" s="89" t="s">
        <v>220</v>
      </c>
      <c r="AB22" s="90" t="s">
        <v>221</v>
      </c>
      <c r="AC22" s="91" t="s">
        <v>222</v>
      </c>
      <c r="AM22" s="73"/>
      <c r="AO22" s="74"/>
      <c r="AP22" s="74"/>
      <c r="AQ22" s="74">
        <v>21</v>
      </c>
      <c r="AR22" s="74"/>
      <c r="AS22" s="73"/>
    </row>
    <row r="23" spans="2:45" s="75" customFormat="1" ht="30.75" customHeight="1">
      <c r="B23" s="87">
        <v>16</v>
      </c>
      <c r="C23" s="452"/>
      <c r="D23" s="452"/>
      <c r="E23" s="452"/>
      <c r="F23" s="452"/>
      <c r="G23" s="452"/>
      <c r="H23" s="452"/>
      <c r="I23" s="452"/>
      <c r="J23" s="452"/>
      <c r="K23" s="452"/>
      <c r="L23" s="452"/>
      <c r="M23" s="453"/>
      <c r="N23" s="454"/>
      <c r="O23" s="454"/>
      <c r="P23" s="455"/>
      <c r="Q23" s="455"/>
      <c r="R23" s="455"/>
      <c r="S23" s="455"/>
      <c r="T23" s="455"/>
      <c r="U23" s="455"/>
      <c r="V23" s="456"/>
      <c r="W23" s="452"/>
      <c r="X23" s="452"/>
      <c r="Y23" s="452"/>
      <c r="Z23" s="88" t="s">
        <v>219</v>
      </c>
      <c r="AA23" s="89" t="s">
        <v>220</v>
      </c>
      <c r="AB23" s="90" t="s">
        <v>221</v>
      </c>
      <c r="AC23" s="91" t="s">
        <v>222</v>
      </c>
      <c r="AM23" s="73"/>
      <c r="AO23" s="74"/>
      <c r="AP23" s="74"/>
      <c r="AQ23" s="74">
        <v>22</v>
      </c>
      <c r="AR23" s="74"/>
      <c r="AS23" s="73"/>
    </row>
    <row r="24" spans="2:45" s="75" customFormat="1" ht="30.75" customHeight="1">
      <c r="B24" s="87">
        <v>17</v>
      </c>
      <c r="C24" s="452"/>
      <c r="D24" s="452"/>
      <c r="E24" s="452"/>
      <c r="F24" s="452"/>
      <c r="G24" s="452"/>
      <c r="H24" s="452"/>
      <c r="I24" s="452"/>
      <c r="J24" s="452"/>
      <c r="K24" s="452"/>
      <c r="L24" s="452"/>
      <c r="M24" s="453"/>
      <c r="N24" s="454"/>
      <c r="O24" s="454"/>
      <c r="P24" s="455"/>
      <c r="Q24" s="455"/>
      <c r="R24" s="455"/>
      <c r="S24" s="455"/>
      <c r="T24" s="455"/>
      <c r="U24" s="455"/>
      <c r="V24" s="456"/>
      <c r="W24" s="452"/>
      <c r="X24" s="452"/>
      <c r="Y24" s="452"/>
      <c r="Z24" s="88" t="s">
        <v>219</v>
      </c>
      <c r="AA24" s="89" t="s">
        <v>220</v>
      </c>
      <c r="AB24" s="90" t="s">
        <v>221</v>
      </c>
      <c r="AC24" s="91" t="s">
        <v>222</v>
      </c>
      <c r="AM24" s="73"/>
      <c r="AN24" s="73"/>
      <c r="AO24" s="74"/>
      <c r="AP24" s="74"/>
      <c r="AQ24" s="74">
        <v>23</v>
      </c>
      <c r="AR24" s="74"/>
      <c r="AS24" s="73"/>
    </row>
    <row r="25" spans="2:45" s="75" customFormat="1" ht="30.75" customHeight="1">
      <c r="B25" s="87">
        <v>18</v>
      </c>
      <c r="C25" s="452"/>
      <c r="D25" s="452"/>
      <c r="E25" s="452"/>
      <c r="F25" s="452"/>
      <c r="G25" s="452"/>
      <c r="H25" s="452"/>
      <c r="I25" s="452"/>
      <c r="J25" s="452"/>
      <c r="K25" s="452"/>
      <c r="L25" s="452"/>
      <c r="M25" s="453"/>
      <c r="N25" s="454"/>
      <c r="O25" s="454"/>
      <c r="P25" s="455"/>
      <c r="Q25" s="455"/>
      <c r="R25" s="455"/>
      <c r="S25" s="455"/>
      <c r="T25" s="455"/>
      <c r="U25" s="455"/>
      <c r="V25" s="456"/>
      <c r="W25" s="452"/>
      <c r="X25" s="452"/>
      <c r="Y25" s="452"/>
      <c r="Z25" s="88" t="s">
        <v>219</v>
      </c>
      <c r="AA25" s="89" t="s">
        <v>220</v>
      </c>
      <c r="AB25" s="90" t="s">
        <v>221</v>
      </c>
      <c r="AC25" s="91" t="s">
        <v>222</v>
      </c>
      <c r="AM25" s="73"/>
      <c r="AN25" s="73"/>
      <c r="AO25" s="74"/>
      <c r="AP25" s="74"/>
      <c r="AQ25" s="74">
        <v>24</v>
      </c>
      <c r="AR25" s="74"/>
      <c r="AS25" s="73"/>
    </row>
    <row r="26" spans="2:45" s="75" customFormat="1" ht="30.75" customHeight="1">
      <c r="B26" s="87">
        <v>19</v>
      </c>
      <c r="C26" s="452"/>
      <c r="D26" s="452"/>
      <c r="E26" s="452"/>
      <c r="F26" s="452"/>
      <c r="G26" s="452"/>
      <c r="H26" s="452"/>
      <c r="I26" s="452"/>
      <c r="J26" s="452"/>
      <c r="K26" s="452"/>
      <c r="L26" s="452"/>
      <c r="M26" s="453"/>
      <c r="N26" s="454"/>
      <c r="O26" s="454"/>
      <c r="P26" s="455"/>
      <c r="Q26" s="455"/>
      <c r="R26" s="455"/>
      <c r="S26" s="455"/>
      <c r="T26" s="455"/>
      <c r="U26" s="455"/>
      <c r="V26" s="456"/>
      <c r="W26" s="452"/>
      <c r="X26" s="452"/>
      <c r="Y26" s="452"/>
      <c r="Z26" s="88" t="s">
        <v>219</v>
      </c>
      <c r="AA26" s="89" t="s">
        <v>220</v>
      </c>
      <c r="AB26" s="90" t="s">
        <v>221</v>
      </c>
      <c r="AC26" s="91" t="s">
        <v>222</v>
      </c>
      <c r="AM26" s="73"/>
      <c r="AN26" s="73"/>
      <c r="AO26" s="74"/>
      <c r="AP26" s="74"/>
      <c r="AQ26" s="74">
        <v>25</v>
      </c>
      <c r="AR26" s="74"/>
      <c r="AS26" s="73"/>
    </row>
    <row r="27" spans="2:45" s="75" customFormat="1" ht="30.75" customHeight="1">
      <c r="B27" s="87">
        <v>20</v>
      </c>
      <c r="C27" s="452"/>
      <c r="D27" s="452"/>
      <c r="E27" s="452"/>
      <c r="F27" s="452"/>
      <c r="G27" s="452"/>
      <c r="H27" s="452"/>
      <c r="I27" s="452"/>
      <c r="J27" s="452"/>
      <c r="K27" s="452"/>
      <c r="L27" s="452"/>
      <c r="M27" s="453"/>
      <c r="N27" s="454"/>
      <c r="O27" s="454"/>
      <c r="P27" s="455"/>
      <c r="Q27" s="455"/>
      <c r="R27" s="455"/>
      <c r="S27" s="455"/>
      <c r="T27" s="455"/>
      <c r="U27" s="455"/>
      <c r="V27" s="456"/>
      <c r="W27" s="452"/>
      <c r="X27" s="452"/>
      <c r="Y27" s="452"/>
      <c r="Z27" s="88" t="s">
        <v>219</v>
      </c>
      <c r="AA27" s="89" t="s">
        <v>220</v>
      </c>
      <c r="AB27" s="90" t="s">
        <v>221</v>
      </c>
      <c r="AC27" s="91" t="s">
        <v>222</v>
      </c>
      <c r="AM27" s="73"/>
      <c r="AN27" s="73"/>
      <c r="AO27" s="74"/>
      <c r="AP27" s="74"/>
      <c r="AQ27" s="74">
        <v>26</v>
      </c>
      <c r="AR27" s="74"/>
      <c r="AS27" s="73"/>
    </row>
    <row r="28" spans="2:43" ht="30.75" customHeight="1">
      <c r="B28" s="87">
        <v>21</v>
      </c>
      <c r="C28" s="452"/>
      <c r="D28" s="452"/>
      <c r="E28" s="452"/>
      <c r="F28" s="452"/>
      <c r="G28" s="452"/>
      <c r="H28" s="452"/>
      <c r="I28" s="452"/>
      <c r="J28" s="452"/>
      <c r="K28" s="452"/>
      <c r="L28" s="452"/>
      <c r="M28" s="453"/>
      <c r="N28" s="454"/>
      <c r="O28" s="454"/>
      <c r="P28" s="455"/>
      <c r="Q28" s="455"/>
      <c r="R28" s="455"/>
      <c r="S28" s="455"/>
      <c r="T28" s="455"/>
      <c r="U28" s="455"/>
      <c r="V28" s="456"/>
      <c r="W28" s="452"/>
      <c r="X28" s="452"/>
      <c r="Y28" s="452"/>
      <c r="Z28" s="88" t="s">
        <v>219</v>
      </c>
      <c r="AA28" s="89" t="s">
        <v>220</v>
      </c>
      <c r="AB28" s="90" t="s">
        <v>221</v>
      </c>
      <c r="AC28" s="91" t="s">
        <v>222</v>
      </c>
      <c r="AQ28" s="74">
        <v>27</v>
      </c>
    </row>
    <row r="29" spans="2:43" ht="30.75" customHeight="1">
      <c r="B29" s="87">
        <v>22</v>
      </c>
      <c r="C29" s="452"/>
      <c r="D29" s="452"/>
      <c r="E29" s="452"/>
      <c r="F29" s="452"/>
      <c r="G29" s="452"/>
      <c r="H29" s="452"/>
      <c r="I29" s="452"/>
      <c r="J29" s="452"/>
      <c r="K29" s="452"/>
      <c r="L29" s="452"/>
      <c r="M29" s="453"/>
      <c r="N29" s="454"/>
      <c r="O29" s="454"/>
      <c r="P29" s="455"/>
      <c r="Q29" s="455"/>
      <c r="R29" s="455"/>
      <c r="S29" s="455"/>
      <c r="T29" s="455"/>
      <c r="U29" s="455"/>
      <c r="V29" s="456"/>
      <c r="W29" s="452"/>
      <c r="X29" s="452"/>
      <c r="Y29" s="452"/>
      <c r="Z29" s="88" t="s">
        <v>219</v>
      </c>
      <c r="AA29" s="89" t="s">
        <v>220</v>
      </c>
      <c r="AB29" s="90" t="s">
        <v>221</v>
      </c>
      <c r="AC29" s="91" t="s">
        <v>222</v>
      </c>
      <c r="AQ29" s="74">
        <v>28</v>
      </c>
    </row>
    <row r="30" spans="2:43" ht="30.75" customHeight="1">
      <c r="B30" s="87">
        <v>23</v>
      </c>
      <c r="C30" s="452"/>
      <c r="D30" s="452"/>
      <c r="E30" s="452"/>
      <c r="F30" s="452"/>
      <c r="G30" s="452"/>
      <c r="H30" s="452"/>
      <c r="I30" s="452"/>
      <c r="J30" s="452"/>
      <c r="K30" s="452"/>
      <c r="L30" s="452"/>
      <c r="M30" s="453"/>
      <c r="N30" s="454"/>
      <c r="O30" s="454"/>
      <c r="P30" s="455"/>
      <c r="Q30" s="455"/>
      <c r="R30" s="455"/>
      <c r="S30" s="455"/>
      <c r="T30" s="455"/>
      <c r="U30" s="455"/>
      <c r="V30" s="456"/>
      <c r="W30" s="452"/>
      <c r="X30" s="452"/>
      <c r="Y30" s="452"/>
      <c r="Z30" s="88" t="s">
        <v>219</v>
      </c>
      <c r="AA30" s="89" t="s">
        <v>220</v>
      </c>
      <c r="AB30" s="90" t="s">
        <v>221</v>
      </c>
      <c r="AC30" s="91" t="s">
        <v>222</v>
      </c>
      <c r="AQ30" s="74">
        <v>29</v>
      </c>
    </row>
    <row r="31" spans="2:43" ht="30.75" customHeight="1">
      <c r="B31" s="87">
        <v>24</v>
      </c>
      <c r="C31" s="452"/>
      <c r="D31" s="452"/>
      <c r="E31" s="452"/>
      <c r="F31" s="452"/>
      <c r="G31" s="452"/>
      <c r="H31" s="452"/>
      <c r="I31" s="452"/>
      <c r="J31" s="452"/>
      <c r="K31" s="452"/>
      <c r="L31" s="452"/>
      <c r="M31" s="453"/>
      <c r="N31" s="454"/>
      <c r="O31" s="454"/>
      <c r="P31" s="455"/>
      <c r="Q31" s="455"/>
      <c r="R31" s="455"/>
      <c r="S31" s="455"/>
      <c r="T31" s="455"/>
      <c r="U31" s="455"/>
      <c r="V31" s="456"/>
      <c r="W31" s="452"/>
      <c r="X31" s="452"/>
      <c r="Y31" s="452"/>
      <c r="Z31" s="88" t="s">
        <v>219</v>
      </c>
      <c r="AA31" s="89" t="s">
        <v>220</v>
      </c>
      <c r="AB31" s="90" t="s">
        <v>221</v>
      </c>
      <c r="AC31" s="91" t="s">
        <v>222</v>
      </c>
      <c r="AQ31" s="74">
        <v>30</v>
      </c>
    </row>
    <row r="32" spans="2:43" ht="30.75" customHeight="1">
      <c r="B32" s="87">
        <v>25</v>
      </c>
      <c r="C32" s="452"/>
      <c r="D32" s="452"/>
      <c r="E32" s="452"/>
      <c r="F32" s="452"/>
      <c r="G32" s="452"/>
      <c r="H32" s="452"/>
      <c r="I32" s="452"/>
      <c r="J32" s="452"/>
      <c r="K32" s="452"/>
      <c r="L32" s="452"/>
      <c r="M32" s="453"/>
      <c r="N32" s="454"/>
      <c r="O32" s="454"/>
      <c r="P32" s="455"/>
      <c r="Q32" s="455"/>
      <c r="R32" s="455"/>
      <c r="S32" s="455"/>
      <c r="T32" s="455"/>
      <c r="U32" s="455"/>
      <c r="V32" s="456"/>
      <c r="W32" s="452"/>
      <c r="X32" s="452"/>
      <c r="Y32" s="452"/>
      <c r="Z32" s="88" t="s">
        <v>219</v>
      </c>
      <c r="AA32" s="89" t="s">
        <v>220</v>
      </c>
      <c r="AB32" s="90" t="s">
        <v>221</v>
      </c>
      <c r="AC32" s="91" t="s">
        <v>222</v>
      </c>
      <c r="AQ32" s="74">
        <v>31</v>
      </c>
    </row>
    <row r="33" spans="2:29" ht="30.75" customHeight="1">
      <c r="B33" s="87">
        <v>26</v>
      </c>
      <c r="C33" s="452"/>
      <c r="D33" s="452"/>
      <c r="E33" s="452"/>
      <c r="F33" s="452"/>
      <c r="G33" s="452"/>
      <c r="H33" s="452"/>
      <c r="I33" s="452"/>
      <c r="J33" s="452"/>
      <c r="K33" s="452"/>
      <c r="L33" s="452"/>
      <c r="M33" s="453"/>
      <c r="N33" s="454"/>
      <c r="O33" s="454"/>
      <c r="P33" s="455"/>
      <c r="Q33" s="455"/>
      <c r="R33" s="455"/>
      <c r="S33" s="455"/>
      <c r="T33" s="455"/>
      <c r="U33" s="455"/>
      <c r="V33" s="456"/>
      <c r="W33" s="452"/>
      <c r="X33" s="452"/>
      <c r="Y33" s="452"/>
      <c r="Z33" s="88" t="s">
        <v>219</v>
      </c>
      <c r="AA33" s="89" t="s">
        <v>220</v>
      </c>
      <c r="AB33" s="90" t="s">
        <v>221</v>
      </c>
      <c r="AC33" s="91" t="s">
        <v>222</v>
      </c>
    </row>
    <row r="34" spans="2:29" ht="30.75" customHeight="1">
      <c r="B34" s="87">
        <v>27</v>
      </c>
      <c r="C34" s="452"/>
      <c r="D34" s="452"/>
      <c r="E34" s="452"/>
      <c r="F34" s="452"/>
      <c r="G34" s="452"/>
      <c r="H34" s="452"/>
      <c r="I34" s="452"/>
      <c r="J34" s="452"/>
      <c r="K34" s="452"/>
      <c r="L34" s="452"/>
      <c r="M34" s="453"/>
      <c r="N34" s="454"/>
      <c r="O34" s="454"/>
      <c r="P34" s="455"/>
      <c r="Q34" s="455"/>
      <c r="R34" s="455"/>
      <c r="S34" s="455"/>
      <c r="T34" s="455"/>
      <c r="U34" s="455"/>
      <c r="V34" s="456"/>
      <c r="W34" s="452"/>
      <c r="X34" s="452"/>
      <c r="Y34" s="452"/>
      <c r="Z34" s="88" t="s">
        <v>219</v>
      </c>
      <c r="AA34" s="89" t="s">
        <v>220</v>
      </c>
      <c r="AB34" s="90" t="s">
        <v>221</v>
      </c>
      <c r="AC34" s="91" t="s">
        <v>222</v>
      </c>
    </row>
    <row r="35" spans="2:29" ht="30.75" customHeight="1">
      <c r="B35" s="87">
        <v>28</v>
      </c>
      <c r="C35" s="452"/>
      <c r="D35" s="452"/>
      <c r="E35" s="452"/>
      <c r="F35" s="452"/>
      <c r="G35" s="452"/>
      <c r="H35" s="452"/>
      <c r="I35" s="452"/>
      <c r="J35" s="452"/>
      <c r="K35" s="452"/>
      <c r="L35" s="452"/>
      <c r="M35" s="453"/>
      <c r="N35" s="454"/>
      <c r="O35" s="454"/>
      <c r="P35" s="455"/>
      <c r="Q35" s="455"/>
      <c r="R35" s="455"/>
      <c r="S35" s="455"/>
      <c r="T35" s="455"/>
      <c r="U35" s="455"/>
      <c r="V35" s="456"/>
      <c r="W35" s="452"/>
      <c r="X35" s="452"/>
      <c r="Y35" s="452"/>
      <c r="Z35" s="88" t="s">
        <v>219</v>
      </c>
      <c r="AA35" s="89" t="s">
        <v>220</v>
      </c>
      <c r="AB35" s="90" t="s">
        <v>221</v>
      </c>
      <c r="AC35" s="91" t="s">
        <v>222</v>
      </c>
    </row>
    <row r="36" spans="2:29" ht="30.75" customHeight="1">
      <c r="B36" s="87">
        <v>29</v>
      </c>
      <c r="C36" s="452"/>
      <c r="D36" s="452"/>
      <c r="E36" s="452"/>
      <c r="F36" s="452"/>
      <c r="G36" s="452"/>
      <c r="H36" s="452"/>
      <c r="I36" s="452"/>
      <c r="J36" s="452"/>
      <c r="K36" s="452"/>
      <c r="L36" s="452"/>
      <c r="M36" s="453"/>
      <c r="N36" s="454"/>
      <c r="O36" s="454"/>
      <c r="P36" s="455"/>
      <c r="Q36" s="455"/>
      <c r="R36" s="455"/>
      <c r="S36" s="455"/>
      <c r="T36" s="455"/>
      <c r="U36" s="455"/>
      <c r="V36" s="456"/>
      <c r="W36" s="452"/>
      <c r="X36" s="452"/>
      <c r="Y36" s="452"/>
      <c r="Z36" s="88" t="s">
        <v>219</v>
      </c>
      <c r="AA36" s="89" t="s">
        <v>220</v>
      </c>
      <c r="AB36" s="90" t="s">
        <v>221</v>
      </c>
      <c r="AC36" s="91" t="s">
        <v>222</v>
      </c>
    </row>
    <row r="37" spans="2:29" ht="30.75" customHeight="1">
      <c r="B37" s="87">
        <v>30</v>
      </c>
      <c r="C37" s="452"/>
      <c r="D37" s="452"/>
      <c r="E37" s="452"/>
      <c r="F37" s="452"/>
      <c r="G37" s="452"/>
      <c r="H37" s="452"/>
      <c r="I37" s="452"/>
      <c r="J37" s="452"/>
      <c r="K37" s="452"/>
      <c r="L37" s="452"/>
      <c r="M37" s="453"/>
      <c r="N37" s="454"/>
      <c r="O37" s="454"/>
      <c r="P37" s="455"/>
      <c r="Q37" s="455"/>
      <c r="R37" s="455"/>
      <c r="S37" s="455"/>
      <c r="T37" s="455"/>
      <c r="U37" s="455"/>
      <c r="V37" s="456"/>
      <c r="W37" s="452"/>
      <c r="X37" s="452"/>
      <c r="Y37" s="452"/>
      <c r="Z37" s="88" t="s">
        <v>219</v>
      </c>
      <c r="AA37" s="89" t="s">
        <v>220</v>
      </c>
      <c r="AB37" s="90" t="s">
        <v>221</v>
      </c>
      <c r="AC37" s="91" t="s">
        <v>222</v>
      </c>
    </row>
    <row r="38" spans="2:29" ht="30.75" customHeight="1">
      <c r="B38" s="87">
        <v>31</v>
      </c>
      <c r="C38" s="452"/>
      <c r="D38" s="452"/>
      <c r="E38" s="452"/>
      <c r="F38" s="452"/>
      <c r="G38" s="452"/>
      <c r="H38" s="452"/>
      <c r="I38" s="452"/>
      <c r="J38" s="452"/>
      <c r="K38" s="452"/>
      <c r="L38" s="452"/>
      <c r="M38" s="453"/>
      <c r="N38" s="454"/>
      <c r="O38" s="454"/>
      <c r="P38" s="455"/>
      <c r="Q38" s="455"/>
      <c r="R38" s="455"/>
      <c r="S38" s="455"/>
      <c r="T38" s="455"/>
      <c r="U38" s="455"/>
      <c r="V38" s="456"/>
      <c r="W38" s="452"/>
      <c r="X38" s="452"/>
      <c r="Y38" s="452"/>
      <c r="Z38" s="88" t="s">
        <v>219</v>
      </c>
      <c r="AA38" s="89" t="s">
        <v>220</v>
      </c>
      <c r="AB38" s="90" t="s">
        <v>221</v>
      </c>
      <c r="AC38" s="91" t="s">
        <v>222</v>
      </c>
    </row>
    <row r="39" spans="2:29" ht="30.75" customHeight="1">
      <c r="B39" s="87">
        <v>32</v>
      </c>
      <c r="C39" s="452"/>
      <c r="D39" s="452"/>
      <c r="E39" s="452"/>
      <c r="F39" s="452"/>
      <c r="G39" s="452"/>
      <c r="H39" s="452"/>
      <c r="I39" s="452"/>
      <c r="J39" s="452"/>
      <c r="K39" s="452"/>
      <c r="L39" s="452"/>
      <c r="M39" s="453"/>
      <c r="N39" s="454"/>
      <c r="O39" s="454"/>
      <c r="P39" s="455"/>
      <c r="Q39" s="455"/>
      <c r="R39" s="455"/>
      <c r="S39" s="455"/>
      <c r="T39" s="455"/>
      <c r="U39" s="455"/>
      <c r="V39" s="456"/>
      <c r="W39" s="452"/>
      <c r="X39" s="452"/>
      <c r="Y39" s="452"/>
      <c r="Z39" s="88" t="s">
        <v>219</v>
      </c>
      <c r="AA39" s="89" t="s">
        <v>220</v>
      </c>
      <c r="AB39" s="90" t="s">
        <v>221</v>
      </c>
      <c r="AC39" s="91" t="s">
        <v>222</v>
      </c>
    </row>
    <row r="40" spans="2:29" ht="30.75" customHeight="1">
      <c r="B40" s="87">
        <v>33</v>
      </c>
      <c r="C40" s="452"/>
      <c r="D40" s="452"/>
      <c r="E40" s="452"/>
      <c r="F40" s="452"/>
      <c r="G40" s="452"/>
      <c r="H40" s="452"/>
      <c r="I40" s="452"/>
      <c r="J40" s="452"/>
      <c r="K40" s="452"/>
      <c r="L40" s="452"/>
      <c r="M40" s="453"/>
      <c r="N40" s="454"/>
      <c r="O40" s="454"/>
      <c r="P40" s="455"/>
      <c r="Q40" s="455"/>
      <c r="R40" s="455"/>
      <c r="S40" s="455"/>
      <c r="T40" s="455"/>
      <c r="U40" s="455"/>
      <c r="V40" s="456"/>
      <c r="W40" s="452"/>
      <c r="X40" s="452"/>
      <c r="Y40" s="452"/>
      <c r="Z40" s="88" t="s">
        <v>219</v>
      </c>
      <c r="AA40" s="89" t="s">
        <v>220</v>
      </c>
      <c r="AB40" s="90" t="s">
        <v>221</v>
      </c>
      <c r="AC40" s="91" t="s">
        <v>222</v>
      </c>
    </row>
    <row r="41" spans="2:29" ht="30.75" customHeight="1">
      <c r="B41" s="87">
        <v>34</v>
      </c>
      <c r="C41" s="452"/>
      <c r="D41" s="452"/>
      <c r="E41" s="452"/>
      <c r="F41" s="452"/>
      <c r="G41" s="452"/>
      <c r="H41" s="452"/>
      <c r="I41" s="452"/>
      <c r="J41" s="452"/>
      <c r="K41" s="452"/>
      <c r="L41" s="452"/>
      <c r="M41" s="453"/>
      <c r="N41" s="454"/>
      <c r="O41" s="454"/>
      <c r="P41" s="455"/>
      <c r="Q41" s="455"/>
      <c r="R41" s="455"/>
      <c r="S41" s="455"/>
      <c r="T41" s="455"/>
      <c r="U41" s="455"/>
      <c r="V41" s="456"/>
      <c r="W41" s="452"/>
      <c r="X41" s="452"/>
      <c r="Y41" s="452"/>
      <c r="Z41" s="88" t="s">
        <v>219</v>
      </c>
      <c r="AA41" s="89" t="s">
        <v>220</v>
      </c>
      <c r="AB41" s="90" t="s">
        <v>221</v>
      </c>
      <c r="AC41" s="91" t="s">
        <v>222</v>
      </c>
    </row>
    <row r="42" spans="2:29" ht="30.75" customHeight="1">
      <c r="B42" s="87">
        <v>35</v>
      </c>
      <c r="C42" s="452"/>
      <c r="D42" s="452"/>
      <c r="E42" s="452"/>
      <c r="F42" s="452"/>
      <c r="G42" s="452"/>
      <c r="H42" s="452"/>
      <c r="I42" s="452"/>
      <c r="J42" s="452"/>
      <c r="K42" s="452"/>
      <c r="L42" s="452"/>
      <c r="M42" s="453"/>
      <c r="N42" s="454"/>
      <c r="O42" s="454"/>
      <c r="P42" s="455"/>
      <c r="Q42" s="455"/>
      <c r="R42" s="455"/>
      <c r="S42" s="455"/>
      <c r="T42" s="455"/>
      <c r="U42" s="455"/>
      <c r="V42" s="456"/>
      <c r="W42" s="452"/>
      <c r="X42" s="452"/>
      <c r="Y42" s="452"/>
      <c r="Z42" s="88" t="s">
        <v>219</v>
      </c>
      <c r="AA42" s="89" t="s">
        <v>220</v>
      </c>
      <c r="AB42" s="90" t="s">
        <v>221</v>
      </c>
      <c r="AC42" s="91" t="s">
        <v>222</v>
      </c>
    </row>
    <row r="43" spans="2:29" ht="30.75" customHeight="1">
      <c r="B43" s="87">
        <v>36</v>
      </c>
      <c r="C43" s="452"/>
      <c r="D43" s="452"/>
      <c r="E43" s="452"/>
      <c r="F43" s="452"/>
      <c r="G43" s="452"/>
      <c r="H43" s="452"/>
      <c r="I43" s="452"/>
      <c r="J43" s="452"/>
      <c r="K43" s="452"/>
      <c r="L43" s="452"/>
      <c r="M43" s="453"/>
      <c r="N43" s="454"/>
      <c r="O43" s="454"/>
      <c r="P43" s="455"/>
      <c r="Q43" s="455"/>
      <c r="R43" s="455"/>
      <c r="S43" s="455"/>
      <c r="T43" s="455"/>
      <c r="U43" s="455"/>
      <c r="V43" s="456"/>
      <c r="W43" s="452"/>
      <c r="X43" s="452"/>
      <c r="Y43" s="452"/>
      <c r="Z43" s="88" t="s">
        <v>219</v>
      </c>
      <c r="AA43" s="89" t="s">
        <v>220</v>
      </c>
      <c r="AB43" s="90" t="s">
        <v>221</v>
      </c>
      <c r="AC43" s="91" t="s">
        <v>222</v>
      </c>
    </row>
    <row r="44" spans="2:29" ht="30.75" customHeight="1">
      <c r="B44" s="87">
        <v>37</v>
      </c>
      <c r="C44" s="452"/>
      <c r="D44" s="452"/>
      <c r="E44" s="452"/>
      <c r="F44" s="452"/>
      <c r="G44" s="452"/>
      <c r="H44" s="452"/>
      <c r="I44" s="452"/>
      <c r="J44" s="452"/>
      <c r="K44" s="452"/>
      <c r="L44" s="452"/>
      <c r="M44" s="453"/>
      <c r="N44" s="454"/>
      <c r="O44" s="454"/>
      <c r="P44" s="455"/>
      <c r="Q44" s="455"/>
      <c r="R44" s="455"/>
      <c r="S44" s="455"/>
      <c r="T44" s="455"/>
      <c r="U44" s="455"/>
      <c r="V44" s="456"/>
      <c r="W44" s="452"/>
      <c r="X44" s="452"/>
      <c r="Y44" s="452"/>
      <c r="Z44" s="88" t="s">
        <v>219</v>
      </c>
      <c r="AA44" s="89" t="s">
        <v>220</v>
      </c>
      <c r="AB44" s="90" t="s">
        <v>221</v>
      </c>
      <c r="AC44" s="91" t="s">
        <v>222</v>
      </c>
    </row>
    <row r="45" spans="2:29" ht="30.75" customHeight="1">
      <c r="B45" s="87">
        <v>38</v>
      </c>
      <c r="C45" s="452"/>
      <c r="D45" s="452"/>
      <c r="E45" s="452"/>
      <c r="F45" s="452"/>
      <c r="G45" s="452"/>
      <c r="H45" s="452"/>
      <c r="I45" s="452"/>
      <c r="J45" s="452"/>
      <c r="K45" s="452"/>
      <c r="L45" s="452"/>
      <c r="M45" s="453"/>
      <c r="N45" s="454"/>
      <c r="O45" s="454"/>
      <c r="P45" s="455"/>
      <c r="Q45" s="455"/>
      <c r="R45" s="455"/>
      <c r="S45" s="455"/>
      <c r="T45" s="455"/>
      <c r="U45" s="455"/>
      <c r="V45" s="456"/>
      <c r="W45" s="452"/>
      <c r="X45" s="452"/>
      <c r="Y45" s="452"/>
      <c r="Z45" s="88" t="s">
        <v>219</v>
      </c>
      <c r="AA45" s="89" t="s">
        <v>220</v>
      </c>
      <c r="AB45" s="90" t="s">
        <v>221</v>
      </c>
      <c r="AC45" s="91" t="s">
        <v>222</v>
      </c>
    </row>
    <row r="46" spans="2:29" ht="30.75" customHeight="1">
      <c r="B46" s="87">
        <v>39</v>
      </c>
      <c r="C46" s="452"/>
      <c r="D46" s="452"/>
      <c r="E46" s="452"/>
      <c r="F46" s="452"/>
      <c r="G46" s="452"/>
      <c r="H46" s="452"/>
      <c r="I46" s="452"/>
      <c r="J46" s="452"/>
      <c r="K46" s="452"/>
      <c r="L46" s="452"/>
      <c r="M46" s="453"/>
      <c r="N46" s="454"/>
      <c r="O46" s="454"/>
      <c r="P46" s="455"/>
      <c r="Q46" s="455"/>
      <c r="R46" s="455"/>
      <c r="S46" s="455"/>
      <c r="T46" s="455"/>
      <c r="U46" s="455"/>
      <c r="V46" s="456"/>
      <c r="W46" s="452"/>
      <c r="X46" s="452"/>
      <c r="Y46" s="452"/>
      <c r="Z46" s="88" t="s">
        <v>219</v>
      </c>
      <c r="AA46" s="89" t="s">
        <v>220</v>
      </c>
      <c r="AB46" s="90" t="s">
        <v>221</v>
      </c>
      <c r="AC46" s="91" t="s">
        <v>222</v>
      </c>
    </row>
    <row r="47" spans="2:29" ht="30.75" customHeight="1">
      <c r="B47" s="92">
        <v>40</v>
      </c>
      <c r="C47" s="457"/>
      <c r="D47" s="457"/>
      <c r="E47" s="457"/>
      <c r="F47" s="457"/>
      <c r="G47" s="457"/>
      <c r="H47" s="457"/>
      <c r="I47" s="457"/>
      <c r="J47" s="457"/>
      <c r="K47" s="457"/>
      <c r="L47" s="457"/>
      <c r="M47" s="458"/>
      <c r="N47" s="459"/>
      <c r="O47" s="459"/>
      <c r="P47" s="460"/>
      <c r="Q47" s="460"/>
      <c r="R47" s="460"/>
      <c r="S47" s="460"/>
      <c r="T47" s="460"/>
      <c r="U47" s="460"/>
      <c r="V47" s="461"/>
      <c r="W47" s="457"/>
      <c r="X47" s="457"/>
      <c r="Y47" s="457"/>
      <c r="Z47" s="93" t="s">
        <v>219</v>
      </c>
      <c r="AA47" s="94" t="s">
        <v>220</v>
      </c>
      <c r="AB47" s="95" t="s">
        <v>221</v>
      </c>
      <c r="AC47" s="96" t="s">
        <v>222</v>
      </c>
    </row>
    <row r="48" spans="2:29" ht="30.75" customHeight="1">
      <c r="B48" s="447" t="s">
        <v>276</v>
      </c>
      <c r="C48" s="448"/>
      <c r="D48" s="448"/>
      <c r="E48" s="449"/>
      <c r="F48" s="449"/>
      <c r="G48" s="449"/>
      <c r="H48" s="449"/>
      <c r="I48" s="449"/>
      <c r="J48" s="449"/>
      <c r="K48" s="449"/>
      <c r="L48" s="449"/>
      <c r="M48" s="449"/>
      <c r="N48" s="449"/>
      <c r="O48" s="449"/>
      <c r="P48" s="449"/>
      <c r="Q48" s="449"/>
      <c r="R48" s="449"/>
      <c r="S48" s="449"/>
      <c r="T48" s="449"/>
      <c r="U48" s="449"/>
      <c r="V48" s="449"/>
      <c r="W48" s="449"/>
      <c r="X48" s="449"/>
      <c r="Y48" s="449"/>
      <c r="Z48" s="449"/>
      <c r="AA48" s="449"/>
      <c r="AB48" s="449"/>
      <c r="AC48" s="450"/>
    </row>
    <row r="49" spans="2:29" ht="27" customHeight="1">
      <c r="B49" s="451" t="s">
        <v>278</v>
      </c>
      <c r="C49" s="451"/>
      <c r="D49" s="451"/>
      <c r="E49" s="451"/>
      <c r="F49" s="451"/>
      <c r="G49" s="451"/>
      <c r="H49" s="451"/>
      <c r="I49" s="451"/>
      <c r="J49" s="451"/>
      <c r="K49" s="451"/>
      <c r="L49" s="451"/>
      <c r="M49" s="451"/>
      <c r="N49" s="451"/>
      <c r="O49" s="451"/>
      <c r="P49" s="451"/>
      <c r="Q49" s="451"/>
      <c r="R49" s="451"/>
      <c r="S49" s="451"/>
      <c r="T49" s="451"/>
      <c r="U49" s="451"/>
      <c r="V49" s="451"/>
      <c r="W49" s="451"/>
      <c r="X49" s="451"/>
      <c r="Y49" s="451"/>
      <c r="Z49" s="451"/>
      <c r="AA49" s="451"/>
      <c r="AB49" s="451"/>
      <c r="AC49" s="451"/>
    </row>
  </sheetData>
  <mergeCells count="268">
    <mergeCell ref="B1:AC1"/>
    <mergeCell ref="B2:F2"/>
    <mergeCell ref="G2:P2"/>
    <mergeCell ref="Q2:S2"/>
    <mergeCell ref="AB2:AC2"/>
    <mergeCell ref="B3:F3"/>
    <mergeCell ref="G3:P3"/>
    <mergeCell ref="Q3:S3"/>
    <mergeCell ref="T3:AC3"/>
    <mergeCell ref="B4:F4"/>
    <mergeCell ref="G4:P4"/>
    <mergeCell ref="Q4:S4"/>
    <mergeCell ref="T4:U4"/>
    <mergeCell ref="W4:Y4"/>
    <mergeCell ref="AA4:AC4"/>
    <mergeCell ref="B6:M7"/>
    <mergeCell ref="N6:O6"/>
    <mergeCell ref="P6:U6"/>
    <mergeCell ref="V6:AC6"/>
    <mergeCell ref="N7:O7"/>
    <mergeCell ref="P7:Q7"/>
    <mergeCell ref="R7:S7"/>
    <mergeCell ref="T7:U7"/>
    <mergeCell ref="V7:Z7"/>
    <mergeCell ref="AA7:AC7"/>
    <mergeCell ref="C8:M8"/>
    <mergeCell ref="N8:O8"/>
    <mergeCell ref="P8:Q8"/>
    <mergeCell ref="R8:S8"/>
    <mergeCell ref="T8:U8"/>
    <mergeCell ref="V8:Y8"/>
    <mergeCell ref="C9:M9"/>
    <mergeCell ref="N9:O9"/>
    <mergeCell ref="P9:Q9"/>
    <mergeCell ref="R9:S9"/>
    <mergeCell ref="T9:U9"/>
    <mergeCell ref="V9:Y9"/>
    <mergeCell ref="C10:M10"/>
    <mergeCell ref="N10:O10"/>
    <mergeCell ref="P10:Q10"/>
    <mergeCell ref="R10:S10"/>
    <mergeCell ref="T10:U10"/>
    <mergeCell ref="V10:Y10"/>
    <mergeCell ref="C11:M11"/>
    <mergeCell ref="N11:O11"/>
    <mergeCell ref="P11:Q11"/>
    <mergeCell ref="R11:S11"/>
    <mergeCell ref="T11:U11"/>
    <mergeCell ref="V11:Y11"/>
    <mergeCell ref="C12:M12"/>
    <mergeCell ref="N12:O12"/>
    <mergeCell ref="P12:Q12"/>
    <mergeCell ref="R12:S12"/>
    <mergeCell ref="T12:U12"/>
    <mergeCell ref="V12:Y12"/>
    <mergeCell ref="C13:M13"/>
    <mergeCell ref="N13:O13"/>
    <mergeCell ref="P13:Q13"/>
    <mergeCell ref="R13:S13"/>
    <mergeCell ref="T13:U13"/>
    <mergeCell ref="V13:Y13"/>
    <mergeCell ref="C14:M14"/>
    <mergeCell ref="N14:O14"/>
    <mergeCell ref="P14:Q14"/>
    <mergeCell ref="R14:S14"/>
    <mergeCell ref="T14:U14"/>
    <mergeCell ref="V14:Y14"/>
    <mergeCell ref="C15:M15"/>
    <mergeCell ref="N15:O15"/>
    <mergeCell ref="P15:Q15"/>
    <mergeCell ref="R15:S15"/>
    <mergeCell ref="T15:U15"/>
    <mergeCell ref="V15:Y15"/>
    <mergeCell ref="C16:M16"/>
    <mergeCell ref="N16:O16"/>
    <mergeCell ref="P16:Q16"/>
    <mergeCell ref="R16:S16"/>
    <mergeCell ref="T16:U16"/>
    <mergeCell ref="V16:Y16"/>
    <mergeCell ref="C17:M17"/>
    <mergeCell ref="N17:O17"/>
    <mergeCell ref="P17:Q17"/>
    <mergeCell ref="R17:S17"/>
    <mergeCell ref="T17:U17"/>
    <mergeCell ref="V17:Y17"/>
    <mergeCell ref="C18:M18"/>
    <mergeCell ref="N18:O18"/>
    <mergeCell ref="P18:Q18"/>
    <mergeCell ref="R18:S18"/>
    <mergeCell ref="T18:U18"/>
    <mergeCell ref="V18:Y18"/>
    <mergeCell ref="C19:M19"/>
    <mergeCell ref="N19:O19"/>
    <mergeCell ref="P19:Q19"/>
    <mergeCell ref="R19:S19"/>
    <mergeCell ref="T19:U19"/>
    <mergeCell ref="V19:Y19"/>
    <mergeCell ref="C20:M20"/>
    <mergeCell ref="N20:O20"/>
    <mergeCell ref="P20:Q20"/>
    <mergeCell ref="R20:S20"/>
    <mergeCell ref="T20:U20"/>
    <mergeCell ref="V20:Y20"/>
    <mergeCell ref="C21:M21"/>
    <mergeCell ref="N21:O21"/>
    <mergeCell ref="P21:Q21"/>
    <mergeCell ref="R21:S21"/>
    <mergeCell ref="T21:U21"/>
    <mergeCell ref="V21:Y21"/>
    <mergeCell ref="C22:M22"/>
    <mergeCell ref="N22:O22"/>
    <mergeCell ref="P22:Q22"/>
    <mergeCell ref="R22:S22"/>
    <mergeCell ref="T22:U22"/>
    <mergeCell ref="V22:Y22"/>
    <mergeCell ref="C23:M23"/>
    <mergeCell ref="N23:O23"/>
    <mergeCell ref="P23:Q23"/>
    <mergeCell ref="R23:S23"/>
    <mergeCell ref="T23:U23"/>
    <mergeCell ref="V23:Y23"/>
    <mergeCell ref="C24:M24"/>
    <mergeCell ref="N24:O24"/>
    <mergeCell ref="P24:Q24"/>
    <mergeCell ref="R24:S24"/>
    <mergeCell ref="T24:U24"/>
    <mergeCell ref="V24:Y24"/>
    <mergeCell ref="C25:M25"/>
    <mergeCell ref="N25:O25"/>
    <mergeCell ref="P25:Q25"/>
    <mergeCell ref="R25:S25"/>
    <mergeCell ref="T25:U25"/>
    <mergeCell ref="V25:Y25"/>
    <mergeCell ref="C26:M26"/>
    <mergeCell ref="N26:O26"/>
    <mergeCell ref="P26:Q26"/>
    <mergeCell ref="R26:S26"/>
    <mergeCell ref="T26:U26"/>
    <mergeCell ref="V26:Y26"/>
    <mergeCell ref="C27:M27"/>
    <mergeCell ref="N27:O27"/>
    <mergeCell ref="P27:Q27"/>
    <mergeCell ref="R27:S27"/>
    <mergeCell ref="T27:U27"/>
    <mergeCell ref="V27:Y27"/>
    <mergeCell ref="C28:M28"/>
    <mergeCell ref="N28:O28"/>
    <mergeCell ref="P28:Q28"/>
    <mergeCell ref="R28:S28"/>
    <mergeCell ref="T28:U28"/>
    <mergeCell ref="V28:Y28"/>
    <mergeCell ref="C29:M29"/>
    <mergeCell ref="N29:O29"/>
    <mergeCell ref="P29:Q29"/>
    <mergeCell ref="R29:S29"/>
    <mergeCell ref="T29:U29"/>
    <mergeCell ref="V29:Y29"/>
    <mergeCell ref="C30:M30"/>
    <mergeCell ref="N30:O30"/>
    <mergeCell ref="P30:Q30"/>
    <mergeCell ref="R30:S30"/>
    <mergeCell ref="T30:U30"/>
    <mergeCell ref="V30:Y30"/>
    <mergeCell ref="C31:M31"/>
    <mergeCell ref="N31:O31"/>
    <mergeCell ref="P31:Q31"/>
    <mergeCell ref="R31:S31"/>
    <mergeCell ref="T31:U31"/>
    <mergeCell ref="V31:Y31"/>
    <mergeCell ref="C32:M32"/>
    <mergeCell ref="N32:O32"/>
    <mergeCell ref="P32:Q32"/>
    <mergeCell ref="R32:S32"/>
    <mergeCell ref="T32:U32"/>
    <mergeCell ref="V32:Y32"/>
    <mergeCell ref="C33:M33"/>
    <mergeCell ref="N33:O33"/>
    <mergeCell ref="P33:Q33"/>
    <mergeCell ref="R33:S33"/>
    <mergeCell ref="T33:U33"/>
    <mergeCell ref="V33:Y33"/>
    <mergeCell ref="C34:M34"/>
    <mergeCell ref="N34:O34"/>
    <mergeCell ref="P34:Q34"/>
    <mergeCell ref="R34:S34"/>
    <mergeCell ref="T34:U34"/>
    <mergeCell ref="V34:Y34"/>
    <mergeCell ref="C35:M35"/>
    <mergeCell ref="N35:O35"/>
    <mergeCell ref="P35:Q35"/>
    <mergeCell ref="R35:S35"/>
    <mergeCell ref="T35:U35"/>
    <mergeCell ref="V35:Y35"/>
    <mergeCell ref="C36:M36"/>
    <mergeCell ref="N36:O36"/>
    <mergeCell ref="P36:Q36"/>
    <mergeCell ref="R36:S36"/>
    <mergeCell ref="T36:U36"/>
    <mergeCell ref="V36:Y36"/>
    <mergeCell ref="C37:M37"/>
    <mergeCell ref="N37:O37"/>
    <mergeCell ref="P37:Q37"/>
    <mergeCell ref="R37:S37"/>
    <mergeCell ref="T37:U37"/>
    <mergeCell ref="V37:Y37"/>
    <mergeCell ref="C38:M38"/>
    <mergeCell ref="N38:O38"/>
    <mergeCell ref="P38:Q38"/>
    <mergeCell ref="R38:S38"/>
    <mergeCell ref="T38:U38"/>
    <mergeCell ref="V38:Y38"/>
    <mergeCell ref="C39:M39"/>
    <mergeCell ref="N39:O39"/>
    <mergeCell ref="P39:Q39"/>
    <mergeCell ref="R39:S39"/>
    <mergeCell ref="T39:U39"/>
    <mergeCell ref="V39:Y39"/>
    <mergeCell ref="C40:M40"/>
    <mergeCell ref="N40:O40"/>
    <mergeCell ref="P40:Q40"/>
    <mergeCell ref="R40:S40"/>
    <mergeCell ref="T40:U40"/>
    <mergeCell ref="V40:Y40"/>
    <mergeCell ref="C41:M41"/>
    <mergeCell ref="N41:O41"/>
    <mergeCell ref="P41:Q41"/>
    <mergeCell ref="R41:S41"/>
    <mergeCell ref="T41:U41"/>
    <mergeCell ref="V41:Y41"/>
    <mergeCell ref="C42:M42"/>
    <mergeCell ref="N42:O42"/>
    <mergeCell ref="P42:Q42"/>
    <mergeCell ref="R42:S42"/>
    <mergeCell ref="T42:U42"/>
    <mergeCell ref="V42:Y42"/>
    <mergeCell ref="C43:M43"/>
    <mergeCell ref="N43:O43"/>
    <mergeCell ref="P43:Q43"/>
    <mergeCell ref="R43:S43"/>
    <mergeCell ref="T43:U43"/>
    <mergeCell ref="V43:Y43"/>
    <mergeCell ref="C44:M44"/>
    <mergeCell ref="N44:O44"/>
    <mergeCell ref="P44:Q44"/>
    <mergeCell ref="R44:S44"/>
    <mergeCell ref="T44:U44"/>
    <mergeCell ref="V44:Y44"/>
    <mergeCell ref="C45:M45"/>
    <mergeCell ref="N45:O45"/>
    <mergeCell ref="P45:Q45"/>
    <mergeCell ref="R45:S45"/>
    <mergeCell ref="T45:U45"/>
    <mergeCell ref="V45:Y45"/>
    <mergeCell ref="B48:D48"/>
    <mergeCell ref="E48:AC48"/>
    <mergeCell ref="B49:AC49"/>
    <mergeCell ref="C46:M46"/>
    <mergeCell ref="N46:O46"/>
    <mergeCell ref="P46:Q46"/>
    <mergeCell ref="R46:S46"/>
    <mergeCell ref="T46:U46"/>
    <mergeCell ref="V46:Y46"/>
    <mergeCell ref="C47:M47"/>
    <mergeCell ref="N47:O47"/>
    <mergeCell ref="P47:Q47"/>
    <mergeCell ref="R47:S47"/>
    <mergeCell ref="T47:U47"/>
    <mergeCell ref="V47:Y47"/>
  </mergeCells>
  <dataValidations count="7">
    <dataValidation type="list" allowBlank="1" showInputMessage="1" showErrorMessage="1" sqref="P8:U47">
      <formula1>"○"</formula1>
    </dataValidation>
    <dataValidation type="list" allowBlank="1" showInputMessage="1" showErrorMessage="1" sqref="T3:AC3">
      <formula1>$AS$2:$AS$5</formula1>
    </dataValidation>
    <dataValidation type="list" allowBlank="1" showInputMessage="1" showErrorMessage="1" sqref="U2">
      <formula1>$AO$2:$AO$16</formula1>
    </dataValidation>
    <dataValidation type="list" allowBlank="1" showInputMessage="1" showErrorMessage="1" sqref="W2">
      <formula1>$AP$2:$AP$13</formula1>
    </dataValidation>
    <dataValidation type="list" allowBlank="1" showInputMessage="1" showErrorMessage="1" sqref="Y2">
      <formula1>$AQ$2:$AQ$32</formula1>
    </dataValidation>
    <dataValidation type="list" allowBlank="1" showInputMessage="1" showErrorMessage="1" sqref="AA2">
      <formula1>$AR$2:$AR$8</formula1>
    </dataValidation>
    <dataValidation type="list" allowBlank="1" showInputMessage="1" showErrorMessage="1" sqref="G3:P3">
      <formula1>$AN$2:$AN$21</formula1>
    </dataValidation>
  </dataValidations>
  <printOptions/>
  <pageMargins left="0.19685039370078738" right="0.19685039370078738" top="0.19685039370078738" bottom="0.19685039370078738" header="0.31496062992125984" footer="0.31496062992125984"/>
  <pageSetup fitToHeight="1" fitToWidth="1" horizontalDpi="600" verticalDpi="600" orientation="portrait" paperSize="9" scale="57"/>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Q113"/>
  <sheetViews>
    <sheetView showZeros="0" workbookViewId="0" topLeftCell="A1">
      <selection activeCell="A5" sqref="A5"/>
    </sheetView>
  </sheetViews>
  <sheetFormatPr defaultColWidth="9.00390625" defaultRowHeight="13.5"/>
  <cols>
    <col min="1" max="141" width="2.625" style="97" customWidth="1"/>
    <col min="142" max="210" width="3.625" style="97" customWidth="1"/>
    <col min="211" max="16384" width="9.00390625" style="97" customWidth="1"/>
  </cols>
  <sheetData>
    <row r="1" spans="1:34" s="98" customFormat="1" ht="30" customHeight="1">
      <c r="A1" s="527" t="s">
        <v>291</v>
      </c>
      <c r="B1" s="527"/>
      <c r="C1" s="527"/>
      <c r="D1" s="527"/>
      <c r="E1" s="527"/>
      <c r="F1" s="527"/>
      <c r="G1" s="527"/>
      <c r="H1" s="527"/>
      <c r="I1" s="527"/>
      <c r="J1" s="527"/>
      <c r="K1" s="527"/>
      <c r="L1" s="527"/>
      <c r="M1" s="527"/>
      <c r="N1" s="527"/>
      <c r="O1" s="527"/>
      <c r="P1" s="527"/>
      <c r="Q1" s="527"/>
      <c r="R1" s="527"/>
      <c r="S1" s="527"/>
      <c r="T1" s="527"/>
      <c r="U1" s="527"/>
      <c r="V1" s="527"/>
      <c r="W1" s="527"/>
      <c r="X1" s="527"/>
      <c r="Y1" s="527"/>
      <c r="Z1" s="527"/>
      <c r="AA1" s="527"/>
      <c r="AB1" s="527"/>
      <c r="AC1" s="527"/>
      <c r="AD1" s="527"/>
      <c r="AE1" s="527"/>
      <c r="AF1" s="527"/>
      <c r="AG1" s="527"/>
      <c r="AH1" s="527"/>
    </row>
    <row r="2" spans="1:34" s="98" customFormat="1" ht="13.5">
      <c r="A2" s="528" t="str">
        <f>'大会要項'!B3</f>
        <v>第11回 全日本不動産協会杯争奪U-12サッカー大会【ラビットカップ】大分県大会</v>
      </c>
      <c r="B2" s="529"/>
      <c r="C2" s="529"/>
      <c r="D2" s="529"/>
      <c r="E2" s="529"/>
      <c r="F2" s="529"/>
      <c r="G2" s="529"/>
      <c r="H2" s="529"/>
      <c r="I2" s="529"/>
      <c r="J2" s="529"/>
      <c r="K2" s="529"/>
      <c r="L2" s="529"/>
      <c r="M2" s="529"/>
      <c r="N2" s="529"/>
      <c r="O2" s="529"/>
      <c r="P2" s="529"/>
      <c r="Q2" s="529"/>
      <c r="R2" s="529"/>
      <c r="S2" s="529"/>
      <c r="T2" s="529"/>
      <c r="U2" s="529"/>
      <c r="V2" s="529"/>
      <c r="W2" s="529"/>
      <c r="X2" s="529"/>
      <c r="Y2" s="529"/>
      <c r="Z2" s="529"/>
      <c r="AA2" s="529"/>
      <c r="AB2" s="529"/>
      <c r="AC2" s="529"/>
      <c r="AD2" s="529"/>
      <c r="AE2" s="529"/>
      <c r="AF2" s="529"/>
      <c r="AG2" s="529"/>
      <c r="AH2" s="529"/>
    </row>
    <row r="3" spans="1:34" s="98" customFormat="1" ht="13.5">
      <c r="A3" s="528"/>
      <c r="B3" s="529"/>
      <c r="C3" s="529"/>
      <c r="D3" s="529"/>
      <c r="E3" s="529"/>
      <c r="F3" s="529"/>
      <c r="G3" s="529"/>
      <c r="H3" s="529"/>
      <c r="I3" s="529"/>
      <c r="J3" s="529"/>
      <c r="K3" s="529"/>
      <c r="L3" s="529"/>
      <c r="M3" s="529"/>
      <c r="N3" s="529"/>
      <c r="O3" s="529"/>
      <c r="P3" s="529"/>
      <c r="Q3" s="529"/>
      <c r="R3" s="529"/>
      <c r="S3" s="529"/>
      <c r="T3" s="529"/>
      <c r="U3" s="529"/>
      <c r="V3" s="529"/>
      <c r="W3" s="529"/>
      <c r="X3" s="529"/>
      <c r="Y3" s="529"/>
      <c r="Z3" s="529"/>
      <c r="AA3" s="529"/>
      <c r="AB3" s="529"/>
      <c r="AC3" s="529"/>
      <c r="AD3" s="529"/>
      <c r="AE3" s="529"/>
      <c r="AF3" s="529"/>
      <c r="AG3" s="529"/>
      <c r="AH3" s="529"/>
    </row>
    <row r="4" spans="1:34" s="98" customFormat="1" ht="13.5">
      <c r="A4" s="529"/>
      <c r="B4" s="529"/>
      <c r="C4" s="529"/>
      <c r="D4" s="529"/>
      <c r="E4" s="529"/>
      <c r="F4" s="529"/>
      <c r="G4" s="529"/>
      <c r="H4" s="529"/>
      <c r="I4" s="529"/>
      <c r="J4" s="529"/>
      <c r="K4" s="529"/>
      <c r="L4" s="529"/>
      <c r="M4" s="529"/>
      <c r="N4" s="529"/>
      <c r="O4" s="529"/>
      <c r="P4" s="529"/>
      <c r="Q4" s="529"/>
      <c r="R4" s="529"/>
      <c r="S4" s="529"/>
      <c r="T4" s="529"/>
      <c r="U4" s="529"/>
      <c r="V4" s="529"/>
      <c r="W4" s="529"/>
      <c r="X4" s="529"/>
      <c r="Y4" s="529"/>
      <c r="Z4" s="529"/>
      <c r="AA4" s="529"/>
      <c r="AB4" s="529"/>
      <c r="AC4" s="529"/>
      <c r="AD4" s="529"/>
      <c r="AE4" s="529"/>
      <c r="AF4" s="529"/>
      <c r="AG4" s="529"/>
      <c r="AH4" s="529"/>
    </row>
    <row r="5" spans="1:34" s="98" customFormat="1" ht="18" customHeight="1">
      <c r="A5" s="99"/>
      <c r="B5" s="99"/>
      <c r="C5" s="99"/>
      <c r="D5" s="99"/>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row>
    <row r="6" spans="10:34" s="100" customFormat="1" ht="18" customHeight="1">
      <c r="J6" s="530" t="s">
        <v>292</v>
      </c>
      <c r="K6" s="530"/>
      <c r="L6" s="530"/>
      <c r="M6" s="530"/>
      <c r="N6" s="530"/>
      <c r="O6" s="530"/>
      <c r="P6" s="530"/>
      <c r="Q6" s="530"/>
      <c r="R6" s="523"/>
      <c r="S6" s="523"/>
      <c r="T6" s="523"/>
      <c r="Y6" s="101"/>
      <c r="Z6" s="101"/>
      <c r="AA6" s="101"/>
      <c r="AB6" s="101"/>
      <c r="AC6" s="101"/>
      <c r="AD6" s="101"/>
      <c r="AE6" s="101"/>
      <c r="AF6" s="101"/>
      <c r="AG6" s="101"/>
      <c r="AH6" s="101"/>
    </row>
    <row r="7" s="100" customFormat="1" ht="18" customHeight="1"/>
    <row r="8" spans="2:33" s="100" customFormat="1" ht="18" customHeight="1">
      <c r="B8" s="531" t="s">
        <v>293</v>
      </c>
      <c r="C8" s="531"/>
      <c r="D8" s="531"/>
      <c r="E8" s="531"/>
      <c r="F8" s="531"/>
      <c r="G8" s="531"/>
      <c r="H8" s="531"/>
      <c r="I8" s="531"/>
      <c r="J8" s="531"/>
      <c r="K8" s="102" t="s">
        <v>294</v>
      </c>
      <c r="L8" s="531"/>
      <c r="M8" s="531"/>
      <c r="N8" s="531"/>
      <c r="O8" s="532" t="s">
        <v>295</v>
      </c>
      <c r="P8" s="532"/>
      <c r="Q8" s="531" t="s">
        <v>296</v>
      </c>
      <c r="R8" s="531"/>
      <c r="S8" s="531" t="s">
        <v>297</v>
      </c>
      <c r="T8" s="531"/>
      <c r="U8" s="531"/>
      <c r="V8" s="531"/>
      <c r="W8" s="531"/>
      <c r="X8" s="531"/>
      <c r="Y8" s="531"/>
      <c r="Z8" s="531"/>
      <c r="AA8" s="531"/>
      <c r="AB8" s="102" t="s">
        <v>294</v>
      </c>
      <c r="AC8" s="531"/>
      <c r="AD8" s="531"/>
      <c r="AE8" s="531"/>
      <c r="AF8" s="532" t="s">
        <v>295</v>
      </c>
      <c r="AG8" s="532"/>
    </row>
    <row r="9" s="100" customFormat="1" ht="9.95" customHeight="1"/>
    <row r="10" spans="1:36" s="100" customFormat="1" ht="18" customHeight="1">
      <c r="A10" s="525" t="s">
        <v>298</v>
      </c>
      <c r="B10" s="526"/>
      <c r="C10" s="526"/>
      <c r="D10" s="526"/>
      <c r="E10" s="526"/>
      <c r="F10" s="526"/>
      <c r="G10" s="526"/>
      <c r="H10" s="526"/>
      <c r="I10" s="526"/>
      <c r="J10" s="526"/>
      <c r="K10" s="526"/>
      <c r="L10" s="526"/>
      <c r="M10" s="526"/>
      <c r="N10" s="526"/>
      <c r="O10" s="526"/>
      <c r="P10" s="526"/>
      <c r="Q10" s="526"/>
      <c r="R10" s="526"/>
      <c r="S10" s="526"/>
      <c r="T10" s="526"/>
      <c r="U10" s="526"/>
      <c r="V10" s="526"/>
      <c r="W10" s="526"/>
      <c r="X10" s="526"/>
      <c r="Y10" s="526"/>
      <c r="Z10" s="526"/>
      <c r="AA10" s="526"/>
      <c r="AB10" s="526"/>
      <c r="AC10" s="526"/>
      <c r="AD10" s="526"/>
      <c r="AE10" s="526"/>
      <c r="AF10" s="526"/>
      <c r="AG10" s="526"/>
      <c r="AH10" s="526"/>
      <c r="AI10" s="526"/>
      <c r="AJ10" s="526"/>
    </row>
    <row r="11" spans="1:36" s="100" customFormat="1" ht="18" customHeight="1">
      <c r="A11" s="526"/>
      <c r="B11" s="526"/>
      <c r="C11" s="526"/>
      <c r="D11" s="526"/>
      <c r="E11" s="526"/>
      <c r="F11" s="526"/>
      <c r="G11" s="526"/>
      <c r="H11" s="526"/>
      <c r="I11" s="526"/>
      <c r="J11" s="526"/>
      <c r="K11" s="526"/>
      <c r="L11" s="526"/>
      <c r="M11" s="526"/>
      <c r="N11" s="526"/>
      <c r="O11" s="526"/>
      <c r="P11" s="526"/>
      <c r="Q11" s="526"/>
      <c r="R11" s="526"/>
      <c r="S11" s="526"/>
      <c r="T11" s="526"/>
      <c r="U11" s="526"/>
      <c r="V11" s="526"/>
      <c r="W11" s="526"/>
      <c r="X11" s="526"/>
      <c r="Y11" s="526"/>
      <c r="Z11" s="526"/>
      <c r="AA11" s="526"/>
      <c r="AB11" s="526"/>
      <c r="AC11" s="526"/>
      <c r="AD11" s="526"/>
      <c r="AE11" s="526"/>
      <c r="AF11" s="526"/>
      <c r="AG11" s="526"/>
      <c r="AH11" s="526"/>
      <c r="AI11" s="526"/>
      <c r="AJ11" s="526"/>
    </row>
    <row r="12" spans="1:36" s="100" customFormat="1" ht="18" customHeight="1">
      <c r="A12" s="523" t="s">
        <v>299</v>
      </c>
      <c r="B12" s="523"/>
      <c r="C12" s="523"/>
      <c r="D12" s="523"/>
      <c r="E12" s="523"/>
      <c r="F12" s="523"/>
      <c r="G12" s="523"/>
      <c r="H12" s="523"/>
      <c r="I12" s="523"/>
      <c r="J12" s="523"/>
      <c r="K12" s="523"/>
      <c r="L12" s="523"/>
      <c r="M12" s="523"/>
      <c r="N12" s="523"/>
      <c r="O12" s="523"/>
      <c r="P12" s="523"/>
      <c r="Q12" s="523"/>
      <c r="R12" s="523"/>
      <c r="S12" s="523"/>
      <c r="T12" s="523"/>
      <c r="U12" s="523"/>
      <c r="V12" s="523"/>
      <c r="W12" s="523"/>
      <c r="X12" s="523"/>
      <c r="Y12" s="523"/>
      <c r="Z12" s="523"/>
      <c r="AA12" s="523"/>
      <c r="AB12" s="523"/>
      <c r="AC12" s="523"/>
      <c r="AD12" s="523"/>
      <c r="AE12" s="523"/>
      <c r="AF12" s="523"/>
      <c r="AG12" s="523"/>
      <c r="AH12" s="523"/>
      <c r="AI12" s="523"/>
      <c r="AJ12" s="523"/>
    </row>
    <row r="13" spans="5:30" s="100" customFormat="1" ht="18" customHeight="1">
      <c r="E13" s="523" t="s">
        <v>300</v>
      </c>
      <c r="F13" s="523"/>
      <c r="G13" s="523"/>
      <c r="H13" s="523"/>
      <c r="I13" s="523"/>
      <c r="J13" s="523"/>
      <c r="K13" s="523"/>
      <c r="L13" s="523"/>
      <c r="M13" s="523"/>
      <c r="N13" s="523"/>
      <c r="O13" s="523"/>
      <c r="P13" s="523"/>
      <c r="Q13" s="523"/>
      <c r="R13" s="523"/>
      <c r="S13" s="523"/>
      <c r="T13" s="523"/>
      <c r="U13" s="523"/>
      <c r="V13" s="523"/>
      <c r="W13" s="523"/>
      <c r="X13" s="523"/>
      <c r="Y13" s="523"/>
      <c r="Z13" s="523"/>
      <c r="AA13" s="523"/>
      <c r="AB13" s="523"/>
      <c r="AC13" s="523"/>
      <c r="AD13" s="523"/>
    </row>
    <row r="14" spans="1:33" s="100" customFormat="1" ht="18" customHeight="1">
      <c r="A14" s="523" t="s">
        <v>301</v>
      </c>
      <c r="B14" s="523"/>
      <c r="C14" s="523"/>
      <c r="E14" s="524" t="s">
        <v>302</v>
      </c>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row>
    <row r="15" spans="1:33" s="100" customFormat="1" ht="18" customHeight="1">
      <c r="A15" s="523" t="s">
        <v>303</v>
      </c>
      <c r="B15" s="523"/>
      <c r="C15" s="523"/>
      <c r="E15" s="524" t="s">
        <v>304</v>
      </c>
      <c r="F15" s="524"/>
      <c r="G15" s="524"/>
      <c r="H15" s="524"/>
      <c r="I15" s="524"/>
      <c r="J15" s="524"/>
      <c r="K15" s="524"/>
      <c r="L15" s="524"/>
      <c r="M15" s="524"/>
      <c r="N15" s="524"/>
      <c r="O15" s="524"/>
      <c r="P15" s="524"/>
      <c r="Q15" s="524"/>
      <c r="R15" s="524"/>
      <c r="S15" s="524"/>
      <c r="T15" s="524"/>
      <c r="U15" s="524"/>
      <c r="V15" s="524"/>
      <c r="W15" s="524"/>
      <c r="X15" s="524"/>
      <c r="Y15" s="524"/>
      <c r="Z15" s="524"/>
      <c r="AA15" s="524"/>
      <c r="AB15" s="524"/>
      <c r="AC15" s="524"/>
      <c r="AD15" s="524"/>
      <c r="AE15" s="524"/>
      <c r="AF15" s="524"/>
      <c r="AG15" s="524"/>
    </row>
    <row r="16" ht="9.95" customHeight="1"/>
    <row r="17" spans="1:13" ht="16.5" customHeight="1">
      <c r="A17" s="103">
        <v>1</v>
      </c>
      <c r="B17" s="103" t="s">
        <v>305</v>
      </c>
      <c r="C17" s="103"/>
      <c r="D17" s="103"/>
      <c r="E17" s="103"/>
      <c r="M17" s="97" t="s">
        <v>306</v>
      </c>
    </row>
    <row r="18" spans="2:26" ht="16.5" customHeight="1">
      <c r="B18" s="503" t="s">
        <v>307</v>
      </c>
      <c r="C18" s="503"/>
      <c r="D18" s="97" t="s">
        <v>308</v>
      </c>
      <c r="Q18" s="503"/>
      <c r="R18" s="503"/>
      <c r="S18" s="503"/>
      <c r="T18" s="503"/>
      <c r="U18" s="503"/>
      <c r="V18" s="503"/>
      <c r="W18" s="503"/>
      <c r="X18" s="503"/>
      <c r="Y18" s="503" t="s">
        <v>309</v>
      </c>
      <c r="Z18" s="503"/>
    </row>
    <row r="19" spans="2:26" ht="16.5" customHeight="1">
      <c r="B19" s="503" t="s">
        <v>310</v>
      </c>
      <c r="C19" s="503"/>
      <c r="D19" s="97" t="s">
        <v>311</v>
      </c>
      <c r="M19" s="97" t="s">
        <v>312</v>
      </c>
      <c r="Q19" s="503"/>
      <c r="R19" s="503"/>
      <c r="S19" s="503"/>
      <c r="T19" s="503"/>
      <c r="U19" s="503"/>
      <c r="V19" s="503"/>
      <c r="W19" s="503"/>
      <c r="X19" s="503"/>
      <c r="Y19" s="503" t="s">
        <v>309</v>
      </c>
      <c r="Z19" s="503"/>
    </row>
    <row r="20" spans="2:26" ht="16.5" customHeight="1">
      <c r="B20" s="503" t="s">
        <v>313</v>
      </c>
      <c r="C20" s="503"/>
      <c r="D20" s="521" t="s">
        <v>293</v>
      </c>
      <c r="E20" s="521"/>
      <c r="F20" s="521"/>
      <c r="G20" s="521"/>
      <c r="H20" s="521"/>
      <c r="I20" s="521"/>
      <c r="J20" s="521"/>
      <c r="K20" s="521"/>
      <c r="L20" s="521"/>
      <c r="M20" s="97" t="s">
        <v>312</v>
      </c>
      <c r="Q20" s="503"/>
      <c r="R20" s="503"/>
      <c r="S20" s="503"/>
      <c r="T20" s="503"/>
      <c r="U20" s="503"/>
      <c r="V20" s="503"/>
      <c r="W20" s="503"/>
      <c r="X20" s="503"/>
      <c r="Y20" s="503" t="s">
        <v>309</v>
      </c>
      <c r="Z20" s="503"/>
    </row>
    <row r="21" spans="2:26" ht="16.5" customHeight="1">
      <c r="B21" s="503" t="s">
        <v>314</v>
      </c>
      <c r="C21" s="503"/>
      <c r="D21" s="521" t="s">
        <v>297</v>
      </c>
      <c r="E21" s="521"/>
      <c r="F21" s="521"/>
      <c r="G21" s="521"/>
      <c r="H21" s="521"/>
      <c r="I21" s="521"/>
      <c r="J21" s="521"/>
      <c r="K21" s="521"/>
      <c r="L21" s="521"/>
      <c r="M21" s="97" t="s">
        <v>312</v>
      </c>
      <c r="Q21" s="503"/>
      <c r="R21" s="503"/>
      <c r="S21" s="503"/>
      <c r="T21" s="503"/>
      <c r="U21" s="503"/>
      <c r="V21" s="503"/>
      <c r="W21" s="503"/>
      <c r="X21" s="503"/>
      <c r="Y21" s="503" t="s">
        <v>309</v>
      </c>
      <c r="Z21" s="503"/>
    </row>
    <row r="22" spans="2:28" ht="16.5" customHeight="1">
      <c r="B22" s="503" t="s">
        <v>315</v>
      </c>
      <c r="C22" s="503"/>
      <c r="D22" s="97" t="s">
        <v>316</v>
      </c>
      <c r="H22" s="97" t="s">
        <v>317</v>
      </c>
      <c r="Q22" s="503"/>
      <c r="R22" s="503"/>
      <c r="S22" s="503"/>
      <c r="T22" s="503"/>
      <c r="U22" s="503"/>
      <c r="V22" s="503"/>
      <c r="W22" s="503"/>
      <c r="X22" s="503"/>
      <c r="Y22" s="503" t="s">
        <v>309</v>
      </c>
      <c r="Z22" s="503"/>
      <c r="AA22" s="104"/>
      <c r="AB22" s="104"/>
    </row>
    <row r="23" spans="8:28" ht="16.5" customHeight="1">
      <c r="H23" s="97" t="s">
        <v>318</v>
      </c>
      <c r="Q23" s="503"/>
      <c r="R23" s="503"/>
      <c r="S23" s="503"/>
      <c r="T23" s="503"/>
      <c r="U23" s="503"/>
      <c r="V23" s="503"/>
      <c r="W23" s="503"/>
      <c r="X23" s="503"/>
      <c r="Y23" s="503" t="s">
        <v>309</v>
      </c>
      <c r="Z23" s="503"/>
      <c r="AA23" s="104"/>
      <c r="AB23" s="104"/>
    </row>
    <row r="24" spans="8:26" ht="16.5" customHeight="1">
      <c r="H24" s="97" t="s">
        <v>319</v>
      </c>
      <c r="Q24" s="503"/>
      <c r="R24" s="503"/>
      <c r="S24" s="503"/>
      <c r="T24" s="503"/>
      <c r="U24" s="503"/>
      <c r="V24" s="503"/>
      <c r="W24" s="503"/>
      <c r="X24" s="503"/>
      <c r="Y24" s="503" t="s">
        <v>309</v>
      </c>
      <c r="Z24" s="503"/>
    </row>
    <row r="25" spans="8:26" ht="16.5" customHeight="1">
      <c r="H25" s="97" t="s">
        <v>320</v>
      </c>
      <c r="Q25" s="503"/>
      <c r="R25" s="503"/>
      <c r="S25" s="503"/>
      <c r="T25" s="503"/>
      <c r="U25" s="503"/>
      <c r="V25" s="503"/>
      <c r="W25" s="503"/>
      <c r="X25" s="503"/>
      <c r="Y25" s="503" t="s">
        <v>309</v>
      </c>
      <c r="Z25" s="503"/>
    </row>
    <row r="26" spans="2:26" ht="16.5" customHeight="1">
      <c r="B26" s="503" t="s">
        <v>321</v>
      </c>
      <c r="C26" s="503"/>
      <c r="D26" s="97" t="s">
        <v>322</v>
      </c>
      <c r="Q26" s="503"/>
      <c r="R26" s="503"/>
      <c r="S26" s="503"/>
      <c r="T26" s="503"/>
      <c r="U26" s="503"/>
      <c r="V26" s="503"/>
      <c r="W26" s="503"/>
      <c r="X26" s="503"/>
      <c r="Y26" s="503" t="s">
        <v>309</v>
      </c>
      <c r="Z26" s="503"/>
    </row>
    <row r="27" spans="2:3" ht="9.95" customHeight="1">
      <c r="B27" s="503"/>
      <c r="C27" s="503"/>
    </row>
    <row r="28" spans="1:25" ht="16.5" customHeight="1">
      <c r="A28" s="103">
        <v>2</v>
      </c>
      <c r="B28" s="103" t="s">
        <v>323</v>
      </c>
      <c r="C28" s="103"/>
      <c r="S28" s="503"/>
      <c r="T28" s="503"/>
      <c r="U28" s="503"/>
      <c r="V28" s="503"/>
      <c r="W28" s="503"/>
      <c r="X28" s="503"/>
      <c r="Y28" s="503"/>
    </row>
    <row r="29" spans="2:34" ht="16.5" customHeight="1">
      <c r="B29" s="506" t="s">
        <v>324</v>
      </c>
      <c r="C29" s="507"/>
      <c r="D29" s="107" t="s">
        <v>325</v>
      </c>
      <c r="E29" s="107"/>
      <c r="F29" s="107"/>
      <c r="G29" s="107"/>
      <c r="L29" s="521" t="s">
        <v>326</v>
      </c>
      <c r="M29" s="521"/>
      <c r="N29" s="521"/>
      <c r="O29" s="521"/>
      <c r="P29" s="521"/>
      <c r="Q29" s="521"/>
      <c r="R29" s="521"/>
      <c r="S29" s="521"/>
      <c r="T29" s="521"/>
      <c r="U29" s="521"/>
      <c r="V29" s="521"/>
      <c r="W29" s="521"/>
      <c r="X29" s="521"/>
      <c r="Y29" s="521"/>
      <c r="Z29" s="521"/>
      <c r="AA29" s="521"/>
      <c r="AB29" s="521"/>
      <c r="AC29" s="521"/>
      <c r="AD29" s="521"/>
      <c r="AE29" s="521"/>
      <c r="AF29" s="521"/>
      <c r="AG29" s="521"/>
      <c r="AH29" s="521"/>
    </row>
    <row r="30" spans="3:33" s="108" customFormat="1" ht="16.5" customHeight="1">
      <c r="C30" s="522" t="str">
        <f aca="true" t="shared" si="0" ref="C30:C31">+D20</f>
        <v>組み合わせ左側チーム</v>
      </c>
      <c r="D30" s="522"/>
      <c r="E30" s="522"/>
      <c r="F30" s="522"/>
      <c r="G30" s="522"/>
      <c r="H30" s="522"/>
      <c r="I30" s="522"/>
      <c r="J30" s="522"/>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row>
    <row r="31" spans="3:34" s="108" customFormat="1" ht="16.5" customHeight="1">
      <c r="C31" s="522" t="str">
        <f t="shared" si="0"/>
        <v>組み合わせ右側チーム</v>
      </c>
      <c r="D31" s="522"/>
      <c r="E31" s="522"/>
      <c r="F31" s="522"/>
      <c r="G31" s="522"/>
      <c r="H31" s="522"/>
      <c r="I31" s="522"/>
      <c r="J31" s="522"/>
      <c r="K31" s="110"/>
      <c r="L31" s="110"/>
      <c r="M31" s="110"/>
      <c r="N31" s="110"/>
      <c r="O31" s="110"/>
      <c r="P31" s="110"/>
      <c r="Q31" s="109"/>
      <c r="R31" s="110"/>
      <c r="S31" s="110"/>
      <c r="T31" s="110"/>
      <c r="U31" s="110"/>
      <c r="V31" s="110"/>
      <c r="W31" s="110"/>
      <c r="X31" s="110"/>
      <c r="Y31" s="110"/>
      <c r="Z31" s="110"/>
      <c r="AA31" s="110"/>
      <c r="AB31" s="110"/>
      <c r="AC31" s="110"/>
      <c r="AD31" s="110"/>
      <c r="AE31" s="110"/>
      <c r="AF31" s="110"/>
      <c r="AG31" s="110"/>
      <c r="AH31" s="110"/>
    </row>
    <row r="32" spans="2:6" ht="16.5" customHeight="1">
      <c r="B32" s="506" t="s">
        <v>327</v>
      </c>
      <c r="C32" s="507"/>
      <c r="D32" s="107" t="s">
        <v>328</v>
      </c>
      <c r="E32" s="107"/>
      <c r="F32" s="107"/>
    </row>
    <row r="33" ht="9.95" customHeight="1"/>
    <row r="34" spans="2:7" ht="16.5" customHeight="1">
      <c r="B34" s="506" t="s">
        <v>329</v>
      </c>
      <c r="C34" s="507"/>
      <c r="D34" s="107" t="s">
        <v>330</v>
      </c>
      <c r="E34" s="107"/>
      <c r="F34" s="107"/>
      <c r="G34" s="107"/>
    </row>
    <row r="35" ht="9.95" customHeight="1"/>
    <row r="36" spans="2:5" ht="16.5" customHeight="1">
      <c r="B36" s="506" t="s">
        <v>331</v>
      </c>
      <c r="C36" s="507"/>
      <c r="D36" s="107" t="s">
        <v>332</v>
      </c>
      <c r="E36" s="107"/>
    </row>
    <row r="37" spans="2:35" ht="22" customHeight="1">
      <c r="B37" s="111" t="s">
        <v>15</v>
      </c>
      <c r="C37" s="520" t="s">
        <v>333</v>
      </c>
      <c r="D37" s="520"/>
      <c r="E37" s="520"/>
      <c r="F37" s="520"/>
      <c r="G37" s="520"/>
      <c r="H37" s="520"/>
      <c r="I37" s="520"/>
      <c r="J37" s="520"/>
      <c r="K37" s="520"/>
      <c r="L37" s="520"/>
      <c r="M37" s="520"/>
      <c r="N37" s="520"/>
      <c r="O37" s="520"/>
      <c r="P37" s="520"/>
      <c r="Q37" s="520"/>
      <c r="R37" s="520"/>
      <c r="S37" s="520"/>
      <c r="T37" s="520"/>
      <c r="U37" s="520"/>
      <c r="V37" s="520"/>
      <c r="W37" s="520"/>
      <c r="X37" s="520"/>
      <c r="Y37" s="520"/>
      <c r="Z37" s="520"/>
      <c r="AA37" s="520"/>
      <c r="AB37" s="520"/>
      <c r="AC37" s="520"/>
      <c r="AD37" s="520"/>
      <c r="AE37" s="520"/>
      <c r="AF37" s="520"/>
      <c r="AG37" s="520"/>
      <c r="AH37" s="520"/>
      <c r="AI37" s="520"/>
    </row>
    <row r="38" spans="2:35" ht="22" customHeight="1">
      <c r="B38" s="111"/>
      <c r="C38" s="520"/>
      <c r="D38" s="520"/>
      <c r="E38" s="520"/>
      <c r="F38" s="520"/>
      <c r="G38" s="520"/>
      <c r="H38" s="520"/>
      <c r="I38" s="520"/>
      <c r="J38" s="520"/>
      <c r="K38" s="520"/>
      <c r="L38" s="520"/>
      <c r="M38" s="520"/>
      <c r="N38" s="520"/>
      <c r="O38" s="520"/>
      <c r="P38" s="520"/>
      <c r="Q38" s="520"/>
      <c r="R38" s="520"/>
      <c r="S38" s="520"/>
      <c r="T38" s="520"/>
      <c r="U38" s="520"/>
      <c r="V38" s="520"/>
      <c r="W38" s="520"/>
      <c r="X38" s="520"/>
      <c r="Y38" s="520"/>
      <c r="Z38" s="520"/>
      <c r="AA38" s="520"/>
      <c r="AB38" s="520"/>
      <c r="AC38" s="520"/>
      <c r="AD38" s="520"/>
      <c r="AE38" s="520"/>
      <c r="AF38" s="520"/>
      <c r="AG38" s="520"/>
      <c r="AH38" s="520"/>
      <c r="AI38" s="520"/>
    </row>
    <row r="39" spans="3:35" ht="22" customHeight="1">
      <c r="C39" s="520"/>
      <c r="D39" s="520"/>
      <c r="E39" s="520"/>
      <c r="F39" s="520"/>
      <c r="G39" s="520"/>
      <c r="H39" s="520"/>
      <c r="I39" s="520"/>
      <c r="J39" s="520"/>
      <c r="K39" s="520"/>
      <c r="L39" s="520"/>
      <c r="M39" s="520"/>
      <c r="N39" s="520"/>
      <c r="O39" s="520"/>
      <c r="P39" s="520"/>
      <c r="Q39" s="520"/>
      <c r="R39" s="520"/>
      <c r="S39" s="520"/>
      <c r="T39" s="520"/>
      <c r="U39" s="520"/>
      <c r="V39" s="520"/>
      <c r="W39" s="520"/>
      <c r="X39" s="520"/>
      <c r="Y39" s="520"/>
      <c r="Z39" s="520"/>
      <c r="AA39" s="520"/>
      <c r="AB39" s="520"/>
      <c r="AC39" s="520"/>
      <c r="AD39" s="520"/>
      <c r="AE39" s="520"/>
      <c r="AF39" s="520"/>
      <c r="AG39" s="520"/>
      <c r="AH39" s="520"/>
      <c r="AI39" s="520"/>
    </row>
    <row r="40" spans="2:35" ht="22" customHeight="1">
      <c r="B40" s="111" t="s">
        <v>15</v>
      </c>
      <c r="C40" s="516" t="s">
        <v>334</v>
      </c>
      <c r="D40" s="516"/>
      <c r="E40" s="516"/>
      <c r="F40" s="516"/>
      <c r="G40" s="516"/>
      <c r="H40" s="516"/>
      <c r="I40" s="516"/>
      <c r="J40" s="516"/>
      <c r="K40" s="516"/>
      <c r="L40" s="516"/>
      <c r="M40" s="516"/>
      <c r="N40" s="516"/>
      <c r="O40" s="516"/>
      <c r="P40" s="516"/>
      <c r="Q40" s="516"/>
      <c r="R40" s="516"/>
      <c r="S40" s="516"/>
      <c r="T40" s="516"/>
      <c r="U40" s="516"/>
      <c r="V40" s="516"/>
      <c r="W40" s="516"/>
      <c r="X40" s="516"/>
      <c r="Y40" s="516"/>
      <c r="Z40" s="516"/>
      <c r="AA40" s="516"/>
      <c r="AB40" s="516"/>
      <c r="AC40" s="516"/>
      <c r="AD40" s="516"/>
      <c r="AE40" s="516"/>
      <c r="AF40" s="516"/>
      <c r="AG40" s="516"/>
      <c r="AH40" s="516"/>
      <c r="AI40" s="516"/>
    </row>
    <row r="41" spans="3:35" ht="22" customHeight="1">
      <c r="C41" s="516"/>
      <c r="D41" s="516"/>
      <c r="E41" s="516"/>
      <c r="F41" s="516"/>
      <c r="G41" s="516"/>
      <c r="H41" s="516"/>
      <c r="I41" s="516"/>
      <c r="J41" s="516"/>
      <c r="K41" s="516"/>
      <c r="L41" s="516"/>
      <c r="M41" s="516"/>
      <c r="N41" s="516"/>
      <c r="O41" s="516"/>
      <c r="P41" s="516"/>
      <c r="Q41" s="516"/>
      <c r="R41" s="516"/>
      <c r="S41" s="516"/>
      <c r="T41" s="516"/>
      <c r="U41" s="516"/>
      <c r="V41" s="516"/>
      <c r="W41" s="516"/>
      <c r="X41" s="516"/>
      <c r="Y41" s="516"/>
      <c r="Z41" s="516"/>
      <c r="AA41" s="516"/>
      <c r="AB41" s="516"/>
      <c r="AC41" s="516"/>
      <c r="AD41" s="516"/>
      <c r="AE41" s="516"/>
      <c r="AF41" s="516"/>
      <c r="AG41" s="516"/>
      <c r="AH41" s="516"/>
      <c r="AI41" s="516"/>
    </row>
    <row r="42" spans="3:35" ht="22" customHeight="1">
      <c r="C42" s="516"/>
      <c r="D42" s="516"/>
      <c r="E42" s="516"/>
      <c r="F42" s="516"/>
      <c r="G42" s="516"/>
      <c r="H42" s="516"/>
      <c r="I42" s="516"/>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6"/>
    </row>
    <row r="43" spans="2:35" ht="16.5" customHeight="1">
      <c r="B43" s="97" t="s">
        <v>15</v>
      </c>
      <c r="C43" s="515" t="s">
        <v>335</v>
      </c>
      <c r="D43" s="515"/>
      <c r="E43" s="515"/>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515"/>
      <c r="AI43" s="515"/>
    </row>
    <row r="44" spans="2:26" ht="16.5" customHeight="1">
      <c r="B44" s="97" t="s">
        <v>15</v>
      </c>
      <c r="C44" s="112" t="s">
        <v>336</v>
      </c>
      <c r="E44" s="112"/>
      <c r="F44" s="112"/>
      <c r="G44" s="112"/>
      <c r="H44" s="112"/>
      <c r="I44" s="112"/>
      <c r="J44" s="112"/>
      <c r="K44" s="112"/>
      <c r="L44" s="112"/>
      <c r="M44" s="112"/>
      <c r="N44" s="112"/>
      <c r="O44" s="112" t="s">
        <v>337</v>
      </c>
      <c r="P44" s="112"/>
      <c r="Q44" s="112"/>
      <c r="R44" s="112"/>
      <c r="S44" s="112"/>
      <c r="T44" s="112"/>
      <c r="U44" s="112"/>
      <c r="V44" s="112"/>
      <c r="W44" s="112"/>
      <c r="X44" s="112"/>
      <c r="Y44" s="112"/>
      <c r="Z44" s="112"/>
    </row>
    <row r="45" spans="2:6" ht="16.5" customHeight="1">
      <c r="B45" s="506" t="s">
        <v>338</v>
      </c>
      <c r="C45" s="507"/>
      <c r="D45" s="107" t="s">
        <v>339</v>
      </c>
      <c r="E45" s="107"/>
      <c r="F45" s="107"/>
    </row>
    <row r="46" spans="2:33" ht="23.25" customHeight="1">
      <c r="B46" s="517" t="s">
        <v>340</v>
      </c>
      <c r="C46" s="519"/>
      <c r="D46" s="519"/>
      <c r="E46" s="519"/>
      <c r="F46" s="519"/>
      <c r="G46" s="519"/>
      <c r="H46" s="519"/>
      <c r="I46" s="519"/>
      <c r="J46" s="519"/>
      <c r="K46" s="519"/>
      <c r="L46" s="519"/>
      <c r="M46" s="519"/>
      <c r="N46" s="519"/>
      <c r="O46" s="519"/>
      <c r="P46" s="519"/>
      <c r="Q46" s="519"/>
      <c r="R46" s="519"/>
      <c r="S46" s="519"/>
      <c r="T46" s="519"/>
      <c r="U46" s="519"/>
      <c r="V46" s="519"/>
      <c r="W46" s="519"/>
      <c r="X46" s="519"/>
      <c r="Y46" s="519"/>
      <c r="Z46" s="519"/>
      <c r="AA46" s="519"/>
      <c r="AB46" s="519"/>
      <c r="AC46" s="519"/>
      <c r="AD46" s="519"/>
      <c r="AE46" s="519"/>
      <c r="AF46" s="519"/>
      <c r="AG46" s="519"/>
    </row>
    <row r="47" spans="2:33" ht="23.25" customHeight="1">
      <c r="B47" s="519"/>
      <c r="C47" s="519"/>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row>
    <row r="48" spans="2:33" ht="23.25" customHeight="1">
      <c r="B48" s="519"/>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row>
    <row r="49" spans="2:34" ht="16.5" customHeight="1">
      <c r="B49" s="506" t="s">
        <v>341</v>
      </c>
      <c r="C49" s="507"/>
      <c r="D49" s="107" t="s">
        <v>342</v>
      </c>
      <c r="E49" s="107"/>
      <c r="O49" s="113"/>
      <c r="P49" s="113"/>
      <c r="Q49" s="113"/>
      <c r="R49" s="113"/>
      <c r="S49" s="113"/>
      <c r="T49" s="113"/>
      <c r="U49" s="113"/>
      <c r="V49" s="113"/>
      <c r="W49" s="113"/>
      <c r="X49" s="113"/>
      <c r="Y49" s="113"/>
      <c r="Z49" s="113"/>
      <c r="AA49" s="113"/>
      <c r="AB49" s="113"/>
      <c r="AC49" s="113"/>
      <c r="AD49" s="113"/>
      <c r="AE49" s="113"/>
      <c r="AF49" s="113"/>
      <c r="AG49" s="113"/>
      <c r="AH49" s="113"/>
    </row>
    <row r="50" spans="2:33" ht="18" customHeight="1">
      <c r="B50" s="510" t="s">
        <v>343</v>
      </c>
      <c r="C50" s="510"/>
      <c r="D50" s="510"/>
      <c r="E50" s="510"/>
      <c r="F50" s="510"/>
      <c r="G50" s="510"/>
      <c r="H50" s="510"/>
      <c r="I50" s="510"/>
      <c r="J50" s="510"/>
      <c r="K50" s="510"/>
      <c r="L50" s="510"/>
      <c r="M50" s="510"/>
      <c r="N50" s="510"/>
      <c r="O50" s="510"/>
      <c r="P50" s="510"/>
      <c r="Q50" s="510"/>
      <c r="R50" s="510"/>
      <c r="S50" s="510"/>
      <c r="T50" s="510"/>
      <c r="U50" s="510"/>
      <c r="V50" s="510"/>
      <c r="W50" s="510"/>
      <c r="X50" s="510"/>
      <c r="Y50" s="510"/>
      <c r="Z50" s="510"/>
      <c r="AA50" s="510"/>
      <c r="AB50" s="510"/>
      <c r="AC50" s="510"/>
      <c r="AD50" s="510"/>
      <c r="AE50" s="510"/>
      <c r="AF50" s="510"/>
      <c r="AG50" s="510"/>
    </row>
    <row r="51" spans="2:33" ht="18" customHeight="1">
      <c r="B51" s="510"/>
      <c r="C51" s="510"/>
      <c r="D51" s="510"/>
      <c r="E51" s="510"/>
      <c r="F51" s="510"/>
      <c r="G51" s="510"/>
      <c r="H51" s="510"/>
      <c r="I51" s="510"/>
      <c r="J51" s="510"/>
      <c r="K51" s="510"/>
      <c r="L51" s="510"/>
      <c r="M51" s="510"/>
      <c r="N51" s="510"/>
      <c r="O51" s="510"/>
      <c r="P51" s="510"/>
      <c r="Q51" s="510"/>
      <c r="R51" s="510"/>
      <c r="S51" s="510"/>
      <c r="T51" s="510"/>
      <c r="U51" s="510"/>
      <c r="V51" s="510"/>
      <c r="W51" s="510"/>
      <c r="X51" s="510"/>
      <c r="Y51" s="510"/>
      <c r="Z51" s="510"/>
      <c r="AA51" s="510"/>
      <c r="AB51" s="510"/>
      <c r="AC51" s="510"/>
      <c r="AD51" s="510"/>
      <c r="AE51" s="510"/>
      <c r="AF51" s="510"/>
      <c r="AG51" s="510"/>
    </row>
    <row r="52" spans="2:33" ht="18" customHeight="1">
      <c r="B52" s="510"/>
      <c r="C52" s="510"/>
      <c r="D52" s="510"/>
      <c r="E52" s="510"/>
      <c r="F52" s="510"/>
      <c r="G52" s="510"/>
      <c r="H52" s="510"/>
      <c r="I52" s="510"/>
      <c r="J52" s="510"/>
      <c r="K52" s="510"/>
      <c r="L52" s="510"/>
      <c r="M52" s="510"/>
      <c r="N52" s="510"/>
      <c r="O52" s="510"/>
      <c r="P52" s="510"/>
      <c r="Q52" s="510"/>
      <c r="R52" s="510"/>
      <c r="S52" s="510"/>
      <c r="T52" s="510"/>
      <c r="U52" s="510"/>
      <c r="V52" s="510"/>
      <c r="W52" s="510"/>
      <c r="X52" s="510"/>
      <c r="Y52" s="510"/>
      <c r="Z52" s="510"/>
      <c r="AA52" s="510"/>
      <c r="AB52" s="510"/>
      <c r="AC52" s="510"/>
      <c r="AD52" s="510"/>
      <c r="AE52" s="510"/>
      <c r="AF52" s="510"/>
      <c r="AG52" s="510"/>
    </row>
    <row r="53" spans="2:33" ht="18" customHeight="1">
      <c r="B53" s="510"/>
      <c r="C53" s="510"/>
      <c r="D53" s="510"/>
      <c r="E53" s="510"/>
      <c r="F53" s="510"/>
      <c r="G53" s="510"/>
      <c r="H53" s="510"/>
      <c r="I53" s="510"/>
      <c r="J53" s="510"/>
      <c r="K53" s="510"/>
      <c r="L53" s="510"/>
      <c r="M53" s="510"/>
      <c r="N53" s="510"/>
      <c r="O53" s="510"/>
      <c r="P53" s="510"/>
      <c r="Q53" s="510"/>
      <c r="R53" s="510"/>
      <c r="S53" s="510"/>
      <c r="T53" s="510"/>
      <c r="U53" s="510"/>
      <c r="V53" s="510"/>
      <c r="W53" s="510"/>
      <c r="X53" s="510"/>
      <c r="Y53" s="510"/>
      <c r="Z53" s="510"/>
      <c r="AA53" s="510"/>
      <c r="AB53" s="510"/>
      <c r="AC53" s="510"/>
      <c r="AD53" s="510"/>
      <c r="AE53" s="510"/>
      <c r="AF53" s="510"/>
      <c r="AG53" s="510"/>
    </row>
    <row r="54" spans="2:33" ht="18" customHeight="1">
      <c r="B54" s="510"/>
      <c r="C54" s="510"/>
      <c r="D54" s="510"/>
      <c r="E54" s="510"/>
      <c r="F54" s="510"/>
      <c r="G54" s="510"/>
      <c r="H54" s="510"/>
      <c r="I54" s="510"/>
      <c r="J54" s="510"/>
      <c r="K54" s="510"/>
      <c r="L54" s="510"/>
      <c r="M54" s="510"/>
      <c r="N54" s="510"/>
      <c r="O54" s="510"/>
      <c r="P54" s="510"/>
      <c r="Q54" s="510"/>
      <c r="R54" s="510"/>
      <c r="S54" s="510"/>
      <c r="T54" s="510"/>
      <c r="U54" s="510"/>
      <c r="V54" s="510"/>
      <c r="W54" s="510"/>
      <c r="X54" s="510"/>
      <c r="Y54" s="510"/>
      <c r="Z54" s="510"/>
      <c r="AA54" s="510"/>
      <c r="AB54" s="510"/>
      <c r="AC54" s="510"/>
      <c r="AD54" s="510"/>
      <c r="AE54" s="510"/>
      <c r="AF54" s="510"/>
      <c r="AG54" s="510"/>
    </row>
    <row r="55" spans="2:5" ht="16.5" customHeight="1">
      <c r="B55" s="506" t="s">
        <v>344</v>
      </c>
      <c r="C55" s="507"/>
      <c r="D55" s="107" t="s">
        <v>345</v>
      </c>
      <c r="E55" s="107"/>
    </row>
    <row r="56" spans="3:34" ht="23.25" customHeight="1">
      <c r="C56" s="517" t="s">
        <v>346</v>
      </c>
      <c r="D56" s="517"/>
      <c r="E56" s="517"/>
      <c r="F56" s="517"/>
      <c r="G56" s="517"/>
      <c r="H56" s="517"/>
      <c r="I56" s="517"/>
      <c r="J56" s="517"/>
      <c r="K56" s="517"/>
      <c r="L56" s="517"/>
      <c r="M56" s="517"/>
      <c r="N56" s="517"/>
      <c r="O56" s="517"/>
      <c r="P56" s="517"/>
      <c r="Q56" s="517"/>
      <c r="R56" s="517"/>
      <c r="S56" s="517"/>
      <c r="T56" s="517"/>
      <c r="U56" s="517"/>
      <c r="V56" s="517"/>
      <c r="W56" s="517"/>
      <c r="X56" s="517"/>
      <c r="Y56" s="517"/>
      <c r="Z56" s="517"/>
      <c r="AA56" s="517"/>
      <c r="AB56" s="517"/>
      <c r="AC56" s="517"/>
      <c r="AD56" s="517"/>
      <c r="AE56" s="517"/>
      <c r="AF56" s="517"/>
      <c r="AG56" s="517"/>
      <c r="AH56" s="517"/>
    </row>
    <row r="57" spans="3:34" ht="23.25" customHeight="1">
      <c r="C57" s="517"/>
      <c r="D57" s="517"/>
      <c r="E57" s="517"/>
      <c r="F57" s="517"/>
      <c r="G57" s="517"/>
      <c r="H57" s="517"/>
      <c r="I57" s="517"/>
      <c r="J57" s="517"/>
      <c r="K57" s="517"/>
      <c r="L57" s="517"/>
      <c r="M57" s="517"/>
      <c r="N57" s="517"/>
      <c r="O57" s="517"/>
      <c r="P57" s="517"/>
      <c r="Q57" s="517"/>
      <c r="R57" s="517"/>
      <c r="S57" s="517"/>
      <c r="T57" s="517"/>
      <c r="U57" s="517"/>
      <c r="V57" s="517"/>
      <c r="W57" s="517"/>
      <c r="X57" s="517"/>
      <c r="Y57" s="517"/>
      <c r="Z57" s="517"/>
      <c r="AA57" s="517"/>
      <c r="AB57" s="517"/>
      <c r="AC57" s="517"/>
      <c r="AD57" s="517"/>
      <c r="AE57" s="517"/>
      <c r="AF57" s="517"/>
      <c r="AG57" s="517"/>
      <c r="AH57" s="517"/>
    </row>
    <row r="58" spans="2:7" ht="16.5" customHeight="1">
      <c r="B58" s="506" t="s">
        <v>347</v>
      </c>
      <c r="C58" s="507"/>
      <c r="D58" s="107" t="s">
        <v>348</v>
      </c>
      <c r="E58" s="107"/>
      <c r="F58" s="107"/>
      <c r="G58" s="107"/>
    </row>
    <row r="59" ht="16.5" customHeight="1">
      <c r="B59" s="97" t="s">
        <v>349</v>
      </c>
    </row>
    <row r="60" spans="2:33" ht="16.5" customHeight="1">
      <c r="B60" s="97" t="s">
        <v>15</v>
      </c>
      <c r="C60" s="97" t="s">
        <v>350</v>
      </c>
      <c r="F60" s="112" t="s">
        <v>351</v>
      </c>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row>
    <row r="61" spans="2:34" ht="16.5" customHeight="1">
      <c r="B61" s="97" t="s">
        <v>15</v>
      </c>
      <c r="C61" s="97" t="s">
        <v>352</v>
      </c>
      <c r="F61" s="518" t="s">
        <v>353</v>
      </c>
      <c r="G61" s="518"/>
      <c r="H61" s="518"/>
      <c r="I61" s="518"/>
      <c r="J61" s="518"/>
      <c r="K61" s="518"/>
      <c r="L61" s="518"/>
      <c r="M61" s="518"/>
      <c r="N61" s="518"/>
      <c r="O61" s="518"/>
      <c r="P61" s="518"/>
      <c r="Q61" s="518"/>
      <c r="R61" s="518"/>
      <c r="S61" s="518"/>
      <c r="T61" s="518"/>
      <c r="U61" s="518"/>
      <c r="V61" s="518"/>
      <c r="W61" s="518"/>
      <c r="X61" s="518"/>
      <c r="Y61" s="518"/>
      <c r="Z61" s="518"/>
      <c r="AA61" s="518"/>
      <c r="AB61" s="518"/>
      <c r="AC61" s="518"/>
      <c r="AD61" s="518"/>
      <c r="AE61" s="518"/>
      <c r="AF61" s="518"/>
      <c r="AG61" s="518"/>
      <c r="AH61" s="114"/>
    </row>
    <row r="62" spans="6:34" ht="16.5" customHeight="1">
      <c r="F62" s="518" t="s">
        <v>354</v>
      </c>
      <c r="G62" s="518"/>
      <c r="H62" s="518"/>
      <c r="I62" s="518"/>
      <c r="J62" s="518"/>
      <c r="K62" s="518"/>
      <c r="L62" s="518"/>
      <c r="M62" s="518"/>
      <c r="N62" s="518"/>
      <c r="O62" s="518"/>
      <c r="P62" s="518"/>
      <c r="Q62" s="518"/>
      <c r="R62" s="518"/>
      <c r="S62" s="518"/>
      <c r="T62" s="518"/>
      <c r="U62" s="518"/>
      <c r="V62" s="518"/>
      <c r="W62" s="518"/>
      <c r="X62" s="518"/>
      <c r="Y62" s="518"/>
      <c r="Z62" s="518"/>
      <c r="AA62" s="518"/>
      <c r="AB62" s="518"/>
      <c r="AC62" s="518"/>
      <c r="AD62" s="518"/>
      <c r="AE62" s="518"/>
      <c r="AF62" s="518"/>
      <c r="AG62" s="518"/>
      <c r="AH62" s="114"/>
    </row>
    <row r="63" spans="2:15" ht="16.5" customHeight="1">
      <c r="B63" s="97" t="s">
        <v>15</v>
      </c>
      <c r="C63" s="97" t="s">
        <v>355</v>
      </c>
      <c r="J63" s="514" t="s">
        <v>356</v>
      </c>
      <c r="K63" s="514"/>
      <c r="L63" s="514"/>
      <c r="M63" s="514"/>
      <c r="N63" s="514"/>
      <c r="O63" s="514"/>
    </row>
    <row r="64" ht="16.5" customHeight="1">
      <c r="B64" s="97" t="s">
        <v>357</v>
      </c>
    </row>
    <row r="65" spans="2:6" ht="16.5" customHeight="1">
      <c r="B65" s="97" t="s">
        <v>15</v>
      </c>
      <c r="C65" s="97" t="s">
        <v>350</v>
      </c>
      <c r="F65" s="97" t="s">
        <v>358</v>
      </c>
    </row>
    <row r="66" spans="2:15" ht="16.5" customHeight="1">
      <c r="B66" s="97" t="s">
        <v>15</v>
      </c>
      <c r="C66" s="97" t="s">
        <v>355</v>
      </c>
      <c r="J66" s="514" t="s">
        <v>359</v>
      </c>
      <c r="K66" s="514"/>
      <c r="L66" s="514"/>
      <c r="M66" s="514"/>
      <c r="N66" s="514"/>
      <c r="O66" s="514"/>
    </row>
    <row r="67" spans="2:33" ht="16.5" customHeight="1">
      <c r="B67" s="97" t="s">
        <v>15</v>
      </c>
      <c r="C67" s="97" t="s">
        <v>360</v>
      </c>
      <c r="F67" s="515" t="s">
        <v>361</v>
      </c>
      <c r="G67" s="515"/>
      <c r="H67" s="515"/>
      <c r="I67" s="515"/>
      <c r="J67" s="515"/>
      <c r="K67" s="515"/>
      <c r="L67" s="515"/>
      <c r="M67" s="515"/>
      <c r="N67" s="515"/>
      <c r="O67" s="515"/>
      <c r="P67" s="515"/>
      <c r="Q67" s="515"/>
      <c r="R67" s="515"/>
      <c r="S67" s="515"/>
      <c r="T67" s="515"/>
      <c r="U67" s="515"/>
      <c r="V67" s="515"/>
      <c r="W67" s="515"/>
      <c r="X67" s="515"/>
      <c r="Y67" s="515"/>
      <c r="Z67" s="515"/>
      <c r="AA67" s="515"/>
      <c r="AB67" s="515"/>
      <c r="AC67" s="515"/>
      <c r="AD67" s="515"/>
      <c r="AE67" s="515"/>
      <c r="AF67" s="515"/>
      <c r="AG67" s="515"/>
    </row>
    <row r="68" spans="6:33" ht="16.5" customHeight="1">
      <c r="F68" s="515"/>
      <c r="G68" s="515"/>
      <c r="H68" s="515"/>
      <c r="I68" s="515"/>
      <c r="J68" s="515"/>
      <c r="K68" s="515"/>
      <c r="L68" s="515"/>
      <c r="M68" s="515"/>
      <c r="N68" s="515"/>
      <c r="O68" s="515"/>
      <c r="P68" s="515"/>
      <c r="Q68" s="515"/>
      <c r="R68" s="515"/>
      <c r="S68" s="515"/>
      <c r="T68" s="515"/>
      <c r="U68" s="515"/>
      <c r="V68" s="515"/>
      <c r="W68" s="515"/>
      <c r="X68" s="515"/>
      <c r="Y68" s="515"/>
      <c r="Z68" s="515"/>
      <c r="AA68" s="515"/>
      <c r="AB68" s="515"/>
      <c r="AC68" s="515"/>
      <c r="AD68" s="515"/>
      <c r="AE68" s="515"/>
      <c r="AF68" s="515"/>
      <c r="AG68" s="515"/>
    </row>
    <row r="69" spans="2:5" ht="16.5" customHeight="1">
      <c r="B69" s="506" t="s">
        <v>362</v>
      </c>
      <c r="C69" s="507"/>
      <c r="D69" s="107" t="s">
        <v>363</v>
      </c>
      <c r="E69" s="107"/>
    </row>
    <row r="70" spans="3:36" ht="16.5" customHeight="1">
      <c r="C70" s="115" t="s">
        <v>15</v>
      </c>
      <c r="D70" s="516" t="s">
        <v>364</v>
      </c>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16"/>
      <c r="AE70" s="516"/>
      <c r="AF70" s="516"/>
      <c r="AG70" s="516"/>
      <c r="AH70" s="516"/>
      <c r="AI70" s="516"/>
      <c r="AJ70" s="516"/>
    </row>
    <row r="71" spans="3:36" ht="16.5" customHeight="1">
      <c r="C71" s="115"/>
      <c r="D71" s="516"/>
      <c r="E71" s="516"/>
      <c r="F71" s="516"/>
      <c r="G71" s="516"/>
      <c r="H71" s="516"/>
      <c r="I71" s="516"/>
      <c r="J71" s="516"/>
      <c r="K71" s="516"/>
      <c r="L71" s="516"/>
      <c r="M71" s="516"/>
      <c r="N71" s="516"/>
      <c r="O71" s="516"/>
      <c r="P71" s="516"/>
      <c r="Q71" s="516"/>
      <c r="R71" s="516"/>
      <c r="S71" s="516"/>
      <c r="T71" s="516"/>
      <c r="U71" s="516"/>
      <c r="V71" s="516"/>
      <c r="W71" s="516"/>
      <c r="X71" s="516"/>
      <c r="Y71" s="516"/>
      <c r="Z71" s="516"/>
      <c r="AA71" s="516"/>
      <c r="AB71" s="516"/>
      <c r="AC71" s="516"/>
      <c r="AD71" s="516"/>
      <c r="AE71" s="516"/>
      <c r="AF71" s="516"/>
      <c r="AG71" s="516"/>
      <c r="AH71" s="516"/>
      <c r="AI71" s="516"/>
      <c r="AJ71" s="516"/>
    </row>
    <row r="72" spans="3:36" ht="16.5" customHeight="1">
      <c r="C72" s="115" t="s">
        <v>15</v>
      </c>
      <c r="D72" s="516" t="s">
        <v>365</v>
      </c>
      <c r="E72" s="516"/>
      <c r="F72" s="516"/>
      <c r="G72" s="516"/>
      <c r="H72" s="516"/>
      <c r="I72" s="516"/>
      <c r="J72" s="516"/>
      <c r="K72" s="516"/>
      <c r="L72" s="516"/>
      <c r="M72" s="516"/>
      <c r="N72" s="516"/>
      <c r="O72" s="516"/>
      <c r="P72" s="516"/>
      <c r="Q72" s="516"/>
      <c r="R72" s="516"/>
      <c r="S72" s="516"/>
      <c r="T72" s="516"/>
      <c r="U72" s="516"/>
      <c r="V72" s="516"/>
      <c r="W72" s="516"/>
      <c r="X72" s="516"/>
      <c r="Y72" s="516"/>
      <c r="Z72" s="516"/>
      <c r="AA72" s="516"/>
      <c r="AB72" s="516"/>
      <c r="AC72" s="516"/>
      <c r="AD72" s="516"/>
      <c r="AE72" s="516"/>
      <c r="AF72" s="516"/>
      <c r="AG72" s="516"/>
      <c r="AH72" s="516"/>
      <c r="AI72" s="516"/>
      <c r="AJ72" s="516"/>
    </row>
    <row r="73" spans="3:36" ht="16.5" customHeight="1">
      <c r="C73" s="115"/>
      <c r="D73" s="516"/>
      <c r="E73" s="516"/>
      <c r="F73" s="516"/>
      <c r="G73" s="516"/>
      <c r="H73" s="516"/>
      <c r="I73" s="516"/>
      <c r="J73" s="516"/>
      <c r="K73" s="516"/>
      <c r="L73" s="516"/>
      <c r="M73" s="516"/>
      <c r="N73" s="516"/>
      <c r="O73" s="516"/>
      <c r="P73" s="516"/>
      <c r="Q73" s="516"/>
      <c r="R73" s="516"/>
      <c r="S73" s="516"/>
      <c r="T73" s="516"/>
      <c r="U73" s="516"/>
      <c r="V73" s="516"/>
      <c r="W73" s="516"/>
      <c r="X73" s="516"/>
      <c r="Y73" s="516"/>
      <c r="Z73" s="516"/>
      <c r="AA73" s="516"/>
      <c r="AB73" s="516"/>
      <c r="AC73" s="516"/>
      <c r="AD73" s="516"/>
      <c r="AE73" s="516"/>
      <c r="AF73" s="516"/>
      <c r="AG73" s="516"/>
      <c r="AH73" s="516"/>
      <c r="AI73" s="516"/>
      <c r="AJ73" s="516"/>
    </row>
    <row r="74" spans="3:36" ht="16.5" customHeight="1">
      <c r="C74" s="116"/>
      <c r="D74" s="516"/>
      <c r="E74" s="516"/>
      <c r="F74" s="516"/>
      <c r="G74" s="516"/>
      <c r="H74" s="516"/>
      <c r="I74" s="516"/>
      <c r="J74" s="516"/>
      <c r="K74" s="516"/>
      <c r="L74" s="516"/>
      <c r="M74" s="516"/>
      <c r="N74" s="516"/>
      <c r="O74" s="516"/>
      <c r="P74" s="516"/>
      <c r="Q74" s="516"/>
      <c r="R74" s="516"/>
      <c r="S74" s="516"/>
      <c r="T74" s="516"/>
      <c r="U74" s="516"/>
      <c r="V74" s="516"/>
      <c r="W74" s="516"/>
      <c r="X74" s="516"/>
      <c r="Y74" s="516"/>
      <c r="Z74" s="516"/>
      <c r="AA74" s="516"/>
      <c r="AB74" s="516"/>
      <c r="AC74" s="516"/>
      <c r="AD74" s="516"/>
      <c r="AE74" s="516"/>
      <c r="AF74" s="516"/>
      <c r="AG74" s="516"/>
      <c r="AH74" s="516"/>
      <c r="AI74" s="516"/>
      <c r="AJ74" s="516"/>
    </row>
    <row r="75" spans="2:5" ht="16.5" customHeight="1">
      <c r="B75" s="506" t="s">
        <v>366</v>
      </c>
      <c r="C75" s="507"/>
      <c r="D75" s="107" t="s">
        <v>367</v>
      </c>
      <c r="E75" s="107"/>
    </row>
    <row r="76" spans="2:33" s="117" customFormat="1" ht="16.5" customHeight="1">
      <c r="B76" s="118" t="s">
        <v>15</v>
      </c>
      <c r="C76" s="512" t="s">
        <v>368</v>
      </c>
      <c r="D76" s="512"/>
      <c r="E76" s="512"/>
      <c r="F76" s="512"/>
      <c r="G76" s="512"/>
      <c r="H76" s="512"/>
      <c r="I76" s="512"/>
      <c r="J76" s="512"/>
      <c r="K76" s="512"/>
      <c r="L76" s="512"/>
      <c r="M76" s="512"/>
      <c r="N76" s="512"/>
      <c r="O76" s="512"/>
      <c r="P76" s="512"/>
      <c r="Q76" s="512"/>
      <c r="R76" s="512"/>
      <c r="S76" s="512"/>
      <c r="T76" s="512"/>
      <c r="U76" s="512"/>
      <c r="V76" s="512"/>
      <c r="W76" s="512"/>
      <c r="X76" s="512"/>
      <c r="Y76" s="512"/>
      <c r="Z76" s="512"/>
      <c r="AA76" s="512"/>
      <c r="AB76" s="512"/>
      <c r="AC76" s="512"/>
      <c r="AD76" s="512"/>
      <c r="AE76" s="512"/>
      <c r="AF76" s="512"/>
      <c r="AG76" s="512"/>
    </row>
    <row r="77" spans="2:33" s="117" customFormat="1" ht="15" customHeight="1">
      <c r="B77" s="115" t="s">
        <v>15</v>
      </c>
      <c r="C77" s="513" t="s">
        <v>369</v>
      </c>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row>
    <row r="78" spans="2:33" s="117" customFormat="1" ht="15" customHeight="1">
      <c r="B78" s="115"/>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row>
    <row r="79" spans="2:33" s="117" customFormat="1" ht="16.5" customHeight="1">
      <c r="B79" s="115" t="s">
        <v>15</v>
      </c>
      <c r="C79" s="512" t="s">
        <v>370</v>
      </c>
      <c r="D79" s="512"/>
      <c r="E79" s="512"/>
      <c r="F79" s="512"/>
      <c r="G79" s="512"/>
      <c r="H79" s="512"/>
      <c r="I79" s="512"/>
      <c r="J79" s="512"/>
      <c r="K79" s="512"/>
      <c r="L79" s="512"/>
      <c r="M79" s="512"/>
      <c r="N79" s="512"/>
      <c r="O79" s="512"/>
      <c r="P79" s="512"/>
      <c r="Q79" s="512"/>
      <c r="R79" s="512"/>
      <c r="S79" s="512"/>
      <c r="T79" s="512"/>
      <c r="U79" s="512"/>
      <c r="V79" s="512"/>
      <c r="W79" s="512"/>
      <c r="X79" s="512"/>
      <c r="Y79" s="512"/>
      <c r="Z79" s="512"/>
      <c r="AA79" s="512"/>
      <c r="AB79" s="512"/>
      <c r="AC79" s="512"/>
      <c r="AD79" s="512"/>
      <c r="AE79" s="512"/>
      <c r="AF79" s="512"/>
      <c r="AG79" s="512"/>
    </row>
    <row r="80" spans="2:33" s="117" customFormat="1" ht="15" customHeight="1">
      <c r="B80" s="115" t="s">
        <v>15</v>
      </c>
      <c r="C80" s="513" t="s">
        <v>371</v>
      </c>
      <c r="D80" s="513"/>
      <c r="E80" s="513"/>
      <c r="F80" s="513"/>
      <c r="G80" s="513"/>
      <c r="H80" s="513"/>
      <c r="I80" s="513"/>
      <c r="J80" s="513"/>
      <c r="K80" s="513"/>
      <c r="L80" s="513"/>
      <c r="M80" s="513"/>
      <c r="N80" s="513"/>
      <c r="O80" s="513"/>
      <c r="P80" s="513"/>
      <c r="Q80" s="513"/>
      <c r="R80" s="513"/>
      <c r="S80" s="513"/>
      <c r="T80" s="513"/>
      <c r="U80" s="513"/>
      <c r="V80" s="513"/>
      <c r="W80" s="513"/>
      <c r="X80" s="513"/>
      <c r="Y80" s="513"/>
      <c r="Z80" s="513"/>
      <c r="AA80" s="513"/>
      <c r="AB80" s="513"/>
      <c r="AC80" s="513"/>
      <c r="AD80" s="513"/>
      <c r="AE80" s="513"/>
      <c r="AF80" s="513"/>
      <c r="AG80" s="513"/>
    </row>
    <row r="81" spans="2:33" s="117" customFormat="1" ht="15" customHeight="1">
      <c r="B81" s="115"/>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row>
    <row r="82" spans="2:33" s="117" customFormat="1" ht="15" customHeight="1">
      <c r="B82" s="115" t="s">
        <v>15</v>
      </c>
      <c r="C82" s="512" t="s">
        <v>372</v>
      </c>
      <c r="D82" s="512"/>
      <c r="E82" s="512"/>
      <c r="F82" s="512"/>
      <c r="G82" s="512"/>
      <c r="H82" s="512"/>
      <c r="I82" s="512"/>
      <c r="J82" s="512"/>
      <c r="K82" s="512"/>
      <c r="L82" s="512"/>
      <c r="M82" s="512"/>
      <c r="N82" s="512"/>
      <c r="O82" s="512"/>
      <c r="P82" s="512"/>
      <c r="Q82" s="512"/>
      <c r="R82" s="512"/>
      <c r="S82" s="512"/>
      <c r="T82" s="512"/>
      <c r="U82" s="512"/>
      <c r="V82" s="512"/>
      <c r="W82" s="512"/>
      <c r="X82" s="512"/>
      <c r="Y82" s="512"/>
      <c r="Z82" s="512"/>
      <c r="AA82" s="512"/>
      <c r="AB82" s="512"/>
      <c r="AC82" s="512"/>
      <c r="AD82" s="512"/>
      <c r="AE82" s="512"/>
      <c r="AF82" s="512"/>
      <c r="AG82" s="512"/>
    </row>
    <row r="83" spans="2:33" s="117" customFormat="1" ht="15" customHeight="1">
      <c r="B83" s="115"/>
      <c r="C83" s="512"/>
      <c r="D83" s="512"/>
      <c r="E83" s="512"/>
      <c r="F83" s="512"/>
      <c r="G83" s="512"/>
      <c r="H83" s="512"/>
      <c r="I83" s="512"/>
      <c r="J83" s="512"/>
      <c r="K83" s="512"/>
      <c r="L83" s="512"/>
      <c r="M83" s="512"/>
      <c r="N83" s="512"/>
      <c r="O83" s="512"/>
      <c r="P83" s="512"/>
      <c r="Q83" s="512"/>
      <c r="R83" s="512"/>
      <c r="S83" s="512"/>
      <c r="T83" s="512"/>
      <c r="U83" s="512"/>
      <c r="V83" s="512"/>
      <c r="W83" s="512"/>
      <c r="X83" s="512"/>
      <c r="Y83" s="512"/>
      <c r="Z83" s="512"/>
      <c r="AA83" s="512"/>
      <c r="AB83" s="512"/>
      <c r="AC83" s="512"/>
      <c r="AD83" s="512"/>
      <c r="AE83" s="512"/>
      <c r="AF83" s="512"/>
      <c r="AG83" s="512"/>
    </row>
    <row r="84" spans="2:33" s="117" customFormat="1" ht="15" customHeight="1">
      <c r="B84" s="115" t="s">
        <v>15</v>
      </c>
      <c r="C84" s="512" t="s">
        <v>373</v>
      </c>
      <c r="D84" s="512"/>
      <c r="E84" s="512"/>
      <c r="F84" s="512"/>
      <c r="G84" s="512"/>
      <c r="H84" s="512"/>
      <c r="I84" s="512"/>
      <c r="J84" s="512"/>
      <c r="K84" s="512"/>
      <c r="L84" s="512"/>
      <c r="M84" s="512"/>
      <c r="N84" s="512"/>
      <c r="O84" s="512"/>
      <c r="P84" s="512"/>
      <c r="Q84" s="512"/>
      <c r="R84" s="512"/>
      <c r="S84" s="512"/>
      <c r="T84" s="512"/>
      <c r="U84" s="512"/>
      <c r="V84" s="512"/>
      <c r="W84" s="512"/>
      <c r="X84" s="512"/>
      <c r="Y84" s="512"/>
      <c r="Z84" s="512"/>
      <c r="AA84" s="512"/>
      <c r="AB84" s="512"/>
      <c r="AC84" s="512"/>
      <c r="AD84" s="512"/>
      <c r="AE84" s="512"/>
      <c r="AF84" s="512"/>
      <c r="AG84" s="512"/>
    </row>
    <row r="85" spans="2:33" s="117" customFormat="1" ht="15" customHeight="1">
      <c r="B85" s="115"/>
      <c r="C85" s="512"/>
      <c r="D85" s="512"/>
      <c r="E85" s="512"/>
      <c r="F85" s="512"/>
      <c r="G85" s="512"/>
      <c r="H85" s="512"/>
      <c r="I85" s="512"/>
      <c r="J85" s="512"/>
      <c r="K85" s="512"/>
      <c r="L85" s="512"/>
      <c r="M85" s="512"/>
      <c r="N85" s="512"/>
      <c r="O85" s="512"/>
      <c r="P85" s="512"/>
      <c r="Q85" s="512"/>
      <c r="R85" s="512"/>
      <c r="S85" s="512"/>
      <c r="T85" s="512"/>
      <c r="U85" s="512"/>
      <c r="V85" s="512"/>
      <c r="W85" s="512"/>
      <c r="X85" s="512"/>
      <c r="Y85" s="512"/>
      <c r="Z85" s="512"/>
      <c r="AA85" s="512"/>
      <c r="AB85" s="512"/>
      <c r="AC85" s="512"/>
      <c r="AD85" s="512"/>
      <c r="AE85" s="512"/>
      <c r="AF85" s="512"/>
      <c r="AG85" s="512"/>
    </row>
    <row r="86" spans="2:6" ht="16.5" customHeight="1">
      <c r="B86" s="506" t="s">
        <v>374</v>
      </c>
      <c r="C86" s="506"/>
      <c r="D86" s="107" t="s">
        <v>375</v>
      </c>
      <c r="E86" s="107"/>
      <c r="F86" s="107"/>
    </row>
    <row r="87" spans="2:12" ht="16.5" customHeight="1">
      <c r="B87" s="97" t="s">
        <v>15</v>
      </c>
      <c r="C87" s="97" t="s">
        <v>376</v>
      </c>
      <c r="K87" s="97" t="s">
        <v>15</v>
      </c>
      <c r="L87" s="97" t="s">
        <v>377</v>
      </c>
    </row>
    <row r="88" spans="2:14" ht="16.5" customHeight="1">
      <c r="B88" s="97" t="s">
        <v>15</v>
      </c>
      <c r="C88" s="97" t="s">
        <v>378</v>
      </c>
      <c r="M88" s="97" t="s">
        <v>15</v>
      </c>
      <c r="N88" s="97" t="s">
        <v>379</v>
      </c>
    </row>
    <row r="89" spans="2:35" ht="16.5" customHeight="1">
      <c r="B89" s="97" t="s">
        <v>15</v>
      </c>
      <c r="C89" s="97" t="s">
        <v>380</v>
      </c>
      <c r="W89" s="119"/>
      <c r="X89" s="119"/>
      <c r="Y89" s="119"/>
      <c r="Z89" s="119"/>
      <c r="AA89" s="119"/>
      <c r="AB89" s="119"/>
      <c r="AC89" s="119"/>
      <c r="AD89" s="119"/>
      <c r="AE89" s="119"/>
      <c r="AF89" s="119"/>
      <c r="AG89" s="119"/>
      <c r="AH89" s="119"/>
      <c r="AI89" s="119"/>
    </row>
    <row r="90" spans="2:36" ht="16.5" customHeight="1">
      <c r="B90" s="506" t="s">
        <v>381</v>
      </c>
      <c r="C90" s="507"/>
      <c r="D90" s="107" t="s">
        <v>382</v>
      </c>
      <c r="E90" s="107"/>
      <c r="G90" s="112" t="s">
        <v>383</v>
      </c>
      <c r="H90" s="509" t="s">
        <v>384</v>
      </c>
      <c r="I90" s="509"/>
      <c r="J90" s="509"/>
      <c r="K90" s="509"/>
      <c r="L90" s="509"/>
      <c r="M90" s="509"/>
      <c r="N90" s="509"/>
      <c r="O90" s="509"/>
      <c r="P90" s="509"/>
      <c r="Q90" s="112" t="s">
        <v>385</v>
      </c>
      <c r="X90" s="119"/>
      <c r="Y90" s="119"/>
      <c r="Z90" s="119"/>
      <c r="AA90" s="119"/>
      <c r="AB90" s="119"/>
      <c r="AC90" s="119"/>
      <c r="AD90" s="119"/>
      <c r="AE90" s="119"/>
      <c r="AF90" s="119"/>
      <c r="AG90" s="119"/>
      <c r="AH90" s="119"/>
      <c r="AI90" s="119"/>
      <c r="AJ90" s="119"/>
    </row>
    <row r="91" spans="2:36" ht="16.5" customHeight="1">
      <c r="B91" s="105"/>
      <c r="C91" s="106"/>
      <c r="D91" s="107"/>
      <c r="E91" s="107"/>
      <c r="G91" s="112" t="s">
        <v>383</v>
      </c>
      <c r="H91" s="509" t="s">
        <v>386</v>
      </c>
      <c r="I91" s="509"/>
      <c r="J91" s="509"/>
      <c r="K91" s="509"/>
      <c r="L91" s="509"/>
      <c r="M91" s="509"/>
      <c r="N91" s="509"/>
      <c r="O91" s="509"/>
      <c r="P91" s="509"/>
      <c r="Q91" s="112" t="s">
        <v>385</v>
      </c>
      <c r="X91" s="119"/>
      <c r="Y91" s="119"/>
      <c r="Z91" s="119"/>
      <c r="AA91" s="119"/>
      <c r="AB91" s="119"/>
      <c r="AC91" s="119"/>
      <c r="AD91" s="119"/>
      <c r="AE91" s="119"/>
      <c r="AF91" s="119"/>
      <c r="AG91" s="119"/>
      <c r="AH91" s="119"/>
      <c r="AI91" s="119"/>
      <c r="AJ91" s="119"/>
    </row>
    <row r="92" spans="2:31" ht="16.5" customHeight="1">
      <c r="B92" s="506" t="s">
        <v>387</v>
      </c>
      <c r="C92" s="507"/>
      <c r="D92" s="107" t="s">
        <v>388</v>
      </c>
      <c r="E92" s="107"/>
      <c r="F92" s="107"/>
      <c r="I92" s="120" t="s">
        <v>389</v>
      </c>
      <c r="J92" s="117"/>
      <c r="K92" s="117"/>
      <c r="L92" s="117"/>
      <c r="M92" s="117"/>
      <c r="N92" s="117"/>
      <c r="O92" s="117"/>
      <c r="P92" s="117"/>
      <c r="Q92" s="117"/>
      <c r="R92" s="117"/>
      <c r="S92" s="117"/>
      <c r="T92" s="117"/>
      <c r="U92" s="117"/>
      <c r="V92" s="117"/>
      <c r="W92" s="117"/>
      <c r="X92" s="117"/>
      <c r="Y92" s="117"/>
      <c r="Z92" s="117"/>
      <c r="AA92" s="117"/>
      <c r="AB92" s="117"/>
      <c r="AC92" s="117"/>
      <c r="AD92" s="117"/>
      <c r="AE92" s="117"/>
    </row>
    <row r="93" spans="3:40" s="121" customFormat="1" ht="13.4" customHeight="1">
      <c r="C93" s="115" t="s">
        <v>15</v>
      </c>
      <c r="D93" s="510" t="s">
        <v>390</v>
      </c>
      <c r="E93" s="510"/>
      <c r="F93" s="510"/>
      <c r="G93" s="510"/>
      <c r="H93" s="510"/>
      <c r="I93" s="510"/>
      <c r="J93" s="510"/>
      <c r="K93" s="510"/>
      <c r="L93" s="510"/>
      <c r="M93" s="510"/>
      <c r="N93" s="510"/>
      <c r="O93" s="510"/>
      <c r="P93" s="510"/>
      <c r="Q93" s="510"/>
      <c r="R93" s="510"/>
      <c r="S93" s="510"/>
      <c r="T93" s="510"/>
      <c r="U93" s="510"/>
      <c r="V93" s="510"/>
      <c r="W93" s="510"/>
      <c r="X93" s="510"/>
      <c r="Y93" s="510"/>
      <c r="Z93" s="510"/>
      <c r="AA93" s="510"/>
      <c r="AB93" s="510"/>
      <c r="AC93" s="510"/>
      <c r="AD93" s="510"/>
      <c r="AE93" s="510"/>
      <c r="AF93" s="510"/>
      <c r="AG93" s="510"/>
      <c r="AH93" s="510"/>
      <c r="AI93" s="510"/>
      <c r="AJ93" s="510"/>
      <c r="AK93" s="122"/>
      <c r="AL93" s="122"/>
      <c r="AM93" s="122"/>
      <c r="AN93" s="122"/>
    </row>
    <row r="94" spans="4:40" s="121" customFormat="1" ht="13.5">
      <c r="D94" s="510"/>
      <c r="E94" s="510"/>
      <c r="F94" s="510"/>
      <c r="G94" s="510"/>
      <c r="H94" s="510"/>
      <c r="I94" s="510"/>
      <c r="J94" s="510"/>
      <c r="K94" s="510"/>
      <c r="L94" s="510"/>
      <c r="M94" s="510"/>
      <c r="N94" s="510"/>
      <c r="O94" s="510"/>
      <c r="P94" s="510"/>
      <c r="Q94" s="510"/>
      <c r="R94" s="510"/>
      <c r="S94" s="510"/>
      <c r="T94" s="510"/>
      <c r="U94" s="510"/>
      <c r="V94" s="510"/>
      <c r="W94" s="510"/>
      <c r="X94" s="510"/>
      <c r="Y94" s="510"/>
      <c r="Z94" s="510"/>
      <c r="AA94" s="510"/>
      <c r="AB94" s="510"/>
      <c r="AC94" s="510"/>
      <c r="AD94" s="510"/>
      <c r="AE94" s="510"/>
      <c r="AF94" s="510"/>
      <c r="AG94" s="510"/>
      <c r="AH94" s="510"/>
      <c r="AI94" s="510"/>
      <c r="AJ94" s="510"/>
      <c r="AK94" s="122"/>
      <c r="AL94" s="122"/>
      <c r="AM94" s="122"/>
      <c r="AN94" s="122"/>
    </row>
    <row r="95" spans="3:43" s="121" customFormat="1" ht="13.5">
      <c r="C95" s="115" t="s">
        <v>15</v>
      </c>
      <c r="D95" s="511" t="s">
        <v>391</v>
      </c>
      <c r="E95" s="511"/>
      <c r="F95" s="511"/>
      <c r="G95" s="511"/>
      <c r="H95" s="511"/>
      <c r="I95" s="511"/>
      <c r="J95" s="511"/>
      <c r="K95" s="511"/>
      <c r="L95" s="511"/>
      <c r="M95" s="511"/>
      <c r="N95" s="511"/>
      <c r="O95" s="511"/>
      <c r="P95" s="511"/>
      <c r="Q95" s="511"/>
      <c r="R95" s="511"/>
      <c r="S95" s="511"/>
      <c r="T95" s="511"/>
      <c r="U95" s="511"/>
      <c r="V95" s="511"/>
      <c r="W95" s="511"/>
      <c r="X95" s="511"/>
      <c r="Y95" s="511"/>
      <c r="Z95" s="511"/>
      <c r="AA95" s="511"/>
      <c r="AB95" s="511"/>
      <c r="AC95" s="511"/>
      <c r="AD95" s="511"/>
      <c r="AE95" s="511"/>
      <c r="AF95" s="511"/>
      <c r="AG95" s="511"/>
      <c r="AH95" s="511"/>
      <c r="AI95" s="511"/>
      <c r="AJ95" s="511"/>
      <c r="AK95" s="123"/>
      <c r="AL95" s="123"/>
      <c r="AM95" s="123"/>
      <c r="AN95" s="123"/>
      <c r="AO95" s="97"/>
      <c r="AP95" s="97"/>
      <c r="AQ95" s="97"/>
    </row>
    <row r="96" spans="3:43" s="121" customFormat="1" ht="13.5">
      <c r="C96" s="97"/>
      <c r="D96" s="511"/>
      <c r="E96" s="511"/>
      <c r="F96" s="511"/>
      <c r="G96" s="511"/>
      <c r="H96" s="511"/>
      <c r="I96" s="511"/>
      <c r="J96" s="511"/>
      <c r="K96" s="511"/>
      <c r="L96" s="511"/>
      <c r="M96" s="511"/>
      <c r="N96" s="511"/>
      <c r="O96" s="511"/>
      <c r="P96" s="511"/>
      <c r="Q96" s="511"/>
      <c r="R96" s="511"/>
      <c r="S96" s="511"/>
      <c r="T96" s="511"/>
      <c r="U96" s="511"/>
      <c r="V96" s="511"/>
      <c r="W96" s="511"/>
      <c r="X96" s="511"/>
      <c r="Y96" s="511"/>
      <c r="Z96" s="511"/>
      <c r="AA96" s="511"/>
      <c r="AB96" s="511"/>
      <c r="AC96" s="511"/>
      <c r="AD96" s="511"/>
      <c r="AE96" s="511"/>
      <c r="AF96" s="511"/>
      <c r="AG96" s="511"/>
      <c r="AH96" s="511"/>
      <c r="AI96" s="511"/>
      <c r="AJ96" s="511"/>
      <c r="AK96" s="123"/>
      <c r="AL96" s="123"/>
      <c r="AM96" s="123"/>
      <c r="AN96" s="123"/>
      <c r="AO96" s="97"/>
      <c r="AP96" s="97"/>
      <c r="AQ96" s="97"/>
    </row>
    <row r="97" spans="3:43" s="121" customFormat="1" ht="13.5">
      <c r="C97" s="115" t="s">
        <v>15</v>
      </c>
      <c r="D97" s="505" t="s">
        <v>392</v>
      </c>
      <c r="E97" s="505"/>
      <c r="F97" s="505"/>
      <c r="G97" s="505"/>
      <c r="H97" s="505"/>
      <c r="I97" s="505"/>
      <c r="J97" s="505"/>
      <c r="K97" s="505"/>
      <c r="L97" s="505"/>
      <c r="M97" s="505"/>
      <c r="N97" s="505"/>
      <c r="O97" s="505"/>
      <c r="P97" s="505"/>
      <c r="Q97" s="505"/>
      <c r="R97" s="505"/>
      <c r="S97" s="505"/>
      <c r="T97" s="505"/>
      <c r="U97" s="505"/>
      <c r="V97" s="505"/>
      <c r="W97" s="505"/>
      <c r="X97" s="505"/>
      <c r="Y97" s="505"/>
      <c r="Z97" s="505"/>
      <c r="AA97" s="505"/>
      <c r="AB97" s="505"/>
      <c r="AC97" s="505"/>
      <c r="AD97" s="505"/>
      <c r="AE97" s="505"/>
      <c r="AF97" s="505"/>
      <c r="AG97" s="505"/>
      <c r="AH97" s="505"/>
      <c r="AI97" s="505"/>
      <c r="AJ97" s="505"/>
      <c r="AK97" s="123"/>
      <c r="AL97" s="123"/>
      <c r="AM97" s="123"/>
      <c r="AN97" s="123"/>
      <c r="AO97" s="97"/>
      <c r="AP97" s="97"/>
      <c r="AQ97" s="97"/>
    </row>
    <row r="98" spans="3:43" s="121" customFormat="1" ht="13.5">
      <c r="C98" s="115"/>
      <c r="D98" s="505"/>
      <c r="E98" s="505"/>
      <c r="F98" s="505"/>
      <c r="G98" s="505"/>
      <c r="H98" s="505"/>
      <c r="I98" s="505"/>
      <c r="J98" s="505"/>
      <c r="K98" s="505"/>
      <c r="L98" s="505"/>
      <c r="M98" s="505"/>
      <c r="N98" s="505"/>
      <c r="O98" s="505"/>
      <c r="P98" s="505"/>
      <c r="Q98" s="505"/>
      <c r="R98" s="505"/>
      <c r="S98" s="505"/>
      <c r="T98" s="505"/>
      <c r="U98" s="505"/>
      <c r="V98" s="505"/>
      <c r="W98" s="505"/>
      <c r="X98" s="505"/>
      <c r="Y98" s="505"/>
      <c r="Z98" s="505"/>
      <c r="AA98" s="505"/>
      <c r="AB98" s="505"/>
      <c r="AC98" s="505"/>
      <c r="AD98" s="505"/>
      <c r="AE98" s="505"/>
      <c r="AF98" s="505"/>
      <c r="AG98" s="505"/>
      <c r="AH98" s="505"/>
      <c r="AI98" s="505"/>
      <c r="AJ98" s="505"/>
      <c r="AK98" s="123"/>
      <c r="AL98" s="123"/>
      <c r="AM98" s="123"/>
      <c r="AN98" s="123"/>
      <c r="AO98" s="97"/>
      <c r="AP98" s="97"/>
      <c r="AQ98" s="97"/>
    </row>
    <row r="99" spans="3:43" s="121" customFormat="1" ht="13.5">
      <c r="C99" s="115" t="s">
        <v>15</v>
      </c>
      <c r="D99" s="505" t="s">
        <v>393</v>
      </c>
      <c r="E99" s="505"/>
      <c r="F99" s="505"/>
      <c r="G99" s="505"/>
      <c r="H99" s="505"/>
      <c r="I99" s="505"/>
      <c r="J99" s="505"/>
      <c r="K99" s="505"/>
      <c r="L99" s="505"/>
      <c r="M99" s="505"/>
      <c r="N99" s="505"/>
      <c r="O99" s="505"/>
      <c r="P99" s="505"/>
      <c r="Q99" s="505"/>
      <c r="R99" s="505"/>
      <c r="S99" s="505"/>
      <c r="T99" s="505"/>
      <c r="U99" s="505"/>
      <c r="V99" s="505"/>
      <c r="W99" s="505"/>
      <c r="X99" s="505"/>
      <c r="Y99" s="505"/>
      <c r="Z99" s="505"/>
      <c r="AA99" s="505"/>
      <c r="AB99" s="505"/>
      <c r="AC99" s="505"/>
      <c r="AD99" s="505"/>
      <c r="AE99" s="505"/>
      <c r="AF99" s="505"/>
      <c r="AG99" s="505"/>
      <c r="AH99" s="505"/>
      <c r="AI99" s="505"/>
      <c r="AJ99" s="505"/>
      <c r="AK99" s="123"/>
      <c r="AL99" s="123"/>
      <c r="AM99" s="123"/>
      <c r="AN99" s="123"/>
      <c r="AO99" s="97"/>
      <c r="AP99" s="97"/>
      <c r="AQ99" s="97"/>
    </row>
    <row r="100" spans="3:43" s="121" customFormat="1" ht="13.5">
      <c r="C100" s="115"/>
      <c r="D100" s="505"/>
      <c r="E100" s="505"/>
      <c r="F100" s="505"/>
      <c r="G100" s="505"/>
      <c r="H100" s="505"/>
      <c r="I100" s="505"/>
      <c r="J100" s="505"/>
      <c r="K100" s="505"/>
      <c r="L100" s="505"/>
      <c r="M100" s="505"/>
      <c r="N100" s="505"/>
      <c r="O100" s="505"/>
      <c r="P100" s="505"/>
      <c r="Q100" s="505"/>
      <c r="R100" s="505"/>
      <c r="S100" s="505"/>
      <c r="T100" s="505"/>
      <c r="U100" s="505"/>
      <c r="V100" s="505"/>
      <c r="W100" s="505"/>
      <c r="X100" s="505"/>
      <c r="Y100" s="505"/>
      <c r="Z100" s="505"/>
      <c r="AA100" s="505"/>
      <c r="AB100" s="505"/>
      <c r="AC100" s="505"/>
      <c r="AD100" s="505"/>
      <c r="AE100" s="505"/>
      <c r="AF100" s="505"/>
      <c r="AG100" s="505"/>
      <c r="AH100" s="505"/>
      <c r="AI100" s="505"/>
      <c r="AJ100" s="505"/>
      <c r="AK100" s="123"/>
      <c r="AL100" s="123"/>
      <c r="AM100" s="123"/>
      <c r="AN100" s="123"/>
      <c r="AO100" s="97"/>
      <c r="AP100" s="97"/>
      <c r="AQ100" s="97"/>
    </row>
    <row r="101" spans="3:43" s="121" customFormat="1" ht="13.5">
      <c r="C101" s="115" t="s">
        <v>15</v>
      </c>
      <c r="D101" s="123" t="s">
        <v>394</v>
      </c>
      <c r="E101" s="123"/>
      <c r="F101" s="123"/>
      <c r="G101" s="123"/>
      <c r="H101" s="123"/>
      <c r="I101" s="123"/>
      <c r="J101" s="123"/>
      <c r="K101" s="123"/>
      <c r="L101" s="123"/>
      <c r="M101" s="123"/>
      <c r="N101" s="123"/>
      <c r="O101" s="123"/>
      <c r="P101" s="123"/>
      <c r="Q101" s="123"/>
      <c r="R101" s="123"/>
      <c r="S101" s="123"/>
      <c r="T101" s="123"/>
      <c r="U101" s="123"/>
      <c r="V101" s="123"/>
      <c r="W101" s="123"/>
      <c r="X101" s="123"/>
      <c r="Y101" s="123"/>
      <c r="Z101" s="123"/>
      <c r="AA101" s="123"/>
      <c r="AB101" s="123"/>
      <c r="AC101" s="123"/>
      <c r="AD101" s="123"/>
      <c r="AE101" s="123"/>
      <c r="AF101" s="123"/>
      <c r="AG101" s="123"/>
      <c r="AH101" s="123"/>
      <c r="AI101" s="123"/>
      <c r="AJ101" s="123"/>
      <c r="AK101" s="123"/>
      <c r="AL101" s="123"/>
      <c r="AM101" s="123"/>
      <c r="AN101" s="123"/>
      <c r="AO101" s="97"/>
      <c r="AP101" s="97"/>
      <c r="AQ101" s="97"/>
    </row>
    <row r="102" spans="3:43" s="121" customFormat="1" ht="13.5">
      <c r="C102" s="115" t="s">
        <v>15</v>
      </c>
      <c r="D102" s="123" t="s">
        <v>395</v>
      </c>
      <c r="E102" s="123"/>
      <c r="F102" s="123"/>
      <c r="G102" s="123"/>
      <c r="H102" s="123"/>
      <c r="I102" s="123"/>
      <c r="J102" s="123"/>
      <c r="K102" s="123"/>
      <c r="L102" s="123"/>
      <c r="M102" s="123"/>
      <c r="N102" s="123"/>
      <c r="O102" s="123"/>
      <c r="P102" s="123"/>
      <c r="Q102" s="123"/>
      <c r="R102" s="123"/>
      <c r="S102" s="123"/>
      <c r="T102" s="123"/>
      <c r="U102" s="123"/>
      <c r="V102" s="123"/>
      <c r="W102" s="123"/>
      <c r="X102" s="123"/>
      <c r="Y102" s="123"/>
      <c r="Z102" s="123"/>
      <c r="AA102" s="123"/>
      <c r="AB102" s="123"/>
      <c r="AC102" s="123"/>
      <c r="AD102" s="123"/>
      <c r="AE102" s="123"/>
      <c r="AF102" s="123"/>
      <c r="AG102" s="123"/>
      <c r="AH102" s="123"/>
      <c r="AI102" s="123"/>
      <c r="AJ102" s="123"/>
      <c r="AK102" s="123"/>
      <c r="AL102" s="123"/>
      <c r="AM102" s="123"/>
      <c r="AN102" s="123"/>
      <c r="AO102" s="97"/>
      <c r="AP102" s="97"/>
      <c r="AQ102" s="97"/>
    </row>
    <row r="103" spans="3:40" ht="13.5">
      <c r="C103" s="115" t="s">
        <v>15</v>
      </c>
      <c r="D103" s="123" t="s">
        <v>396</v>
      </c>
      <c r="E103" s="123"/>
      <c r="F103" s="123"/>
      <c r="G103" s="123"/>
      <c r="H103" s="123"/>
      <c r="I103" s="123"/>
      <c r="J103" s="123"/>
      <c r="K103" s="123"/>
      <c r="L103" s="123"/>
      <c r="M103" s="123"/>
      <c r="N103" s="123"/>
      <c r="O103" s="123"/>
      <c r="P103" s="123"/>
      <c r="Q103" s="123"/>
      <c r="R103" s="123"/>
      <c r="S103" s="123"/>
      <c r="T103" s="123"/>
      <c r="U103" s="123"/>
      <c r="V103" s="123"/>
      <c r="W103" s="123"/>
      <c r="X103" s="123"/>
      <c r="Y103" s="123"/>
      <c r="Z103" s="123"/>
      <c r="AA103" s="123"/>
      <c r="AB103" s="123"/>
      <c r="AC103" s="123"/>
      <c r="AD103" s="123"/>
      <c r="AE103" s="123"/>
      <c r="AF103" s="123"/>
      <c r="AG103" s="123"/>
      <c r="AH103" s="123"/>
      <c r="AI103" s="123"/>
      <c r="AJ103" s="123"/>
      <c r="AK103" s="123"/>
      <c r="AL103" s="123"/>
      <c r="AM103" s="123"/>
      <c r="AN103" s="123"/>
    </row>
    <row r="104" spans="3:40" ht="13.5">
      <c r="C104" s="115" t="s">
        <v>15</v>
      </c>
      <c r="D104" s="123" t="s">
        <v>397</v>
      </c>
      <c r="E104" s="123"/>
      <c r="F104" s="123"/>
      <c r="G104" s="123"/>
      <c r="H104" s="123"/>
      <c r="I104" s="123"/>
      <c r="J104" s="123"/>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3"/>
      <c r="AM104" s="123"/>
      <c r="AN104" s="123"/>
    </row>
    <row r="105" spans="2:14" ht="16.5" customHeight="1">
      <c r="B105" s="506" t="s">
        <v>398</v>
      </c>
      <c r="C105" s="507"/>
      <c r="D105" s="107" t="s">
        <v>399</v>
      </c>
      <c r="E105" s="107"/>
      <c r="F105" s="107"/>
      <c r="G105" s="107"/>
      <c r="N105" s="97" t="s">
        <v>400</v>
      </c>
    </row>
    <row r="106" spans="3:20" s="124" customFormat="1" ht="18.75" customHeight="1">
      <c r="C106" s="124" t="s">
        <v>15</v>
      </c>
      <c r="D106" s="125" t="s">
        <v>401</v>
      </c>
      <c r="K106" s="126"/>
      <c r="L106" s="126"/>
      <c r="M106" s="126"/>
      <c r="N106" s="126"/>
      <c r="O106" s="126"/>
      <c r="P106" s="126"/>
      <c r="Q106" s="126"/>
      <c r="R106" s="126"/>
      <c r="S106" s="126"/>
      <c r="T106" s="126"/>
    </row>
    <row r="107" ht="16.5" customHeight="1"/>
    <row r="108" spans="4:31" ht="16.5" customHeight="1">
      <c r="D108" s="97" t="s">
        <v>402</v>
      </c>
      <c r="E108" s="508" t="str">
        <f>+D20</f>
        <v>組み合わせ左側チーム</v>
      </c>
      <c r="F108" s="508"/>
      <c r="G108" s="508"/>
      <c r="H108" s="508"/>
      <c r="I108" s="508"/>
      <c r="J108" s="508"/>
      <c r="K108" s="508"/>
      <c r="L108" s="508"/>
      <c r="M108" s="508"/>
      <c r="N108" s="97" t="s">
        <v>403</v>
      </c>
      <c r="O108" s="503" t="s">
        <v>404</v>
      </c>
      <c r="P108" s="503"/>
      <c r="Q108" s="503"/>
      <c r="R108" s="503"/>
      <c r="S108" s="503"/>
      <c r="T108" s="503"/>
      <c r="U108" s="97" t="s">
        <v>402</v>
      </c>
      <c r="V108" s="508" t="str">
        <f>+D21</f>
        <v>組み合わせ右側チーム</v>
      </c>
      <c r="W108" s="508"/>
      <c r="X108" s="508"/>
      <c r="Y108" s="508"/>
      <c r="Z108" s="508"/>
      <c r="AA108" s="508"/>
      <c r="AB108" s="508"/>
      <c r="AC108" s="508"/>
      <c r="AD108" s="508"/>
      <c r="AE108" s="97" t="s">
        <v>403</v>
      </c>
    </row>
    <row r="109" spans="15:20" ht="16.5" customHeight="1">
      <c r="O109" s="503" t="s">
        <v>405</v>
      </c>
      <c r="P109" s="503"/>
      <c r="Q109" s="503"/>
      <c r="R109" s="503"/>
      <c r="S109" s="503"/>
      <c r="T109" s="503"/>
    </row>
    <row r="110" ht="16.5" customHeight="1"/>
    <row r="111" spans="1:4" s="127" customFormat="1" ht="16.5" customHeight="1">
      <c r="A111" s="103">
        <v>3</v>
      </c>
      <c r="B111" s="103" t="s">
        <v>406</v>
      </c>
      <c r="C111" s="103"/>
      <c r="D111" s="103"/>
    </row>
    <row r="112" spans="2:34" s="117" customFormat="1" ht="16.5" customHeight="1">
      <c r="B112" s="504" t="s">
        <v>407</v>
      </c>
      <c r="C112" s="504"/>
      <c r="D112" s="504"/>
      <c r="E112" s="504"/>
      <c r="F112" s="504"/>
      <c r="G112" s="504"/>
      <c r="H112" s="504"/>
      <c r="I112" s="504"/>
      <c r="J112" s="504"/>
      <c r="K112" s="504"/>
      <c r="L112" s="504"/>
      <c r="M112" s="504"/>
      <c r="N112" s="504"/>
      <c r="O112" s="504"/>
      <c r="P112" s="504"/>
      <c r="Q112" s="504"/>
      <c r="R112" s="504"/>
      <c r="S112" s="504"/>
      <c r="T112" s="504"/>
      <c r="U112" s="504"/>
      <c r="V112" s="504"/>
      <c r="W112" s="504"/>
      <c r="X112" s="504"/>
      <c r="Y112" s="504"/>
      <c r="Z112" s="504"/>
      <c r="AA112" s="504"/>
      <c r="AB112" s="504"/>
      <c r="AC112" s="504"/>
      <c r="AD112" s="504"/>
      <c r="AE112" s="504"/>
      <c r="AF112" s="504"/>
      <c r="AG112" s="504"/>
      <c r="AH112" s="504"/>
    </row>
    <row r="113" spans="2:34" s="117" customFormat="1" ht="16.5" customHeight="1">
      <c r="B113" s="504"/>
      <c r="C113" s="504"/>
      <c r="D113" s="504"/>
      <c r="E113" s="504"/>
      <c r="F113" s="504"/>
      <c r="G113" s="504"/>
      <c r="H113" s="504"/>
      <c r="I113" s="504"/>
      <c r="J113" s="504"/>
      <c r="K113" s="504"/>
      <c r="L113" s="504"/>
      <c r="M113" s="504"/>
      <c r="N113" s="504"/>
      <c r="O113" s="504"/>
      <c r="P113" s="504"/>
      <c r="Q113" s="504"/>
      <c r="R113" s="504"/>
      <c r="S113" s="504"/>
      <c r="T113" s="504"/>
      <c r="U113" s="504"/>
      <c r="V113" s="504"/>
      <c r="W113" s="504"/>
      <c r="X113" s="504"/>
      <c r="Y113" s="504"/>
      <c r="Z113" s="504"/>
      <c r="AA113" s="504"/>
      <c r="AB113" s="504"/>
      <c r="AC113" s="504"/>
      <c r="AD113" s="504"/>
      <c r="AE113" s="504"/>
      <c r="AF113" s="504"/>
      <c r="AG113" s="504"/>
      <c r="AH113" s="504"/>
    </row>
    <row r="114" ht="16.5" customHeight="1"/>
    <row r="115" ht="16.5" customHeight="1"/>
    <row r="116" ht="16.5" customHeight="1"/>
    <row r="117" ht="16.5" customHeight="1"/>
    <row r="118" ht="16.5" customHeight="1"/>
    <row r="119" ht="16.5" customHeight="1"/>
    <row r="120" ht="16.5" customHeight="1"/>
  </sheetData>
  <mergeCells count="93">
    <mergeCell ref="A1:AH1"/>
    <mergeCell ref="A2:AH4"/>
    <mergeCell ref="J6:Q6"/>
    <mergeCell ref="R6:T6"/>
    <mergeCell ref="B8:J8"/>
    <mergeCell ref="L8:N8"/>
    <mergeCell ref="O8:P8"/>
    <mergeCell ref="Q8:R8"/>
    <mergeCell ref="S8:AA8"/>
    <mergeCell ref="AC8:AE8"/>
    <mergeCell ref="AF8:AG8"/>
    <mergeCell ref="A10:AJ11"/>
    <mergeCell ref="A12:AJ12"/>
    <mergeCell ref="E13:AD13"/>
    <mergeCell ref="A14:C14"/>
    <mergeCell ref="E14:AG14"/>
    <mergeCell ref="A15:C15"/>
    <mergeCell ref="E15:AG15"/>
    <mergeCell ref="B18:C18"/>
    <mergeCell ref="Q18:X18"/>
    <mergeCell ref="Y18:Z18"/>
    <mergeCell ref="B19:C19"/>
    <mergeCell ref="Q19:X19"/>
    <mergeCell ref="Y19:Z19"/>
    <mergeCell ref="B20:C20"/>
    <mergeCell ref="D20:L20"/>
    <mergeCell ref="Q20:X20"/>
    <mergeCell ref="Y20:Z20"/>
    <mergeCell ref="B21:C21"/>
    <mergeCell ref="D21:L21"/>
    <mergeCell ref="Q21:X21"/>
    <mergeCell ref="Y21:Z21"/>
    <mergeCell ref="B22:C22"/>
    <mergeCell ref="Q22:X22"/>
    <mergeCell ref="Y22:Z22"/>
    <mergeCell ref="Q23:X23"/>
    <mergeCell ref="Y23:Z23"/>
    <mergeCell ref="Q24:X24"/>
    <mergeCell ref="Y24:Z24"/>
    <mergeCell ref="Q25:X25"/>
    <mergeCell ref="Y25:Z25"/>
    <mergeCell ref="B26:C26"/>
    <mergeCell ref="Q26:X26"/>
    <mergeCell ref="Y26:Z26"/>
    <mergeCell ref="B27:C27"/>
    <mergeCell ref="S28:Y28"/>
    <mergeCell ref="B29:C29"/>
    <mergeCell ref="L29:AH29"/>
    <mergeCell ref="C30:J30"/>
    <mergeCell ref="C31:J31"/>
    <mergeCell ref="B32:C32"/>
    <mergeCell ref="B34:C34"/>
    <mergeCell ref="B36:C36"/>
    <mergeCell ref="C37:AI39"/>
    <mergeCell ref="C40:AI42"/>
    <mergeCell ref="C43:AI43"/>
    <mergeCell ref="B45:C45"/>
    <mergeCell ref="B46:AG48"/>
    <mergeCell ref="B49:C49"/>
    <mergeCell ref="B50:AG54"/>
    <mergeCell ref="B55:C55"/>
    <mergeCell ref="C56:AH57"/>
    <mergeCell ref="B58:C58"/>
    <mergeCell ref="F61:AG61"/>
    <mergeCell ref="F62:AG62"/>
    <mergeCell ref="J63:O63"/>
    <mergeCell ref="J66:O66"/>
    <mergeCell ref="F67:AG68"/>
    <mergeCell ref="B69:C69"/>
    <mergeCell ref="D70:AJ71"/>
    <mergeCell ref="D72:AJ74"/>
    <mergeCell ref="B75:C75"/>
    <mergeCell ref="C76:AG76"/>
    <mergeCell ref="C77:AG78"/>
    <mergeCell ref="C79:AG79"/>
    <mergeCell ref="C80:AG81"/>
    <mergeCell ref="C82:AG83"/>
    <mergeCell ref="C84:AG85"/>
    <mergeCell ref="B86:C86"/>
    <mergeCell ref="B90:C90"/>
    <mergeCell ref="H90:P90"/>
    <mergeCell ref="H91:P91"/>
    <mergeCell ref="B92:C92"/>
    <mergeCell ref="D93:AJ94"/>
    <mergeCell ref="D95:AJ96"/>
    <mergeCell ref="D97:AJ98"/>
    <mergeCell ref="O109:T109"/>
    <mergeCell ref="B112:AH113"/>
    <mergeCell ref="D99:AJ100"/>
    <mergeCell ref="B105:C105"/>
    <mergeCell ref="E108:M108"/>
    <mergeCell ref="O108:T108"/>
    <mergeCell ref="V108:AD108"/>
  </mergeCells>
  <printOptions/>
  <pageMargins left="0" right="0" top="0.5905511811023625" bottom="0.19685039370078738" header="0.39370078740157477" footer="0.5118110236220472"/>
  <pageSetup fitToHeight="2" fitToWidth="1" horizontalDpi="600" verticalDpi="600" orientation="portrait" paperSize="9" scale="89"/>
  <headerFooter alignWithMargins="0">
    <oddHeader>&amp;ROITA　FOOTBALL   　ASSOCIATION</oddHead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40"/>
  <sheetViews>
    <sheetView zoomScale="40" zoomScaleNormal="40" workbookViewId="0" topLeftCell="A1">
      <pane xSplit="3" ySplit="4" topLeftCell="D5" activePane="bottomRight" state="frozen"/>
      <selection pane="topLeft" activeCell="N2" sqref="N2"/>
      <selection pane="topRight" activeCell="A1" sqref="A1"/>
      <selection pane="bottomLeft" activeCell="A1" sqref="A1"/>
      <selection pane="bottomRight" activeCell="D5" sqref="D5"/>
    </sheetView>
  </sheetViews>
  <sheetFormatPr defaultColWidth="9.00390625" defaultRowHeight="13.5"/>
  <cols>
    <col min="1" max="1" width="7.25390625" style="128" bestFit="1" customWidth="1"/>
    <col min="2" max="2" width="14.50390625" style="129" bestFit="1" customWidth="1"/>
    <col min="3" max="3" width="27.00390625" style="128" bestFit="1" customWidth="1"/>
    <col min="4" max="4" width="6.75390625" style="129" customWidth="1"/>
    <col min="5" max="5" width="17.00390625" style="129" bestFit="1" customWidth="1"/>
    <col min="6" max="6" width="10.625" style="129" bestFit="1" customWidth="1"/>
    <col min="7" max="7" width="17.00390625" style="129" bestFit="1" customWidth="1"/>
    <col min="8" max="8" width="6.75390625" style="129" customWidth="1"/>
    <col min="9" max="9" width="17.00390625" style="129" bestFit="1" customWidth="1"/>
    <col min="10" max="10" width="10.625" style="129" bestFit="1" customWidth="1"/>
    <col min="11" max="11" width="17.00390625" style="129" bestFit="1" customWidth="1"/>
    <col min="12" max="12" width="6.75390625" style="129" customWidth="1"/>
    <col min="13" max="13" width="17.00390625" style="129" bestFit="1" customWidth="1"/>
    <col min="14" max="14" width="10.625" style="129" bestFit="1" customWidth="1"/>
    <col min="15" max="15" width="17.00390625" style="129" bestFit="1" customWidth="1"/>
    <col min="16" max="16" width="6.75390625" style="129" customWidth="1"/>
    <col min="17" max="17" width="17.00390625" style="129" bestFit="1" customWidth="1"/>
    <col min="18" max="18" width="10.625" style="129" bestFit="1" customWidth="1"/>
    <col min="19" max="19" width="17.00390625" style="129" bestFit="1" customWidth="1"/>
    <col min="20" max="20" width="6.75390625" style="129" customWidth="1"/>
    <col min="21" max="21" width="17.00390625" style="129" customWidth="1"/>
    <col min="22" max="22" width="10.625" style="129" bestFit="1" customWidth="1"/>
    <col min="23" max="23" width="17.00390625" style="129" bestFit="1" customWidth="1"/>
    <col min="24" max="25" width="9.00390625" style="128" customWidth="1"/>
    <col min="26" max="28" width="9.00390625" style="130" customWidth="1"/>
    <col min="29" max="256" width="9.00390625" style="128" customWidth="1"/>
    <col min="257" max="257" width="7.25390625" style="128" bestFit="1" customWidth="1"/>
    <col min="258" max="258" width="9.25390625" style="128" bestFit="1" customWidth="1"/>
    <col min="259" max="259" width="27.00390625" style="128" bestFit="1" customWidth="1"/>
    <col min="260" max="260" width="11.125" style="128" bestFit="1" customWidth="1"/>
    <col min="261" max="261" width="15.625" style="128" customWidth="1"/>
    <col min="262" max="262" width="14.00390625" style="128" bestFit="1" customWidth="1"/>
    <col min="263" max="263" width="9.25390625" style="128" bestFit="1" customWidth="1"/>
    <col min="264" max="264" width="11.125" style="128" bestFit="1" customWidth="1"/>
    <col min="265" max="265" width="15.625" style="128" customWidth="1"/>
    <col min="266" max="266" width="14.00390625" style="128" bestFit="1" customWidth="1"/>
    <col min="267" max="267" width="9.25390625" style="128" bestFit="1" customWidth="1"/>
    <col min="268" max="268" width="11.125" style="128" bestFit="1" customWidth="1"/>
    <col min="269" max="269" width="15.625" style="128" customWidth="1"/>
    <col min="270" max="270" width="14.00390625" style="128" bestFit="1" customWidth="1"/>
    <col min="271" max="271" width="9.25390625" style="128" bestFit="1" customWidth="1"/>
    <col min="272" max="272" width="11.125" style="128" bestFit="1" customWidth="1"/>
    <col min="273" max="273" width="15.625" style="128" customWidth="1"/>
    <col min="274" max="274" width="14.00390625" style="128" bestFit="1" customWidth="1"/>
    <col min="275" max="275" width="9.25390625" style="128" bestFit="1" customWidth="1"/>
    <col min="276" max="276" width="11.125" style="128" bestFit="1" customWidth="1"/>
    <col min="277" max="277" width="15.625" style="128" customWidth="1"/>
    <col min="278" max="278" width="14.00390625" style="128" bestFit="1" customWidth="1"/>
    <col min="279" max="279" width="9.25390625" style="128" bestFit="1" customWidth="1"/>
    <col min="280" max="512" width="9.00390625" style="128" customWidth="1"/>
    <col min="513" max="513" width="7.25390625" style="128" bestFit="1" customWidth="1"/>
    <col min="514" max="514" width="9.25390625" style="128" bestFit="1" customWidth="1"/>
    <col min="515" max="515" width="27.00390625" style="128" bestFit="1" customWidth="1"/>
    <col min="516" max="516" width="11.125" style="128" bestFit="1" customWidth="1"/>
    <col min="517" max="517" width="15.625" style="128" customWidth="1"/>
    <col min="518" max="518" width="14.00390625" style="128" bestFit="1" customWidth="1"/>
    <col min="519" max="519" width="9.25390625" style="128" bestFit="1" customWidth="1"/>
    <col min="520" max="520" width="11.125" style="128" bestFit="1" customWidth="1"/>
    <col min="521" max="521" width="15.625" style="128" customWidth="1"/>
    <col min="522" max="522" width="14.00390625" style="128" bestFit="1" customWidth="1"/>
    <col min="523" max="523" width="9.25390625" style="128" bestFit="1" customWidth="1"/>
    <col min="524" max="524" width="11.125" style="128" bestFit="1" customWidth="1"/>
    <col min="525" max="525" width="15.625" style="128" customWidth="1"/>
    <col min="526" max="526" width="14.00390625" style="128" bestFit="1" customWidth="1"/>
    <col min="527" max="527" width="9.25390625" style="128" bestFit="1" customWidth="1"/>
    <col min="528" max="528" width="11.125" style="128" bestFit="1" customWidth="1"/>
    <col min="529" max="529" width="15.625" style="128" customWidth="1"/>
    <col min="530" max="530" width="14.00390625" style="128" bestFit="1" customWidth="1"/>
    <col min="531" max="531" width="9.25390625" style="128" bestFit="1" customWidth="1"/>
    <col min="532" max="532" width="11.125" style="128" bestFit="1" customWidth="1"/>
    <col min="533" max="533" width="15.625" style="128" customWidth="1"/>
    <col min="534" max="534" width="14.00390625" style="128" bestFit="1" customWidth="1"/>
    <col min="535" max="535" width="9.25390625" style="128" bestFit="1" customWidth="1"/>
    <col min="536" max="768" width="9.00390625" style="128" customWidth="1"/>
    <col min="769" max="769" width="7.25390625" style="128" bestFit="1" customWidth="1"/>
    <col min="770" max="770" width="9.25390625" style="128" bestFit="1" customWidth="1"/>
    <col min="771" max="771" width="27.00390625" style="128" bestFit="1" customWidth="1"/>
    <col min="772" max="772" width="11.125" style="128" bestFit="1" customWidth="1"/>
    <col min="773" max="773" width="15.625" style="128" customWidth="1"/>
    <col min="774" max="774" width="14.00390625" style="128" bestFit="1" customWidth="1"/>
    <col min="775" max="775" width="9.25390625" style="128" bestFit="1" customWidth="1"/>
    <col min="776" max="776" width="11.125" style="128" bestFit="1" customWidth="1"/>
    <col min="777" max="777" width="15.625" style="128" customWidth="1"/>
    <col min="778" max="778" width="14.00390625" style="128" bestFit="1" customWidth="1"/>
    <col min="779" max="779" width="9.25390625" style="128" bestFit="1" customWidth="1"/>
    <col min="780" max="780" width="11.125" style="128" bestFit="1" customWidth="1"/>
    <col min="781" max="781" width="15.625" style="128" customWidth="1"/>
    <col min="782" max="782" width="14.00390625" style="128" bestFit="1" customWidth="1"/>
    <col min="783" max="783" width="9.25390625" style="128" bestFit="1" customWidth="1"/>
    <col min="784" max="784" width="11.125" style="128" bestFit="1" customWidth="1"/>
    <col min="785" max="785" width="15.625" style="128" customWidth="1"/>
    <col min="786" max="786" width="14.00390625" style="128" bestFit="1" customWidth="1"/>
    <col min="787" max="787" width="9.25390625" style="128" bestFit="1" customWidth="1"/>
    <col min="788" max="788" width="11.125" style="128" bestFit="1" customWidth="1"/>
    <col min="789" max="789" width="15.625" style="128" customWidth="1"/>
    <col min="790" max="790" width="14.00390625" style="128" bestFit="1" customWidth="1"/>
    <col min="791" max="791" width="9.25390625" style="128" bestFit="1" customWidth="1"/>
    <col min="792" max="1024" width="9.00390625" style="128" customWidth="1"/>
    <col min="1025" max="1025" width="7.25390625" style="128" bestFit="1" customWidth="1"/>
    <col min="1026" max="1026" width="9.25390625" style="128" bestFit="1" customWidth="1"/>
    <col min="1027" max="1027" width="27.00390625" style="128" bestFit="1" customWidth="1"/>
    <col min="1028" max="1028" width="11.125" style="128" bestFit="1" customWidth="1"/>
    <col min="1029" max="1029" width="15.625" style="128" customWidth="1"/>
    <col min="1030" max="1030" width="14.00390625" style="128" bestFit="1" customWidth="1"/>
    <col min="1031" max="1031" width="9.25390625" style="128" bestFit="1" customWidth="1"/>
    <col min="1032" max="1032" width="11.125" style="128" bestFit="1" customWidth="1"/>
    <col min="1033" max="1033" width="15.625" style="128" customWidth="1"/>
    <col min="1034" max="1034" width="14.00390625" style="128" bestFit="1" customWidth="1"/>
    <col min="1035" max="1035" width="9.25390625" style="128" bestFit="1" customWidth="1"/>
    <col min="1036" max="1036" width="11.125" style="128" bestFit="1" customWidth="1"/>
    <col min="1037" max="1037" width="15.625" style="128" customWidth="1"/>
    <col min="1038" max="1038" width="14.00390625" style="128" bestFit="1" customWidth="1"/>
    <col min="1039" max="1039" width="9.25390625" style="128" bestFit="1" customWidth="1"/>
    <col min="1040" max="1040" width="11.125" style="128" bestFit="1" customWidth="1"/>
    <col min="1041" max="1041" width="15.625" style="128" customWidth="1"/>
    <col min="1042" max="1042" width="14.00390625" style="128" bestFit="1" customWidth="1"/>
    <col min="1043" max="1043" width="9.25390625" style="128" bestFit="1" customWidth="1"/>
    <col min="1044" max="1044" width="11.125" style="128" bestFit="1" customWidth="1"/>
    <col min="1045" max="1045" width="15.625" style="128" customWidth="1"/>
    <col min="1046" max="1046" width="14.00390625" style="128" bestFit="1" customWidth="1"/>
    <col min="1047" max="1047" width="9.25390625" style="128" bestFit="1" customWidth="1"/>
    <col min="1048" max="1280" width="9.00390625" style="128" customWidth="1"/>
    <col min="1281" max="1281" width="7.25390625" style="128" bestFit="1" customWidth="1"/>
    <col min="1282" max="1282" width="9.25390625" style="128" bestFit="1" customWidth="1"/>
    <col min="1283" max="1283" width="27.00390625" style="128" bestFit="1" customWidth="1"/>
    <col min="1284" max="1284" width="11.125" style="128" bestFit="1" customWidth="1"/>
    <col min="1285" max="1285" width="15.625" style="128" customWidth="1"/>
    <col min="1286" max="1286" width="14.00390625" style="128" bestFit="1" customWidth="1"/>
    <col min="1287" max="1287" width="9.25390625" style="128" bestFit="1" customWidth="1"/>
    <col min="1288" max="1288" width="11.125" style="128" bestFit="1" customWidth="1"/>
    <col min="1289" max="1289" width="15.625" style="128" customWidth="1"/>
    <col min="1290" max="1290" width="14.00390625" style="128" bestFit="1" customWidth="1"/>
    <col min="1291" max="1291" width="9.25390625" style="128" bestFit="1" customWidth="1"/>
    <col min="1292" max="1292" width="11.125" style="128" bestFit="1" customWidth="1"/>
    <col min="1293" max="1293" width="15.625" style="128" customWidth="1"/>
    <col min="1294" max="1294" width="14.00390625" style="128" bestFit="1" customWidth="1"/>
    <col min="1295" max="1295" width="9.25390625" style="128" bestFit="1" customWidth="1"/>
    <col min="1296" max="1296" width="11.125" style="128" bestFit="1" customWidth="1"/>
    <col min="1297" max="1297" width="15.625" style="128" customWidth="1"/>
    <col min="1298" max="1298" width="14.00390625" style="128" bestFit="1" customWidth="1"/>
    <col min="1299" max="1299" width="9.25390625" style="128" bestFit="1" customWidth="1"/>
    <col min="1300" max="1300" width="11.125" style="128" bestFit="1" customWidth="1"/>
    <col min="1301" max="1301" width="15.625" style="128" customWidth="1"/>
    <col min="1302" max="1302" width="14.00390625" style="128" bestFit="1" customWidth="1"/>
    <col min="1303" max="1303" width="9.25390625" style="128" bestFit="1" customWidth="1"/>
    <col min="1304" max="1536" width="9.00390625" style="128" customWidth="1"/>
    <col min="1537" max="1537" width="7.25390625" style="128" bestFit="1" customWidth="1"/>
    <col min="1538" max="1538" width="9.25390625" style="128" bestFit="1" customWidth="1"/>
    <col min="1539" max="1539" width="27.00390625" style="128" bestFit="1" customWidth="1"/>
    <col min="1540" max="1540" width="11.125" style="128" bestFit="1" customWidth="1"/>
    <col min="1541" max="1541" width="15.625" style="128" customWidth="1"/>
    <col min="1542" max="1542" width="14.00390625" style="128" bestFit="1" customWidth="1"/>
    <col min="1543" max="1543" width="9.25390625" style="128" bestFit="1" customWidth="1"/>
    <col min="1544" max="1544" width="11.125" style="128" bestFit="1" customWidth="1"/>
    <col min="1545" max="1545" width="15.625" style="128" customWidth="1"/>
    <col min="1546" max="1546" width="14.00390625" style="128" bestFit="1" customWidth="1"/>
    <col min="1547" max="1547" width="9.25390625" style="128" bestFit="1" customWidth="1"/>
    <col min="1548" max="1548" width="11.125" style="128" bestFit="1" customWidth="1"/>
    <col min="1549" max="1549" width="15.625" style="128" customWidth="1"/>
    <col min="1550" max="1550" width="14.00390625" style="128" bestFit="1" customWidth="1"/>
    <col min="1551" max="1551" width="9.25390625" style="128" bestFit="1" customWidth="1"/>
    <col min="1552" max="1552" width="11.125" style="128" bestFit="1" customWidth="1"/>
    <col min="1553" max="1553" width="15.625" style="128" customWidth="1"/>
    <col min="1554" max="1554" width="14.00390625" style="128" bestFit="1" customWidth="1"/>
    <col min="1555" max="1555" width="9.25390625" style="128" bestFit="1" customWidth="1"/>
    <col min="1556" max="1556" width="11.125" style="128" bestFit="1" customWidth="1"/>
    <col min="1557" max="1557" width="15.625" style="128" customWidth="1"/>
    <col min="1558" max="1558" width="14.00390625" style="128" bestFit="1" customWidth="1"/>
    <col min="1559" max="1559" width="9.25390625" style="128" bestFit="1" customWidth="1"/>
    <col min="1560" max="1792" width="9.00390625" style="128" customWidth="1"/>
    <col min="1793" max="1793" width="7.25390625" style="128" bestFit="1" customWidth="1"/>
    <col min="1794" max="1794" width="9.25390625" style="128" bestFit="1" customWidth="1"/>
    <col min="1795" max="1795" width="27.00390625" style="128" bestFit="1" customWidth="1"/>
    <col min="1796" max="1796" width="11.125" style="128" bestFit="1" customWidth="1"/>
    <col min="1797" max="1797" width="15.625" style="128" customWidth="1"/>
    <col min="1798" max="1798" width="14.00390625" style="128" bestFit="1" customWidth="1"/>
    <col min="1799" max="1799" width="9.25390625" style="128" bestFit="1" customWidth="1"/>
    <col min="1800" max="1800" width="11.125" style="128" bestFit="1" customWidth="1"/>
    <col min="1801" max="1801" width="15.625" style="128" customWidth="1"/>
    <col min="1802" max="1802" width="14.00390625" style="128" bestFit="1" customWidth="1"/>
    <col min="1803" max="1803" width="9.25390625" style="128" bestFit="1" customWidth="1"/>
    <col min="1804" max="1804" width="11.125" style="128" bestFit="1" customWidth="1"/>
    <col min="1805" max="1805" width="15.625" style="128" customWidth="1"/>
    <col min="1806" max="1806" width="14.00390625" style="128" bestFit="1" customWidth="1"/>
    <col min="1807" max="1807" width="9.25390625" style="128" bestFit="1" customWidth="1"/>
    <col min="1808" max="1808" width="11.125" style="128" bestFit="1" customWidth="1"/>
    <col min="1809" max="1809" width="15.625" style="128" customWidth="1"/>
    <col min="1810" max="1810" width="14.00390625" style="128" bestFit="1" customWidth="1"/>
    <col min="1811" max="1811" width="9.25390625" style="128" bestFit="1" customWidth="1"/>
    <col min="1812" max="1812" width="11.125" style="128" bestFit="1" customWidth="1"/>
    <col min="1813" max="1813" width="15.625" style="128" customWidth="1"/>
    <col min="1814" max="1814" width="14.00390625" style="128" bestFit="1" customWidth="1"/>
    <col min="1815" max="1815" width="9.25390625" style="128" bestFit="1" customWidth="1"/>
    <col min="1816" max="2048" width="9.00390625" style="128" customWidth="1"/>
    <col min="2049" max="2049" width="7.25390625" style="128" bestFit="1" customWidth="1"/>
    <col min="2050" max="2050" width="9.25390625" style="128" bestFit="1" customWidth="1"/>
    <col min="2051" max="2051" width="27.00390625" style="128" bestFit="1" customWidth="1"/>
    <col min="2052" max="2052" width="11.125" style="128" bestFit="1" customWidth="1"/>
    <col min="2053" max="2053" width="15.625" style="128" customWidth="1"/>
    <col min="2054" max="2054" width="14.00390625" style="128" bestFit="1" customWidth="1"/>
    <col min="2055" max="2055" width="9.25390625" style="128" bestFit="1" customWidth="1"/>
    <col min="2056" max="2056" width="11.125" style="128" bestFit="1" customWidth="1"/>
    <col min="2057" max="2057" width="15.625" style="128" customWidth="1"/>
    <col min="2058" max="2058" width="14.00390625" style="128" bestFit="1" customWidth="1"/>
    <col min="2059" max="2059" width="9.25390625" style="128" bestFit="1" customWidth="1"/>
    <col min="2060" max="2060" width="11.125" style="128" bestFit="1" customWidth="1"/>
    <col min="2061" max="2061" width="15.625" style="128" customWidth="1"/>
    <col min="2062" max="2062" width="14.00390625" style="128" bestFit="1" customWidth="1"/>
    <col min="2063" max="2063" width="9.25390625" style="128" bestFit="1" customWidth="1"/>
    <col min="2064" max="2064" width="11.125" style="128" bestFit="1" customWidth="1"/>
    <col min="2065" max="2065" width="15.625" style="128" customWidth="1"/>
    <col min="2066" max="2066" width="14.00390625" style="128" bestFit="1" customWidth="1"/>
    <col min="2067" max="2067" width="9.25390625" style="128" bestFit="1" customWidth="1"/>
    <col min="2068" max="2068" width="11.125" style="128" bestFit="1" customWidth="1"/>
    <col min="2069" max="2069" width="15.625" style="128" customWidth="1"/>
    <col min="2070" max="2070" width="14.00390625" style="128" bestFit="1" customWidth="1"/>
    <col min="2071" max="2071" width="9.25390625" style="128" bestFit="1" customWidth="1"/>
    <col min="2072" max="2304" width="9.00390625" style="128" customWidth="1"/>
    <col min="2305" max="2305" width="7.25390625" style="128" bestFit="1" customWidth="1"/>
    <col min="2306" max="2306" width="9.25390625" style="128" bestFit="1" customWidth="1"/>
    <col min="2307" max="2307" width="27.00390625" style="128" bestFit="1" customWidth="1"/>
    <col min="2308" max="2308" width="11.125" style="128" bestFit="1" customWidth="1"/>
    <col min="2309" max="2309" width="15.625" style="128" customWidth="1"/>
    <col min="2310" max="2310" width="14.00390625" style="128" bestFit="1" customWidth="1"/>
    <col min="2311" max="2311" width="9.25390625" style="128" bestFit="1" customWidth="1"/>
    <col min="2312" max="2312" width="11.125" style="128" bestFit="1" customWidth="1"/>
    <col min="2313" max="2313" width="15.625" style="128" customWidth="1"/>
    <col min="2314" max="2314" width="14.00390625" style="128" bestFit="1" customWidth="1"/>
    <col min="2315" max="2315" width="9.25390625" style="128" bestFit="1" customWidth="1"/>
    <col min="2316" max="2316" width="11.125" style="128" bestFit="1" customWidth="1"/>
    <col min="2317" max="2317" width="15.625" style="128" customWidth="1"/>
    <col min="2318" max="2318" width="14.00390625" style="128" bestFit="1" customWidth="1"/>
    <col min="2319" max="2319" width="9.25390625" style="128" bestFit="1" customWidth="1"/>
    <col min="2320" max="2320" width="11.125" style="128" bestFit="1" customWidth="1"/>
    <col min="2321" max="2321" width="15.625" style="128" customWidth="1"/>
    <col min="2322" max="2322" width="14.00390625" style="128" bestFit="1" customWidth="1"/>
    <col min="2323" max="2323" width="9.25390625" style="128" bestFit="1" customWidth="1"/>
    <col min="2324" max="2324" width="11.125" style="128" bestFit="1" customWidth="1"/>
    <col min="2325" max="2325" width="15.625" style="128" customWidth="1"/>
    <col min="2326" max="2326" width="14.00390625" style="128" bestFit="1" customWidth="1"/>
    <col min="2327" max="2327" width="9.25390625" style="128" bestFit="1" customWidth="1"/>
    <col min="2328" max="2560" width="9.00390625" style="128" customWidth="1"/>
    <col min="2561" max="2561" width="7.25390625" style="128" bestFit="1" customWidth="1"/>
    <col min="2562" max="2562" width="9.25390625" style="128" bestFit="1" customWidth="1"/>
    <col min="2563" max="2563" width="27.00390625" style="128" bestFit="1" customWidth="1"/>
    <col min="2564" max="2564" width="11.125" style="128" bestFit="1" customWidth="1"/>
    <col min="2565" max="2565" width="15.625" style="128" customWidth="1"/>
    <col min="2566" max="2566" width="14.00390625" style="128" bestFit="1" customWidth="1"/>
    <col min="2567" max="2567" width="9.25390625" style="128" bestFit="1" customWidth="1"/>
    <col min="2568" max="2568" width="11.125" style="128" bestFit="1" customWidth="1"/>
    <col min="2569" max="2569" width="15.625" style="128" customWidth="1"/>
    <col min="2570" max="2570" width="14.00390625" style="128" bestFit="1" customWidth="1"/>
    <col min="2571" max="2571" width="9.25390625" style="128" bestFit="1" customWidth="1"/>
    <col min="2572" max="2572" width="11.125" style="128" bestFit="1" customWidth="1"/>
    <col min="2573" max="2573" width="15.625" style="128" customWidth="1"/>
    <col min="2574" max="2574" width="14.00390625" style="128" bestFit="1" customWidth="1"/>
    <col min="2575" max="2575" width="9.25390625" style="128" bestFit="1" customWidth="1"/>
    <col min="2576" max="2576" width="11.125" style="128" bestFit="1" customWidth="1"/>
    <col min="2577" max="2577" width="15.625" style="128" customWidth="1"/>
    <col min="2578" max="2578" width="14.00390625" style="128" bestFit="1" customWidth="1"/>
    <col min="2579" max="2579" width="9.25390625" style="128" bestFit="1" customWidth="1"/>
    <col min="2580" max="2580" width="11.125" style="128" bestFit="1" customWidth="1"/>
    <col min="2581" max="2581" width="15.625" style="128" customWidth="1"/>
    <col min="2582" max="2582" width="14.00390625" style="128" bestFit="1" customWidth="1"/>
    <col min="2583" max="2583" width="9.25390625" style="128" bestFit="1" customWidth="1"/>
    <col min="2584" max="2816" width="9.00390625" style="128" customWidth="1"/>
    <col min="2817" max="2817" width="7.25390625" style="128" bestFit="1" customWidth="1"/>
    <col min="2818" max="2818" width="9.25390625" style="128" bestFit="1" customWidth="1"/>
    <col min="2819" max="2819" width="27.00390625" style="128" bestFit="1" customWidth="1"/>
    <col min="2820" max="2820" width="11.125" style="128" bestFit="1" customWidth="1"/>
    <col min="2821" max="2821" width="15.625" style="128" customWidth="1"/>
    <col min="2822" max="2822" width="14.00390625" style="128" bestFit="1" customWidth="1"/>
    <col min="2823" max="2823" width="9.25390625" style="128" bestFit="1" customWidth="1"/>
    <col min="2824" max="2824" width="11.125" style="128" bestFit="1" customWidth="1"/>
    <col min="2825" max="2825" width="15.625" style="128" customWidth="1"/>
    <col min="2826" max="2826" width="14.00390625" style="128" bestFit="1" customWidth="1"/>
    <col min="2827" max="2827" width="9.25390625" style="128" bestFit="1" customWidth="1"/>
    <col min="2828" max="2828" width="11.125" style="128" bestFit="1" customWidth="1"/>
    <col min="2829" max="2829" width="15.625" style="128" customWidth="1"/>
    <col min="2830" max="2830" width="14.00390625" style="128" bestFit="1" customWidth="1"/>
    <col min="2831" max="2831" width="9.25390625" style="128" bestFit="1" customWidth="1"/>
    <col min="2832" max="2832" width="11.125" style="128" bestFit="1" customWidth="1"/>
    <col min="2833" max="2833" width="15.625" style="128" customWidth="1"/>
    <col min="2834" max="2834" width="14.00390625" style="128" bestFit="1" customWidth="1"/>
    <col min="2835" max="2835" width="9.25390625" style="128" bestFit="1" customWidth="1"/>
    <col min="2836" max="2836" width="11.125" style="128" bestFit="1" customWidth="1"/>
    <col min="2837" max="2837" width="15.625" style="128" customWidth="1"/>
    <col min="2838" max="2838" width="14.00390625" style="128" bestFit="1" customWidth="1"/>
    <col min="2839" max="2839" width="9.25390625" style="128" bestFit="1" customWidth="1"/>
    <col min="2840" max="3072" width="9.00390625" style="128" customWidth="1"/>
    <col min="3073" max="3073" width="7.25390625" style="128" bestFit="1" customWidth="1"/>
    <col min="3074" max="3074" width="9.25390625" style="128" bestFit="1" customWidth="1"/>
    <col min="3075" max="3075" width="27.00390625" style="128" bestFit="1" customWidth="1"/>
    <col min="3076" max="3076" width="11.125" style="128" bestFit="1" customWidth="1"/>
    <col min="3077" max="3077" width="15.625" style="128" customWidth="1"/>
    <col min="3078" max="3078" width="14.00390625" style="128" bestFit="1" customWidth="1"/>
    <col min="3079" max="3079" width="9.25390625" style="128" bestFit="1" customWidth="1"/>
    <col min="3080" max="3080" width="11.125" style="128" bestFit="1" customWidth="1"/>
    <col min="3081" max="3081" width="15.625" style="128" customWidth="1"/>
    <col min="3082" max="3082" width="14.00390625" style="128" bestFit="1" customWidth="1"/>
    <col min="3083" max="3083" width="9.25390625" style="128" bestFit="1" customWidth="1"/>
    <col min="3084" max="3084" width="11.125" style="128" bestFit="1" customWidth="1"/>
    <col min="3085" max="3085" width="15.625" style="128" customWidth="1"/>
    <col min="3086" max="3086" width="14.00390625" style="128" bestFit="1" customWidth="1"/>
    <col min="3087" max="3087" width="9.25390625" style="128" bestFit="1" customWidth="1"/>
    <col min="3088" max="3088" width="11.125" style="128" bestFit="1" customWidth="1"/>
    <col min="3089" max="3089" width="15.625" style="128" customWidth="1"/>
    <col min="3090" max="3090" width="14.00390625" style="128" bestFit="1" customWidth="1"/>
    <col min="3091" max="3091" width="9.25390625" style="128" bestFit="1" customWidth="1"/>
    <col min="3092" max="3092" width="11.125" style="128" bestFit="1" customWidth="1"/>
    <col min="3093" max="3093" width="15.625" style="128" customWidth="1"/>
    <col min="3094" max="3094" width="14.00390625" style="128" bestFit="1" customWidth="1"/>
    <col min="3095" max="3095" width="9.25390625" style="128" bestFit="1" customWidth="1"/>
    <col min="3096" max="3328" width="9.00390625" style="128" customWidth="1"/>
    <col min="3329" max="3329" width="7.25390625" style="128" bestFit="1" customWidth="1"/>
    <col min="3330" max="3330" width="9.25390625" style="128" bestFit="1" customWidth="1"/>
    <col min="3331" max="3331" width="27.00390625" style="128" bestFit="1" customWidth="1"/>
    <col min="3332" max="3332" width="11.125" style="128" bestFit="1" customWidth="1"/>
    <col min="3333" max="3333" width="15.625" style="128" customWidth="1"/>
    <col min="3334" max="3334" width="14.00390625" style="128" bestFit="1" customWidth="1"/>
    <col min="3335" max="3335" width="9.25390625" style="128" bestFit="1" customWidth="1"/>
    <col min="3336" max="3336" width="11.125" style="128" bestFit="1" customWidth="1"/>
    <col min="3337" max="3337" width="15.625" style="128" customWidth="1"/>
    <col min="3338" max="3338" width="14.00390625" style="128" bestFit="1" customWidth="1"/>
    <col min="3339" max="3339" width="9.25390625" style="128" bestFit="1" customWidth="1"/>
    <col min="3340" max="3340" width="11.125" style="128" bestFit="1" customWidth="1"/>
    <col min="3341" max="3341" width="15.625" style="128" customWidth="1"/>
    <col min="3342" max="3342" width="14.00390625" style="128" bestFit="1" customWidth="1"/>
    <col min="3343" max="3343" width="9.25390625" style="128" bestFit="1" customWidth="1"/>
    <col min="3344" max="3344" width="11.125" style="128" bestFit="1" customWidth="1"/>
    <col min="3345" max="3345" width="15.625" style="128" customWidth="1"/>
    <col min="3346" max="3346" width="14.00390625" style="128" bestFit="1" customWidth="1"/>
    <col min="3347" max="3347" width="9.25390625" style="128" bestFit="1" customWidth="1"/>
    <col min="3348" max="3348" width="11.125" style="128" bestFit="1" customWidth="1"/>
    <col min="3349" max="3349" width="15.625" style="128" customWidth="1"/>
    <col min="3350" max="3350" width="14.00390625" style="128" bestFit="1" customWidth="1"/>
    <col min="3351" max="3351" width="9.25390625" style="128" bestFit="1" customWidth="1"/>
    <col min="3352" max="3584" width="9.00390625" style="128" customWidth="1"/>
    <col min="3585" max="3585" width="7.25390625" style="128" bestFit="1" customWidth="1"/>
    <col min="3586" max="3586" width="9.25390625" style="128" bestFit="1" customWidth="1"/>
    <col min="3587" max="3587" width="27.00390625" style="128" bestFit="1" customWidth="1"/>
    <col min="3588" max="3588" width="11.125" style="128" bestFit="1" customWidth="1"/>
    <col min="3589" max="3589" width="15.625" style="128" customWidth="1"/>
    <col min="3590" max="3590" width="14.00390625" style="128" bestFit="1" customWidth="1"/>
    <col min="3591" max="3591" width="9.25390625" style="128" bestFit="1" customWidth="1"/>
    <col min="3592" max="3592" width="11.125" style="128" bestFit="1" customWidth="1"/>
    <col min="3593" max="3593" width="15.625" style="128" customWidth="1"/>
    <col min="3594" max="3594" width="14.00390625" style="128" bestFit="1" customWidth="1"/>
    <col min="3595" max="3595" width="9.25390625" style="128" bestFit="1" customWidth="1"/>
    <col min="3596" max="3596" width="11.125" style="128" bestFit="1" customWidth="1"/>
    <col min="3597" max="3597" width="15.625" style="128" customWidth="1"/>
    <col min="3598" max="3598" width="14.00390625" style="128" bestFit="1" customWidth="1"/>
    <col min="3599" max="3599" width="9.25390625" style="128" bestFit="1" customWidth="1"/>
    <col min="3600" max="3600" width="11.125" style="128" bestFit="1" customWidth="1"/>
    <col min="3601" max="3601" width="15.625" style="128" customWidth="1"/>
    <col min="3602" max="3602" width="14.00390625" style="128" bestFit="1" customWidth="1"/>
    <col min="3603" max="3603" width="9.25390625" style="128" bestFit="1" customWidth="1"/>
    <col min="3604" max="3604" width="11.125" style="128" bestFit="1" customWidth="1"/>
    <col min="3605" max="3605" width="15.625" style="128" customWidth="1"/>
    <col min="3606" max="3606" width="14.00390625" style="128" bestFit="1" customWidth="1"/>
    <col min="3607" max="3607" width="9.25390625" style="128" bestFit="1" customWidth="1"/>
    <col min="3608" max="3840" width="9.00390625" style="128" customWidth="1"/>
    <col min="3841" max="3841" width="7.25390625" style="128" bestFit="1" customWidth="1"/>
    <col min="3842" max="3842" width="9.25390625" style="128" bestFit="1" customWidth="1"/>
    <col min="3843" max="3843" width="27.00390625" style="128" bestFit="1" customWidth="1"/>
    <col min="3844" max="3844" width="11.125" style="128" bestFit="1" customWidth="1"/>
    <col min="3845" max="3845" width="15.625" style="128" customWidth="1"/>
    <col min="3846" max="3846" width="14.00390625" style="128" bestFit="1" customWidth="1"/>
    <col min="3847" max="3847" width="9.25390625" style="128" bestFit="1" customWidth="1"/>
    <col min="3848" max="3848" width="11.125" style="128" bestFit="1" customWidth="1"/>
    <col min="3849" max="3849" width="15.625" style="128" customWidth="1"/>
    <col min="3850" max="3850" width="14.00390625" style="128" bestFit="1" customWidth="1"/>
    <col min="3851" max="3851" width="9.25390625" style="128" bestFit="1" customWidth="1"/>
    <col min="3852" max="3852" width="11.125" style="128" bestFit="1" customWidth="1"/>
    <col min="3853" max="3853" width="15.625" style="128" customWidth="1"/>
    <col min="3854" max="3854" width="14.00390625" style="128" bestFit="1" customWidth="1"/>
    <col min="3855" max="3855" width="9.25390625" style="128" bestFit="1" customWidth="1"/>
    <col min="3856" max="3856" width="11.125" style="128" bestFit="1" customWidth="1"/>
    <col min="3857" max="3857" width="15.625" style="128" customWidth="1"/>
    <col min="3858" max="3858" width="14.00390625" style="128" bestFit="1" customWidth="1"/>
    <col min="3859" max="3859" width="9.25390625" style="128" bestFit="1" customWidth="1"/>
    <col min="3860" max="3860" width="11.125" style="128" bestFit="1" customWidth="1"/>
    <col min="3861" max="3861" width="15.625" style="128" customWidth="1"/>
    <col min="3862" max="3862" width="14.00390625" style="128" bestFit="1" customWidth="1"/>
    <col min="3863" max="3863" width="9.25390625" style="128" bestFit="1" customWidth="1"/>
    <col min="3864" max="4096" width="9.00390625" style="128" customWidth="1"/>
    <col min="4097" max="4097" width="7.25390625" style="128" bestFit="1" customWidth="1"/>
    <col min="4098" max="4098" width="9.25390625" style="128" bestFit="1" customWidth="1"/>
    <col min="4099" max="4099" width="27.00390625" style="128" bestFit="1" customWidth="1"/>
    <col min="4100" max="4100" width="11.125" style="128" bestFit="1" customWidth="1"/>
    <col min="4101" max="4101" width="15.625" style="128" customWidth="1"/>
    <col min="4102" max="4102" width="14.00390625" style="128" bestFit="1" customWidth="1"/>
    <col min="4103" max="4103" width="9.25390625" style="128" bestFit="1" customWidth="1"/>
    <col min="4104" max="4104" width="11.125" style="128" bestFit="1" customWidth="1"/>
    <col min="4105" max="4105" width="15.625" style="128" customWidth="1"/>
    <col min="4106" max="4106" width="14.00390625" style="128" bestFit="1" customWidth="1"/>
    <col min="4107" max="4107" width="9.25390625" style="128" bestFit="1" customWidth="1"/>
    <col min="4108" max="4108" width="11.125" style="128" bestFit="1" customWidth="1"/>
    <col min="4109" max="4109" width="15.625" style="128" customWidth="1"/>
    <col min="4110" max="4110" width="14.00390625" style="128" bestFit="1" customWidth="1"/>
    <col min="4111" max="4111" width="9.25390625" style="128" bestFit="1" customWidth="1"/>
    <col min="4112" max="4112" width="11.125" style="128" bestFit="1" customWidth="1"/>
    <col min="4113" max="4113" width="15.625" style="128" customWidth="1"/>
    <col min="4114" max="4114" width="14.00390625" style="128" bestFit="1" customWidth="1"/>
    <col min="4115" max="4115" width="9.25390625" style="128" bestFit="1" customWidth="1"/>
    <col min="4116" max="4116" width="11.125" style="128" bestFit="1" customWidth="1"/>
    <col min="4117" max="4117" width="15.625" style="128" customWidth="1"/>
    <col min="4118" max="4118" width="14.00390625" style="128" bestFit="1" customWidth="1"/>
    <col min="4119" max="4119" width="9.25390625" style="128" bestFit="1" customWidth="1"/>
    <col min="4120" max="4352" width="9.00390625" style="128" customWidth="1"/>
    <col min="4353" max="4353" width="7.25390625" style="128" bestFit="1" customWidth="1"/>
    <col min="4354" max="4354" width="9.25390625" style="128" bestFit="1" customWidth="1"/>
    <col min="4355" max="4355" width="27.00390625" style="128" bestFit="1" customWidth="1"/>
    <col min="4356" max="4356" width="11.125" style="128" bestFit="1" customWidth="1"/>
    <col min="4357" max="4357" width="15.625" style="128" customWidth="1"/>
    <col min="4358" max="4358" width="14.00390625" style="128" bestFit="1" customWidth="1"/>
    <col min="4359" max="4359" width="9.25390625" style="128" bestFit="1" customWidth="1"/>
    <col min="4360" max="4360" width="11.125" style="128" bestFit="1" customWidth="1"/>
    <col min="4361" max="4361" width="15.625" style="128" customWidth="1"/>
    <col min="4362" max="4362" width="14.00390625" style="128" bestFit="1" customWidth="1"/>
    <col min="4363" max="4363" width="9.25390625" style="128" bestFit="1" customWidth="1"/>
    <col min="4364" max="4364" width="11.125" style="128" bestFit="1" customWidth="1"/>
    <col min="4365" max="4365" width="15.625" style="128" customWidth="1"/>
    <col min="4366" max="4366" width="14.00390625" style="128" bestFit="1" customWidth="1"/>
    <col min="4367" max="4367" width="9.25390625" style="128" bestFit="1" customWidth="1"/>
    <col min="4368" max="4368" width="11.125" style="128" bestFit="1" customWidth="1"/>
    <col min="4369" max="4369" width="15.625" style="128" customWidth="1"/>
    <col min="4370" max="4370" width="14.00390625" style="128" bestFit="1" customWidth="1"/>
    <col min="4371" max="4371" width="9.25390625" style="128" bestFit="1" customWidth="1"/>
    <col min="4372" max="4372" width="11.125" style="128" bestFit="1" customWidth="1"/>
    <col min="4373" max="4373" width="15.625" style="128" customWidth="1"/>
    <col min="4374" max="4374" width="14.00390625" style="128" bestFit="1" customWidth="1"/>
    <col min="4375" max="4375" width="9.25390625" style="128" bestFit="1" customWidth="1"/>
    <col min="4376" max="4608" width="9.00390625" style="128" customWidth="1"/>
    <col min="4609" max="4609" width="7.25390625" style="128" bestFit="1" customWidth="1"/>
    <col min="4610" max="4610" width="9.25390625" style="128" bestFit="1" customWidth="1"/>
    <col min="4611" max="4611" width="27.00390625" style="128" bestFit="1" customWidth="1"/>
    <col min="4612" max="4612" width="11.125" style="128" bestFit="1" customWidth="1"/>
    <col min="4613" max="4613" width="15.625" style="128" customWidth="1"/>
    <col min="4614" max="4614" width="14.00390625" style="128" bestFit="1" customWidth="1"/>
    <col min="4615" max="4615" width="9.25390625" style="128" bestFit="1" customWidth="1"/>
    <col min="4616" max="4616" width="11.125" style="128" bestFit="1" customWidth="1"/>
    <col min="4617" max="4617" width="15.625" style="128" customWidth="1"/>
    <col min="4618" max="4618" width="14.00390625" style="128" bestFit="1" customWidth="1"/>
    <col min="4619" max="4619" width="9.25390625" style="128" bestFit="1" customWidth="1"/>
    <col min="4620" max="4620" width="11.125" style="128" bestFit="1" customWidth="1"/>
    <col min="4621" max="4621" width="15.625" style="128" customWidth="1"/>
    <col min="4622" max="4622" width="14.00390625" style="128" bestFit="1" customWidth="1"/>
    <col min="4623" max="4623" width="9.25390625" style="128" bestFit="1" customWidth="1"/>
    <col min="4624" max="4624" width="11.125" style="128" bestFit="1" customWidth="1"/>
    <col min="4625" max="4625" width="15.625" style="128" customWidth="1"/>
    <col min="4626" max="4626" width="14.00390625" style="128" bestFit="1" customWidth="1"/>
    <col min="4627" max="4627" width="9.25390625" style="128" bestFit="1" customWidth="1"/>
    <col min="4628" max="4628" width="11.125" style="128" bestFit="1" customWidth="1"/>
    <col min="4629" max="4629" width="15.625" style="128" customWidth="1"/>
    <col min="4630" max="4630" width="14.00390625" style="128" bestFit="1" customWidth="1"/>
    <col min="4631" max="4631" width="9.25390625" style="128" bestFit="1" customWidth="1"/>
    <col min="4632" max="4864" width="9.00390625" style="128" customWidth="1"/>
    <col min="4865" max="4865" width="7.25390625" style="128" bestFit="1" customWidth="1"/>
    <col min="4866" max="4866" width="9.25390625" style="128" bestFit="1" customWidth="1"/>
    <col min="4867" max="4867" width="27.00390625" style="128" bestFit="1" customWidth="1"/>
    <col min="4868" max="4868" width="11.125" style="128" bestFit="1" customWidth="1"/>
    <col min="4869" max="4869" width="15.625" style="128" customWidth="1"/>
    <col min="4870" max="4870" width="14.00390625" style="128" bestFit="1" customWidth="1"/>
    <col min="4871" max="4871" width="9.25390625" style="128" bestFit="1" customWidth="1"/>
    <col min="4872" max="4872" width="11.125" style="128" bestFit="1" customWidth="1"/>
    <col min="4873" max="4873" width="15.625" style="128" customWidth="1"/>
    <col min="4874" max="4874" width="14.00390625" style="128" bestFit="1" customWidth="1"/>
    <col min="4875" max="4875" width="9.25390625" style="128" bestFit="1" customWidth="1"/>
    <col min="4876" max="4876" width="11.125" style="128" bestFit="1" customWidth="1"/>
    <col min="4877" max="4877" width="15.625" style="128" customWidth="1"/>
    <col min="4878" max="4878" width="14.00390625" style="128" bestFit="1" customWidth="1"/>
    <col min="4879" max="4879" width="9.25390625" style="128" bestFit="1" customWidth="1"/>
    <col min="4880" max="4880" width="11.125" style="128" bestFit="1" customWidth="1"/>
    <col min="4881" max="4881" width="15.625" style="128" customWidth="1"/>
    <col min="4882" max="4882" width="14.00390625" style="128" bestFit="1" customWidth="1"/>
    <col min="4883" max="4883" width="9.25390625" style="128" bestFit="1" customWidth="1"/>
    <col min="4884" max="4884" width="11.125" style="128" bestFit="1" customWidth="1"/>
    <col min="4885" max="4885" width="15.625" style="128" customWidth="1"/>
    <col min="4886" max="4886" width="14.00390625" style="128" bestFit="1" customWidth="1"/>
    <col min="4887" max="4887" width="9.25390625" style="128" bestFit="1" customWidth="1"/>
    <col min="4888" max="5120" width="9.00390625" style="128" customWidth="1"/>
    <col min="5121" max="5121" width="7.25390625" style="128" bestFit="1" customWidth="1"/>
    <col min="5122" max="5122" width="9.25390625" style="128" bestFit="1" customWidth="1"/>
    <col min="5123" max="5123" width="27.00390625" style="128" bestFit="1" customWidth="1"/>
    <col min="5124" max="5124" width="11.125" style="128" bestFit="1" customWidth="1"/>
    <col min="5125" max="5125" width="15.625" style="128" customWidth="1"/>
    <col min="5126" max="5126" width="14.00390625" style="128" bestFit="1" customWidth="1"/>
    <col min="5127" max="5127" width="9.25390625" style="128" bestFit="1" customWidth="1"/>
    <col min="5128" max="5128" width="11.125" style="128" bestFit="1" customWidth="1"/>
    <col min="5129" max="5129" width="15.625" style="128" customWidth="1"/>
    <col min="5130" max="5130" width="14.00390625" style="128" bestFit="1" customWidth="1"/>
    <col min="5131" max="5131" width="9.25390625" style="128" bestFit="1" customWidth="1"/>
    <col min="5132" max="5132" width="11.125" style="128" bestFit="1" customWidth="1"/>
    <col min="5133" max="5133" width="15.625" style="128" customWidth="1"/>
    <col min="5134" max="5134" width="14.00390625" style="128" bestFit="1" customWidth="1"/>
    <col min="5135" max="5135" width="9.25390625" style="128" bestFit="1" customWidth="1"/>
    <col min="5136" max="5136" width="11.125" style="128" bestFit="1" customWidth="1"/>
    <col min="5137" max="5137" width="15.625" style="128" customWidth="1"/>
    <col min="5138" max="5138" width="14.00390625" style="128" bestFit="1" customWidth="1"/>
    <col min="5139" max="5139" width="9.25390625" style="128" bestFit="1" customWidth="1"/>
    <col min="5140" max="5140" width="11.125" style="128" bestFit="1" customWidth="1"/>
    <col min="5141" max="5141" width="15.625" style="128" customWidth="1"/>
    <col min="5142" max="5142" width="14.00390625" style="128" bestFit="1" customWidth="1"/>
    <col min="5143" max="5143" width="9.25390625" style="128" bestFit="1" customWidth="1"/>
    <col min="5144" max="5376" width="9.00390625" style="128" customWidth="1"/>
    <col min="5377" max="5377" width="7.25390625" style="128" bestFit="1" customWidth="1"/>
    <col min="5378" max="5378" width="9.25390625" style="128" bestFit="1" customWidth="1"/>
    <col min="5379" max="5379" width="27.00390625" style="128" bestFit="1" customWidth="1"/>
    <col min="5380" max="5380" width="11.125" style="128" bestFit="1" customWidth="1"/>
    <col min="5381" max="5381" width="15.625" style="128" customWidth="1"/>
    <col min="5382" max="5382" width="14.00390625" style="128" bestFit="1" customWidth="1"/>
    <col min="5383" max="5383" width="9.25390625" style="128" bestFit="1" customWidth="1"/>
    <col min="5384" max="5384" width="11.125" style="128" bestFit="1" customWidth="1"/>
    <col min="5385" max="5385" width="15.625" style="128" customWidth="1"/>
    <col min="5386" max="5386" width="14.00390625" style="128" bestFit="1" customWidth="1"/>
    <col min="5387" max="5387" width="9.25390625" style="128" bestFit="1" customWidth="1"/>
    <col min="5388" max="5388" width="11.125" style="128" bestFit="1" customWidth="1"/>
    <col min="5389" max="5389" width="15.625" style="128" customWidth="1"/>
    <col min="5390" max="5390" width="14.00390625" style="128" bestFit="1" customWidth="1"/>
    <col min="5391" max="5391" width="9.25390625" style="128" bestFit="1" customWidth="1"/>
    <col min="5392" max="5392" width="11.125" style="128" bestFit="1" customWidth="1"/>
    <col min="5393" max="5393" width="15.625" style="128" customWidth="1"/>
    <col min="5394" max="5394" width="14.00390625" style="128" bestFit="1" customWidth="1"/>
    <col min="5395" max="5395" width="9.25390625" style="128" bestFit="1" customWidth="1"/>
    <col min="5396" max="5396" width="11.125" style="128" bestFit="1" customWidth="1"/>
    <col min="5397" max="5397" width="15.625" style="128" customWidth="1"/>
    <col min="5398" max="5398" width="14.00390625" style="128" bestFit="1" customWidth="1"/>
    <col min="5399" max="5399" width="9.25390625" style="128" bestFit="1" customWidth="1"/>
    <col min="5400" max="5632" width="9.00390625" style="128" customWidth="1"/>
    <col min="5633" max="5633" width="7.25390625" style="128" bestFit="1" customWidth="1"/>
    <col min="5634" max="5634" width="9.25390625" style="128" bestFit="1" customWidth="1"/>
    <col min="5635" max="5635" width="27.00390625" style="128" bestFit="1" customWidth="1"/>
    <col min="5636" max="5636" width="11.125" style="128" bestFit="1" customWidth="1"/>
    <col min="5637" max="5637" width="15.625" style="128" customWidth="1"/>
    <col min="5638" max="5638" width="14.00390625" style="128" bestFit="1" customWidth="1"/>
    <col min="5639" max="5639" width="9.25390625" style="128" bestFit="1" customWidth="1"/>
    <col min="5640" max="5640" width="11.125" style="128" bestFit="1" customWidth="1"/>
    <col min="5641" max="5641" width="15.625" style="128" customWidth="1"/>
    <col min="5642" max="5642" width="14.00390625" style="128" bestFit="1" customWidth="1"/>
    <col min="5643" max="5643" width="9.25390625" style="128" bestFit="1" customWidth="1"/>
    <col min="5644" max="5644" width="11.125" style="128" bestFit="1" customWidth="1"/>
    <col min="5645" max="5645" width="15.625" style="128" customWidth="1"/>
    <col min="5646" max="5646" width="14.00390625" style="128" bestFit="1" customWidth="1"/>
    <col min="5647" max="5647" width="9.25390625" style="128" bestFit="1" customWidth="1"/>
    <col min="5648" max="5648" width="11.125" style="128" bestFit="1" customWidth="1"/>
    <col min="5649" max="5649" width="15.625" style="128" customWidth="1"/>
    <col min="5650" max="5650" width="14.00390625" style="128" bestFit="1" customWidth="1"/>
    <col min="5651" max="5651" width="9.25390625" style="128" bestFit="1" customWidth="1"/>
    <col min="5652" max="5652" width="11.125" style="128" bestFit="1" customWidth="1"/>
    <col min="5653" max="5653" width="15.625" style="128" customWidth="1"/>
    <col min="5654" max="5654" width="14.00390625" style="128" bestFit="1" customWidth="1"/>
    <col min="5655" max="5655" width="9.25390625" style="128" bestFit="1" customWidth="1"/>
    <col min="5656" max="5888" width="9.00390625" style="128" customWidth="1"/>
    <col min="5889" max="5889" width="7.25390625" style="128" bestFit="1" customWidth="1"/>
    <col min="5890" max="5890" width="9.25390625" style="128" bestFit="1" customWidth="1"/>
    <col min="5891" max="5891" width="27.00390625" style="128" bestFit="1" customWidth="1"/>
    <col min="5892" max="5892" width="11.125" style="128" bestFit="1" customWidth="1"/>
    <col min="5893" max="5893" width="15.625" style="128" customWidth="1"/>
    <col min="5894" max="5894" width="14.00390625" style="128" bestFit="1" customWidth="1"/>
    <col min="5895" max="5895" width="9.25390625" style="128" bestFit="1" customWidth="1"/>
    <col min="5896" max="5896" width="11.125" style="128" bestFit="1" customWidth="1"/>
    <col min="5897" max="5897" width="15.625" style="128" customWidth="1"/>
    <col min="5898" max="5898" width="14.00390625" style="128" bestFit="1" customWidth="1"/>
    <col min="5899" max="5899" width="9.25390625" style="128" bestFit="1" customWidth="1"/>
    <col min="5900" max="5900" width="11.125" style="128" bestFit="1" customWidth="1"/>
    <col min="5901" max="5901" width="15.625" style="128" customWidth="1"/>
    <col min="5902" max="5902" width="14.00390625" style="128" bestFit="1" customWidth="1"/>
    <col min="5903" max="5903" width="9.25390625" style="128" bestFit="1" customWidth="1"/>
    <col min="5904" max="5904" width="11.125" style="128" bestFit="1" customWidth="1"/>
    <col min="5905" max="5905" width="15.625" style="128" customWidth="1"/>
    <col min="5906" max="5906" width="14.00390625" style="128" bestFit="1" customWidth="1"/>
    <col min="5907" max="5907" width="9.25390625" style="128" bestFit="1" customWidth="1"/>
    <col min="5908" max="5908" width="11.125" style="128" bestFit="1" customWidth="1"/>
    <col min="5909" max="5909" width="15.625" style="128" customWidth="1"/>
    <col min="5910" max="5910" width="14.00390625" style="128" bestFit="1" customWidth="1"/>
    <col min="5911" max="5911" width="9.25390625" style="128" bestFit="1" customWidth="1"/>
    <col min="5912" max="6144" width="9.00390625" style="128" customWidth="1"/>
    <col min="6145" max="6145" width="7.25390625" style="128" bestFit="1" customWidth="1"/>
    <col min="6146" max="6146" width="9.25390625" style="128" bestFit="1" customWidth="1"/>
    <col min="6147" max="6147" width="27.00390625" style="128" bestFit="1" customWidth="1"/>
    <col min="6148" max="6148" width="11.125" style="128" bestFit="1" customWidth="1"/>
    <col min="6149" max="6149" width="15.625" style="128" customWidth="1"/>
    <col min="6150" max="6150" width="14.00390625" style="128" bestFit="1" customWidth="1"/>
    <col min="6151" max="6151" width="9.25390625" style="128" bestFit="1" customWidth="1"/>
    <col min="6152" max="6152" width="11.125" style="128" bestFit="1" customWidth="1"/>
    <col min="6153" max="6153" width="15.625" style="128" customWidth="1"/>
    <col min="6154" max="6154" width="14.00390625" style="128" bestFit="1" customWidth="1"/>
    <col min="6155" max="6155" width="9.25390625" style="128" bestFit="1" customWidth="1"/>
    <col min="6156" max="6156" width="11.125" style="128" bestFit="1" customWidth="1"/>
    <col min="6157" max="6157" width="15.625" style="128" customWidth="1"/>
    <col min="6158" max="6158" width="14.00390625" style="128" bestFit="1" customWidth="1"/>
    <col min="6159" max="6159" width="9.25390625" style="128" bestFit="1" customWidth="1"/>
    <col min="6160" max="6160" width="11.125" style="128" bestFit="1" customWidth="1"/>
    <col min="6161" max="6161" width="15.625" style="128" customWidth="1"/>
    <col min="6162" max="6162" width="14.00390625" style="128" bestFit="1" customWidth="1"/>
    <col min="6163" max="6163" width="9.25390625" style="128" bestFit="1" customWidth="1"/>
    <col min="6164" max="6164" width="11.125" style="128" bestFit="1" customWidth="1"/>
    <col min="6165" max="6165" width="15.625" style="128" customWidth="1"/>
    <col min="6166" max="6166" width="14.00390625" style="128" bestFit="1" customWidth="1"/>
    <col min="6167" max="6167" width="9.25390625" style="128" bestFit="1" customWidth="1"/>
    <col min="6168" max="6400" width="9.00390625" style="128" customWidth="1"/>
    <col min="6401" max="6401" width="7.25390625" style="128" bestFit="1" customWidth="1"/>
    <col min="6402" max="6402" width="9.25390625" style="128" bestFit="1" customWidth="1"/>
    <col min="6403" max="6403" width="27.00390625" style="128" bestFit="1" customWidth="1"/>
    <col min="6404" max="6404" width="11.125" style="128" bestFit="1" customWidth="1"/>
    <col min="6405" max="6405" width="15.625" style="128" customWidth="1"/>
    <col min="6406" max="6406" width="14.00390625" style="128" bestFit="1" customWidth="1"/>
    <col min="6407" max="6407" width="9.25390625" style="128" bestFit="1" customWidth="1"/>
    <col min="6408" max="6408" width="11.125" style="128" bestFit="1" customWidth="1"/>
    <col min="6409" max="6409" width="15.625" style="128" customWidth="1"/>
    <col min="6410" max="6410" width="14.00390625" style="128" bestFit="1" customWidth="1"/>
    <col min="6411" max="6411" width="9.25390625" style="128" bestFit="1" customWidth="1"/>
    <col min="6412" max="6412" width="11.125" style="128" bestFit="1" customWidth="1"/>
    <col min="6413" max="6413" width="15.625" style="128" customWidth="1"/>
    <col min="6414" max="6414" width="14.00390625" style="128" bestFit="1" customWidth="1"/>
    <col min="6415" max="6415" width="9.25390625" style="128" bestFit="1" customWidth="1"/>
    <col min="6416" max="6416" width="11.125" style="128" bestFit="1" customWidth="1"/>
    <col min="6417" max="6417" width="15.625" style="128" customWidth="1"/>
    <col min="6418" max="6418" width="14.00390625" style="128" bestFit="1" customWidth="1"/>
    <col min="6419" max="6419" width="9.25390625" style="128" bestFit="1" customWidth="1"/>
    <col min="6420" max="6420" width="11.125" style="128" bestFit="1" customWidth="1"/>
    <col min="6421" max="6421" width="15.625" style="128" customWidth="1"/>
    <col min="6422" max="6422" width="14.00390625" style="128" bestFit="1" customWidth="1"/>
    <col min="6423" max="6423" width="9.25390625" style="128" bestFit="1" customWidth="1"/>
    <col min="6424" max="6656" width="9.00390625" style="128" customWidth="1"/>
    <col min="6657" max="6657" width="7.25390625" style="128" bestFit="1" customWidth="1"/>
    <col min="6658" max="6658" width="9.25390625" style="128" bestFit="1" customWidth="1"/>
    <col min="6659" max="6659" width="27.00390625" style="128" bestFit="1" customWidth="1"/>
    <col min="6660" max="6660" width="11.125" style="128" bestFit="1" customWidth="1"/>
    <col min="6661" max="6661" width="15.625" style="128" customWidth="1"/>
    <col min="6662" max="6662" width="14.00390625" style="128" bestFit="1" customWidth="1"/>
    <col min="6663" max="6663" width="9.25390625" style="128" bestFit="1" customWidth="1"/>
    <col min="6664" max="6664" width="11.125" style="128" bestFit="1" customWidth="1"/>
    <col min="6665" max="6665" width="15.625" style="128" customWidth="1"/>
    <col min="6666" max="6666" width="14.00390625" style="128" bestFit="1" customWidth="1"/>
    <col min="6667" max="6667" width="9.25390625" style="128" bestFit="1" customWidth="1"/>
    <col min="6668" max="6668" width="11.125" style="128" bestFit="1" customWidth="1"/>
    <col min="6669" max="6669" width="15.625" style="128" customWidth="1"/>
    <col min="6670" max="6670" width="14.00390625" style="128" bestFit="1" customWidth="1"/>
    <col min="6671" max="6671" width="9.25390625" style="128" bestFit="1" customWidth="1"/>
    <col min="6672" max="6672" width="11.125" style="128" bestFit="1" customWidth="1"/>
    <col min="6673" max="6673" width="15.625" style="128" customWidth="1"/>
    <col min="6674" max="6674" width="14.00390625" style="128" bestFit="1" customWidth="1"/>
    <col min="6675" max="6675" width="9.25390625" style="128" bestFit="1" customWidth="1"/>
    <col min="6676" max="6676" width="11.125" style="128" bestFit="1" customWidth="1"/>
    <col min="6677" max="6677" width="15.625" style="128" customWidth="1"/>
    <col min="6678" max="6678" width="14.00390625" style="128" bestFit="1" customWidth="1"/>
    <col min="6679" max="6679" width="9.25390625" style="128" bestFit="1" customWidth="1"/>
    <col min="6680" max="6912" width="9.00390625" style="128" customWidth="1"/>
    <col min="6913" max="6913" width="7.25390625" style="128" bestFit="1" customWidth="1"/>
    <col min="6914" max="6914" width="9.25390625" style="128" bestFit="1" customWidth="1"/>
    <col min="6915" max="6915" width="27.00390625" style="128" bestFit="1" customWidth="1"/>
    <col min="6916" max="6916" width="11.125" style="128" bestFit="1" customWidth="1"/>
    <col min="6917" max="6917" width="15.625" style="128" customWidth="1"/>
    <col min="6918" max="6918" width="14.00390625" style="128" bestFit="1" customWidth="1"/>
    <col min="6919" max="6919" width="9.25390625" style="128" bestFit="1" customWidth="1"/>
    <col min="6920" max="6920" width="11.125" style="128" bestFit="1" customWidth="1"/>
    <col min="6921" max="6921" width="15.625" style="128" customWidth="1"/>
    <col min="6922" max="6922" width="14.00390625" style="128" bestFit="1" customWidth="1"/>
    <col min="6923" max="6923" width="9.25390625" style="128" bestFit="1" customWidth="1"/>
    <col min="6924" max="6924" width="11.125" style="128" bestFit="1" customWidth="1"/>
    <col min="6925" max="6925" width="15.625" style="128" customWidth="1"/>
    <col min="6926" max="6926" width="14.00390625" style="128" bestFit="1" customWidth="1"/>
    <col min="6927" max="6927" width="9.25390625" style="128" bestFit="1" customWidth="1"/>
    <col min="6928" max="6928" width="11.125" style="128" bestFit="1" customWidth="1"/>
    <col min="6929" max="6929" width="15.625" style="128" customWidth="1"/>
    <col min="6930" max="6930" width="14.00390625" style="128" bestFit="1" customWidth="1"/>
    <col min="6931" max="6931" width="9.25390625" style="128" bestFit="1" customWidth="1"/>
    <col min="6932" max="6932" width="11.125" style="128" bestFit="1" customWidth="1"/>
    <col min="6933" max="6933" width="15.625" style="128" customWidth="1"/>
    <col min="6934" max="6934" width="14.00390625" style="128" bestFit="1" customWidth="1"/>
    <col min="6935" max="6935" width="9.25390625" style="128" bestFit="1" customWidth="1"/>
    <col min="6936" max="7168" width="9.00390625" style="128" customWidth="1"/>
    <col min="7169" max="7169" width="7.25390625" style="128" bestFit="1" customWidth="1"/>
    <col min="7170" max="7170" width="9.25390625" style="128" bestFit="1" customWidth="1"/>
    <col min="7171" max="7171" width="27.00390625" style="128" bestFit="1" customWidth="1"/>
    <col min="7172" max="7172" width="11.125" style="128" bestFit="1" customWidth="1"/>
    <col min="7173" max="7173" width="15.625" style="128" customWidth="1"/>
    <col min="7174" max="7174" width="14.00390625" style="128" bestFit="1" customWidth="1"/>
    <col min="7175" max="7175" width="9.25390625" style="128" bestFit="1" customWidth="1"/>
    <col min="7176" max="7176" width="11.125" style="128" bestFit="1" customWidth="1"/>
    <col min="7177" max="7177" width="15.625" style="128" customWidth="1"/>
    <col min="7178" max="7178" width="14.00390625" style="128" bestFit="1" customWidth="1"/>
    <col min="7179" max="7179" width="9.25390625" style="128" bestFit="1" customWidth="1"/>
    <col min="7180" max="7180" width="11.125" style="128" bestFit="1" customWidth="1"/>
    <col min="7181" max="7181" width="15.625" style="128" customWidth="1"/>
    <col min="7182" max="7182" width="14.00390625" style="128" bestFit="1" customWidth="1"/>
    <col min="7183" max="7183" width="9.25390625" style="128" bestFit="1" customWidth="1"/>
    <col min="7184" max="7184" width="11.125" style="128" bestFit="1" customWidth="1"/>
    <col min="7185" max="7185" width="15.625" style="128" customWidth="1"/>
    <col min="7186" max="7186" width="14.00390625" style="128" bestFit="1" customWidth="1"/>
    <col min="7187" max="7187" width="9.25390625" style="128" bestFit="1" customWidth="1"/>
    <col min="7188" max="7188" width="11.125" style="128" bestFit="1" customWidth="1"/>
    <col min="7189" max="7189" width="15.625" style="128" customWidth="1"/>
    <col min="7190" max="7190" width="14.00390625" style="128" bestFit="1" customWidth="1"/>
    <col min="7191" max="7191" width="9.25390625" style="128" bestFit="1" customWidth="1"/>
    <col min="7192" max="7424" width="9.00390625" style="128" customWidth="1"/>
    <col min="7425" max="7425" width="7.25390625" style="128" bestFit="1" customWidth="1"/>
    <col min="7426" max="7426" width="9.25390625" style="128" bestFit="1" customWidth="1"/>
    <col min="7427" max="7427" width="27.00390625" style="128" bestFit="1" customWidth="1"/>
    <col min="7428" max="7428" width="11.125" style="128" bestFit="1" customWidth="1"/>
    <col min="7429" max="7429" width="15.625" style="128" customWidth="1"/>
    <col min="7430" max="7430" width="14.00390625" style="128" bestFit="1" customWidth="1"/>
    <col min="7431" max="7431" width="9.25390625" style="128" bestFit="1" customWidth="1"/>
    <col min="7432" max="7432" width="11.125" style="128" bestFit="1" customWidth="1"/>
    <col min="7433" max="7433" width="15.625" style="128" customWidth="1"/>
    <col min="7434" max="7434" width="14.00390625" style="128" bestFit="1" customWidth="1"/>
    <col min="7435" max="7435" width="9.25390625" style="128" bestFit="1" customWidth="1"/>
    <col min="7436" max="7436" width="11.125" style="128" bestFit="1" customWidth="1"/>
    <col min="7437" max="7437" width="15.625" style="128" customWidth="1"/>
    <col min="7438" max="7438" width="14.00390625" style="128" bestFit="1" customWidth="1"/>
    <col min="7439" max="7439" width="9.25390625" style="128" bestFit="1" customWidth="1"/>
    <col min="7440" max="7440" width="11.125" style="128" bestFit="1" customWidth="1"/>
    <col min="7441" max="7441" width="15.625" style="128" customWidth="1"/>
    <col min="7442" max="7442" width="14.00390625" style="128" bestFit="1" customWidth="1"/>
    <col min="7443" max="7443" width="9.25390625" style="128" bestFit="1" customWidth="1"/>
    <col min="7444" max="7444" width="11.125" style="128" bestFit="1" customWidth="1"/>
    <col min="7445" max="7445" width="15.625" style="128" customWidth="1"/>
    <col min="7446" max="7446" width="14.00390625" style="128" bestFit="1" customWidth="1"/>
    <col min="7447" max="7447" width="9.25390625" style="128" bestFit="1" customWidth="1"/>
    <col min="7448" max="7680" width="9.00390625" style="128" customWidth="1"/>
    <col min="7681" max="7681" width="7.25390625" style="128" bestFit="1" customWidth="1"/>
    <col min="7682" max="7682" width="9.25390625" style="128" bestFit="1" customWidth="1"/>
    <col min="7683" max="7683" width="27.00390625" style="128" bestFit="1" customWidth="1"/>
    <col min="7684" max="7684" width="11.125" style="128" bestFit="1" customWidth="1"/>
    <col min="7685" max="7685" width="15.625" style="128" customWidth="1"/>
    <col min="7686" max="7686" width="14.00390625" style="128" bestFit="1" customWidth="1"/>
    <col min="7687" max="7687" width="9.25390625" style="128" bestFit="1" customWidth="1"/>
    <col min="7688" max="7688" width="11.125" style="128" bestFit="1" customWidth="1"/>
    <col min="7689" max="7689" width="15.625" style="128" customWidth="1"/>
    <col min="7690" max="7690" width="14.00390625" style="128" bestFit="1" customWidth="1"/>
    <col min="7691" max="7691" width="9.25390625" style="128" bestFit="1" customWidth="1"/>
    <col min="7692" max="7692" width="11.125" style="128" bestFit="1" customWidth="1"/>
    <col min="7693" max="7693" width="15.625" style="128" customWidth="1"/>
    <col min="7694" max="7694" width="14.00390625" style="128" bestFit="1" customWidth="1"/>
    <col min="7695" max="7695" width="9.25390625" style="128" bestFit="1" customWidth="1"/>
    <col min="7696" max="7696" width="11.125" style="128" bestFit="1" customWidth="1"/>
    <col min="7697" max="7697" width="15.625" style="128" customWidth="1"/>
    <col min="7698" max="7698" width="14.00390625" style="128" bestFit="1" customWidth="1"/>
    <col min="7699" max="7699" width="9.25390625" style="128" bestFit="1" customWidth="1"/>
    <col min="7700" max="7700" width="11.125" style="128" bestFit="1" customWidth="1"/>
    <col min="7701" max="7701" width="15.625" style="128" customWidth="1"/>
    <col min="7702" max="7702" width="14.00390625" style="128" bestFit="1" customWidth="1"/>
    <col min="7703" max="7703" width="9.25390625" style="128" bestFit="1" customWidth="1"/>
    <col min="7704" max="7936" width="9.00390625" style="128" customWidth="1"/>
    <col min="7937" max="7937" width="7.25390625" style="128" bestFit="1" customWidth="1"/>
    <col min="7938" max="7938" width="9.25390625" style="128" bestFit="1" customWidth="1"/>
    <col min="7939" max="7939" width="27.00390625" style="128" bestFit="1" customWidth="1"/>
    <col min="7940" max="7940" width="11.125" style="128" bestFit="1" customWidth="1"/>
    <col min="7941" max="7941" width="15.625" style="128" customWidth="1"/>
    <col min="7942" max="7942" width="14.00390625" style="128" bestFit="1" customWidth="1"/>
    <col min="7943" max="7943" width="9.25390625" style="128" bestFit="1" customWidth="1"/>
    <col min="7944" max="7944" width="11.125" style="128" bestFit="1" customWidth="1"/>
    <col min="7945" max="7945" width="15.625" style="128" customWidth="1"/>
    <col min="7946" max="7946" width="14.00390625" style="128" bestFit="1" customWidth="1"/>
    <col min="7947" max="7947" width="9.25390625" style="128" bestFit="1" customWidth="1"/>
    <col min="7948" max="7948" width="11.125" style="128" bestFit="1" customWidth="1"/>
    <col min="7949" max="7949" width="15.625" style="128" customWidth="1"/>
    <col min="7950" max="7950" width="14.00390625" style="128" bestFit="1" customWidth="1"/>
    <col min="7951" max="7951" width="9.25390625" style="128" bestFit="1" customWidth="1"/>
    <col min="7952" max="7952" width="11.125" style="128" bestFit="1" customWidth="1"/>
    <col min="7953" max="7953" width="15.625" style="128" customWidth="1"/>
    <col min="7954" max="7954" width="14.00390625" style="128" bestFit="1" customWidth="1"/>
    <col min="7955" max="7955" width="9.25390625" style="128" bestFit="1" customWidth="1"/>
    <col min="7956" max="7956" width="11.125" style="128" bestFit="1" customWidth="1"/>
    <col min="7957" max="7957" width="15.625" style="128" customWidth="1"/>
    <col min="7958" max="7958" width="14.00390625" style="128" bestFit="1" customWidth="1"/>
    <col min="7959" max="7959" width="9.25390625" style="128" bestFit="1" customWidth="1"/>
    <col min="7960" max="8192" width="9.00390625" style="128" customWidth="1"/>
    <col min="8193" max="8193" width="7.25390625" style="128" bestFit="1" customWidth="1"/>
    <col min="8194" max="8194" width="9.25390625" style="128" bestFit="1" customWidth="1"/>
    <col min="8195" max="8195" width="27.00390625" style="128" bestFit="1" customWidth="1"/>
    <col min="8196" max="8196" width="11.125" style="128" bestFit="1" customWidth="1"/>
    <col min="8197" max="8197" width="15.625" style="128" customWidth="1"/>
    <col min="8198" max="8198" width="14.00390625" style="128" bestFit="1" customWidth="1"/>
    <col min="8199" max="8199" width="9.25390625" style="128" bestFit="1" customWidth="1"/>
    <col min="8200" max="8200" width="11.125" style="128" bestFit="1" customWidth="1"/>
    <col min="8201" max="8201" width="15.625" style="128" customWidth="1"/>
    <col min="8202" max="8202" width="14.00390625" style="128" bestFit="1" customWidth="1"/>
    <col min="8203" max="8203" width="9.25390625" style="128" bestFit="1" customWidth="1"/>
    <col min="8204" max="8204" width="11.125" style="128" bestFit="1" customWidth="1"/>
    <col min="8205" max="8205" width="15.625" style="128" customWidth="1"/>
    <col min="8206" max="8206" width="14.00390625" style="128" bestFit="1" customWidth="1"/>
    <col min="8207" max="8207" width="9.25390625" style="128" bestFit="1" customWidth="1"/>
    <col min="8208" max="8208" width="11.125" style="128" bestFit="1" customWidth="1"/>
    <col min="8209" max="8209" width="15.625" style="128" customWidth="1"/>
    <col min="8210" max="8210" width="14.00390625" style="128" bestFit="1" customWidth="1"/>
    <col min="8211" max="8211" width="9.25390625" style="128" bestFit="1" customWidth="1"/>
    <col min="8212" max="8212" width="11.125" style="128" bestFit="1" customWidth="1"/>
    <col min="8213" max="8213" width="15.625" style="128" customWidth="1"/>
    <col min="8214" max="8214" width="14.00390625" style="128" bestFit="1" customWidth="1"/>
    <col min="8215" max="8215" width="9.25390625" style="128" bestFit="1" customWidth="1"/>
    <col min="8216" max="8448" width="9.00390625" style="128" customWidth="1"/>
    <col min="8449" max="8449" width="7.25390625" style="128" bestFit="1" customWidth="1"/>
    <col min="8450" max="8450" width="9.25390625" style="128" bestFit="1" customWidth="1"/>
    <col min="8451" max="8451" width="27.00390625" style="128" bestFit="1" customWidth="1"/>
    <col min="8452" max="8452" width="11.125" style="128" bestFit="1" customWidth="1"/>
    <col min="8453" max="8453" width="15.625" style="128" customWidth="1"/>
    <col min="8454" max="8454" width="14.00390625" style="128" bestFit="1" customWidth="1"/>
    <col min="8455" max="8455" width="9.25390625" style="128" bestFit="1" customWidth="1"/>
    <col min="8456" max="8456" width="11.125" style="128" bestFit="1" customWidth="1"/>
    <col min="8457" max="8457" width="15.625" style="128" customWidth="1"/>
    <col min="8458" max="8458" width="14.00390625" style="128" bestFit="1" customWidth="1"/>
    <col min="8459" max="8459" width="9.25390625" style="128" bestFit="1" customWidth="1"/>
    <col min="8460" max="8460" width="11.125" style="128" bestFit="1" customWidth="1"/>
    <col min="8461" max="8461" width="15.625" style="128" customWidth="1"/>
    <col min="8462" max="8462" width="14.00390625" style="128" bestFit="1" customWidth="1"/>
    <col min="8463" max="8463" width="9.25390625" style="128" bestFit="1" customWidth="1"/>
    <col min="8464" max="8464" width="11.125" style="128" bestFit="1" customWidth="1"/>
    <col min="8465" max="8465" width="15.625" style="128" customWidth="1"/>
    <col min="8466" max="8466" width="14.00390625" style="128" bestFit="1" customWidth="1"/>
    <col min="8467" max="8467" width="9.25390625" style="128" bestFit="1" customWidth="1"/>
    <col min="8468" max="8468" width="11.125" style="128" bestFit="1" customWidth="1"/>
    <col min="8469" max="8469" width="15.625" style="128" customWidth="1"/>
    <col min="8470" max="8470" width="14.00390625" style="128" bestFit="1" customWidth="1"/>
    <col min="8471" max="8471" width="9.25390625" style="128" bestFit="1" customWidth="1"/>
    <col min="8472" max="8704" width="9.00390625" style="128" customWidth="1"/>
    <col min="8705" max="8705" width="7.25390625" style="128" bestFit="1" customWidth="1"/>
    <col min="8706" max="8706" width="9.25390625" style="128" bestFit="1" customWidth="1"/>
    <col min="8707" max="8707" width="27.00390625" style="128" bestFit="1" customWidth="1"/>
    <col min="8708" max="8708" width="11.125" style="128" bestFit="1" customWidth="1"/>
    <col min="8709" max="8709" width="15.625" style="128" customWidth="1"/>
    <col min="8710" max="8710" width="14.00390625" style="128" bestFit="1" customWidth="1"/>
    <col min="8711" max="8711" width="9.25390625" style="128" bestFit="1" customWidth="1"/>
    <col min="8712" max="8712" width="11.125" style="128" bestFit="1" customWidth="1"/>
    <col min="8713" max="8713" width="15.625" style="128" customWidth="1"/>
    <col min="8714" max="8714" width="14.00390625" style="128" bestFit="1" customWidth="1"/>
    <col min="8715" max="8715" width="9.25390625" style="128" bestFit="1" customWidth="1"/>
    <col min="8716" max="8716" width="11.125" style="128" bestFit="1" customWidth="1"/>
    <col min="8717" max="8717" width="15.625" style="128" customWidth="1"/>
    <col min="8718" max="8718" width="14.00390625" style="128" bestFit="1" customWidth="1"/>
    <col min="8719" max="8719" width="9.25390625" style="128" bestFit="1" customWidth="1"/>
    <col min="8720" max="8720" width="11.125" style="128" bestFit="1" customWidth="1"/>
    <col min="8721" max="8721" width="15.625" style="128" customWidth="1"/>
    <col min="8722" max="8722" width="14.00390625" style="128" bestFit="1" customWidth="1"/>
    <col min="8723" max="8723" width="9.25390625" style="128" bestFit="1" customWidth="1"/>
    <col min="8724" max="8724" width="11.125" style="128" bestFit="1" customWidth="1"/>
    <col min="8725" max="8725" width="15.625" style="128" customWidth="1"/>
    <col min="8726" max="8726" width="14.00390625" style="128" bestFit="1" customWidth="1"/>
    <col min="8727" max="8727" width="9.25390625" style="128" bestFit="1" customWidth="1"/>
    <col min="8728" max="8960" width="9.00390625" style="128" customWidth="1"/>
    <col min="8961" max="8961" width="7.25390625" style="128" bestFit="1" customWidth="1"/>
    <col min="8962" max="8962" width="9.25390625" style="128" bestFit="1" customWidth="1"/>
    <col min="8963" max="8963" width="27.00390625" style="128" bestFit="1" customWidth="1"/>
    <col min="8964" max="8964" width="11.125" style="128" bestFit="1" customWidth="1"/>
    <col min="8965" max="8965" width="15.625" style="128" customWidth="1"/>
    <col min="8966" max="8966" width="14.00390625" style="128" bestFit="1" customWidth="1"/>
    <col min="8967" max="8967" width="9.25390625" style="128" bestFit="1" customWidth="1"/>
    <col min="8968" max="8968" width="11.125" style="128" bestFit="1" customWidth="1"/>
    <col min="8969" max="8969" width="15.625" style="128" customWidth="1"/>
    <col min="8970" max="8970" width="14.00390625" style="128" bestFit="1" customWidth="1"/>
    <col min="8971" max="8971" width="9.25390625" style="128" bestFit="1" customWidth="1"/>
    <col min="8972" max="8972" width="11.125" style="128" bestFit="1" customWidth="1"/>
    <col min="8973" max="8973" width="15.625" style="128" customWidth="1"/>
    <col min="8974" max="8974" width="14.00390625" style="128" bestFit="1" customWidth="1"/>
    <col min="8975" max="8975" width="9.25390625" style="128" bestFit="1" customWidth="1"/>
    <col min="8976" max="8976" width="11.125" style="128" bestFit="1" customWidth="1"/>
    <col min="8977" max="8977" width="15.625" style="128" customWidth="1"/>
    <col min="8978" max="8978" width="14.00390625" style="128" bestFit="1" customWidth="1"/>
    <col min="8979" max="8979" width="9.25390625" style="128" bestFit="1" customWidth="1"/>
    <col min="8980" max="8980" width="11.125" style="128" bestFit="1" customWidth="1"/>
    <col min="8981" max="8981" width="15.625" style="128" customWidth="1"/>
    <col min="8982" max="8982" width="14.00390625" style="128" bestFit="1" customWidth="1"/>
    <col min="8983" max="8983" width="9.25390625" style="128" bestFit="1" customWidth="1"/>
    <col min="8984" max="9216" width="9.00390625" style="128" customWidth="1"/>
    <col min="9217" max="9217" width="7.25390625" style="128" bestFit="1" customWidth="1"/>
    <col min="9218" max="9218" width="9.25390625" style="128" bestFit="1" customWidth="1"/>
    <col min="9219" max="9219" width="27.00390625" style="128" bestFit="1" customWidth="1"/>
    <col min="9220" max="9220" width="11.125" style="128" bestFit="1" customWidth="1"/>
    <col min="9221" max="9221" width="15.625" style="128" customWidth="1"/>
    <col min="9222" max="9222" width="14.00390625" style="128" bestFit="1" customWidth="1"/>
    <col min="9223" max="9223" width="9.25390625" style="128" bestFit="1" customWidth="1"/>
    <col min="9224" max="9224" width="11.125" style="128" bestFit="1" customWidth="1"/>
    <col min="9225" max="9225" width="15.625" style="128" customWidth="1"/>
    <col min="9226" max="9226" width="14.00390625" style="128" bestFit="1" customWidth="1"/>
    <col min="9227" max="9227" width="9.25390625" style="128" bestFit="1" customWidth="1"/>
    <col min="9228" max="9228" width="11.125" style="128" bestFit="1" customWidth="1"/>
    <col min="9229" max="9229" width="15.625" style="128" customWidth="1"/>
    <col min="9230" max="9230" width="14.00390625" style="128" bestFit="1" customWidth="1"/>
    <col min="9231" max="9231" width="9.25390625" style="128" bestFit="1" customWidth="1"/>
    <col min="9232" max="9232" width="11.125" style="128" bestFit="1" customWidth="1"/>
    <col min="9233" max="9233" width="15.625" style="128" customWidth="1"/>
    <col min="9234" max="9234" width="14.00390625" style="128" bestFit="1" customWidth="1"/>
    <col min="9235" max="9235" width="9.25390625" style="128" bestFit="1" customWidth="1"/>
    <col min="9236" max="9236" width="11.125" style="128" bestFit="1" customWidth="1"/>
    <col min="9237" max="9237" width="15.625" style="128" customWidth="1"/>
    <col min="9238" max="9238" width="14.00390625" style="128" bestFit="1" customWidth="1"/>
    <col min="9239" max="9239" width="9.25390625" style="128" bestFit="1" customWidth="1"/>
    <col min="9240" max="9472" width="9.00390625" style="128" customWidth="1"/>
    <col min="9473" max="9473" width="7.25390625" style="128" bestFit="1" customWidth="1"/>
    <col min="9474" max="9474" width="9.25390625" style="128" bestFit="1" customWidth="1"/>
    <col min="9475" max="9475" width="27.00390625" style="128" bestFit="1" customWidth="1"/>
    <col min="9476" max="9476" width="11.125" style="128" bestFit="1" customWidth="1"/>
    <col min="9477" max="9477" width="15.625" style="128" customWidth="1"/>
    <col min="9478" max="9478" width="14.00390625" style="128" bestFit="1" customWidth="1"/>
    <col min="9479" max="9479" width="9.25390625" style="128" bestFit="1" customWidth="1"/>
    <col min="9480" max="9480" width="11.125" style="128" bestFit="1" customWidth="1"/>
    <col min="9481" max="9481" width="15.625" style="128" customWidth="1"/>
    <col min="9482" max="9482" width="14.00390625" style="128" bestFit="1" customWidth="1"/>
    <col min="9483" max="9483" width="9.25390625" style="128" bestFit="1" customWidth="1"/>
    <col min="9484" max="9484" width="11.125" style="128" bestFit="1" customWidth="1"/>
    <col min="9485" max="9485" width="15.625" style="128" customWidth="1"/>
    <col min="9486" max="9486" width="14.00390625" style="128" bestFit="1" customWidth="1"/>
    <col min="9487" max="9487" width="9.25390625" style="128" bestFit="1" customWidth="1"/>
    <col min="9488" max="9488" width="11.125" style="128" bestFit="1" customWidth="1"/>
    <col min="9489" max="9489" width="15.625" style="128" customWidth="1"/>
    <col min="9490" max="9490" width="14.00390625" style="128" bestFit="1" customWidth="1"/>
    <col min="9491" max="9491" width="9.25390625" style="128" bestFit="1" customWidth="1"/>
    <col min="9492" max="9492" width="11.125" style="128" bestFit="1" customWidth="1"/>
    <col min="9493" max="9493" width="15.625" style="128" customWidth="1"/>
    <col min="9494" max="9494" width="14.00390625" style="128" bestFit="1" customWidth="1"/>
    <col min="9495" max="9495" width="9.25390625" style="128" bestFit="1" customWidth="1"/>
    <col min="9496" max="9728" width="9.00390625" style="128" customWidth="1"/>
    <col min="9729" max="9729" width="7.25390625" style="128" bestFit="1" customWidth="1"/>
    <col min="9730" max="9730" width="9.25390625" style="128" bestFit="1" customWidth="1"/>
    <col min="9731" max="9731" width="27.00390625" style="128" bestFit="1" customWidth="1"/>
    <col min="9732" max="9732" width="11.125" style="128" bestFit="1" customWidth="1"/>
    <col min="9733" max="9733" width="15.625" style="128" customWidth="1"/>
    <col min="9734" max="9734" width="14.00390625" style="128" bestFit="1" customWidth="1"/>
    <col min="9735" max="9735" width="9.25390625" style="128" bestFit="1" customWidth="1"/>
    <col min="9736" max="9736" width="11.125" style="128" bestFit="1" customWidth="1"/>
    <col min="9737" max="9737" width="15.625" style="128" customWidth="1"/>
    <col min="9738" max="9738" width="14.00390625" style="128" bestFit="1" customWidth="1"/>
    <col min="9739" max="9739" width="9.25390625" style="128" bestFit="1" customWidth="1"/>
    <col min="9740" max="9740" width="11.125" style="128" bestFit="1" customWidth="1"/>
    <col min="9741" max="9741" width="15.625" style="128" customWidth="1"/>
    <col min="9742" max="9742" width="14.00390625" style="128" bestFit="1" customWidth="1"/>
    <col min="9743" max="9743" width="9.25390625" style="128" bestFit="1" customWidth="1"/>
    <col min="9744" max="9744" width="11.125" style="128" bestFit="1" customWidth="1"/>
    <col min="9745" max="9745" width="15.625" style="128" customWidth="1"/>
    <col min="9746" max="9746" width="14.00390625" style="128" bestFit="1" customWidth="1"/>
    <col min="9747" max="9747" width="9.25390625" style="128" bestFit="1" customWidth="1"/>
    <col min="9748" max="9748" width="11.125" style="128" bestFit="1" customWidth="1"/>
    <col min="9749" max="9749" width="15.625" style="128" customWidth="1"/>
    <col min="9750" max="9750" width="14.00390625" style="128" bestFit="1" customWidth="1"/>
    <col min="9751" max="9751" width="9.25390625" style="128" bestFit="1" customWidth="1"/>
    <col min="9752" max="9984" width="9.00390625" style="128" customWidth="1"/>
    <col min="9985" max="9985" width="7.25390625" style="128" bestFit="1" customWidth="1"/>
    <col min="9986" max="9986" width="9.25390625" style="128" bestFit="1" customWidth="1"/>
    <col min="9987" max="9987" width="27.00390625" style="128" bestFit="1" customWidth="1"/>
    <col min="9988" max="9988" width="11.125" style="128" bestFit="1" customWidth="1"/>
    <col min="9989" max="9989" width="15.625" style="128" customWidth="1"/>
    <col min="9990" max="9990" width="14.00390625" style="128" bestFit="1" customWidth="1"/>
    <col min="9991" max="9991" width="9.25390625" style="128" bestFit="1" customWidth="1"/>
    <col min="9992" max="9992" width="11.125" style="128" bestFit="1" customWidth="1"/>
    <col min="9993" max="9993" width="15.625" style="128" customWidth="1"/>
    <col min="9994" max="9994" width="14.00390625" style="128" bestFit="1" customWidth="1"/>
    <col min="9995" max="9995" width="9.25390625" style="128" bestFit="1" customWidth="1"/>
    <col min="9996" max="9996" width="11.125" style="128" bestFit="1" customWidth="1"/>
    <col min="9997" max="9997" width="15.625" style="128" customWidth="1"/>
    <col min="9998" max="9998" width="14.00390625" style="128" bestFit="1" customWidth="1"/>
    <col min="9999" max="9999" width="9.25390625" style="128" bestFit="1" customWidth="1"/>
    <col min="10000" max="10000" width="11.125" style="128" bestFit="1" customWidth="1"/>
    <col min="10001" max="10001" width="15.625" style="128" customWidth="1"/>
    <col min="10002" max="10002" width="14.00390625" style="128" bestFit="1" customWidth="1"/>
    <col min="10003" max="10003" width="9.25390625" style="128" bestFit="1" customWidth="1"/>
    <col min="10004" max="10004" width="11.125" style="128" bestFit="1" customWidth="1"/>
    <col min="10005" max="10005" width="15.625" style="128" customWidth="1"/>
    <col min="10006" max="10006" width="14.00390625" style="128" bestFit="1" customWidth="1"/>
    <col min="10007" max="10007" width="9.25390625" style="128" bestFit="1" customWidth="1"/>
    <col min="10008" max="10240" width="9.00390625" style="128" customWidth="1"/>
    <col min="10241" max="10241" width="7.25390625" style="128" bestFit="1" customWidth="1"/>
    <col min="10242" max="10242" width="9.25390625" style="128" bestFit="1" customWidth="1"/>
    <col min="10243" max="10243" width="27.00390625" style="128" bestFit="1" customWidth="1"/>
    <col min="10244" max="10244" width="11.125" style="128" bestFit="1" customWidth="1"/>
    <col min="10245" max="10245" width="15.625" style="128" customWidth="1"/>
    <col min="10246" max="10246" width="14.00390625" style="128" bestFit="1" customWidth="1"/>
    <col min="10247" max="10247" width="9.25390625" style="128" bestFit="1" customWidth="1"/>
    <col min="10248" max="10248" width="11.125" style="128" bestFit="1" customWidth="1"/>
    <col min="10249" max="10249" width="15.625" style="128" customWidth="1"/>
    <col min="10250" max="10250" width="14.00390625" style="128" bestFit="1" customWidth="1"/>
    <col min="10251" max="10251" width="9.25390625" style="128" bestFit="1" customWidth="1"/>
    <col min="10252" max="10252" width="11.125" style="128" bestFit="1" customWidth="1"/>
    <col min="10253" max="10253" width="15.625" style="128" customWidth="1"/>
    <col min="10254" max="10254" width="14.00390625" style="128" bestFit="1" customWidth="1"/>
    <col min="10255" max="10255" width="9.25390625" style="128" bestFit="1" customWidth="1"/>
    <col min="10256" max="10256" width="11.125" style="128" bestFit="1" customWidth="1"/>
    <col min="10257" max="10257" width="15.625" style="128" customWidth="1"/>
    <col min="10258" max="10258" width="14.00390625" style="128" bestFit="1" customWidth="1"/>
    <col min="10259" max="10259" width="9.25390625" style="128" bestFit="1" customWidth="1"/>
    <col min="10260" max="10260" width="11.125" style="128" bestFit="1" customWidth="1"/>
    <col min="10261" max="10261" width="15.625" style="128" customWidth="1"/>
    <col min="10262" max="10262" width="14.00390625" style="128" bestFit="1" customWidth="1"/>
    <col min="10263" max="10263" width="9.25390625" style="128" bestFit="1" customWidth="1"/>
    <col min="10264" max="10496" width="9.00390625" style="128" customWidth="1"/>
    <col min="10497" max="10497" width="7.25390625" style="128" bestFit="1" customWidth="1"/>
    <col min="10498" max="10498" width="9.25390625" style="128" bestFit="1" customWidth="1"/>
    <col min="10499" max="10499" width="27.00390625" style="128" bestFit="1" customWidth="1"/>
    <col min="10500" max="10500" width="11.125" style="128" bestFit="1" customWidth="1"/>
    <col min="10501" max="10501" width="15.625" style="128" customWidth="1"/>
    <col min="10502" max="10502" width="14.00390625" style="128" bestFit="1" customWidth="1"/>
    <col min="10503" max="10503" width="9.25390625" style="128" bestFit="1" customWidth="1"/>
    <col min="10504" max="10504" width="11.125" style="128" bestFit="1" customWidth="1"/>
    <col min="10505" max="10505" width="15.625" style="128" customWidth="1"/>
    <col min="10506" max="10506" width="14.00390625" style="128" bestFit="1" customWidth="1"/>
    <col min="10507" max="10507" width="9.25390625" style="128" bestFit="1" customWidth="1"/>
    <col min="10508" max="10508" width="11.125" style="128" bestFit="1" customWidth="1"/>
    <col min="10509" max="10509" width="15.625" style="128" customWidth="1"/>
    <col min="10510" max="10510" width="14.00390625" style="128" bestFit="1" customWidth="1"/>
    <col min="10511" max="10511" width="9.25390625" style="128" bestFit="1" customWidth="1"/>
    <col min="10512" max="10512" width="11.125" style="128" bestFit="1" customWidth="1"/>
    <col min="10513" max="10513" width="15.625" style="128" customWidth="1"/>
    <col min="10514" max="10514" width="14.00390625" style="128" bestFit="1" customWidth="1"/>
    <col min="10515" max="10515" width="9.25390625" style="128" bestFit="1" customWidth="1"/>
    <col min="10516" max="10516" width="11.125" style="128" bestFit="1" customWidth="1"/>
    <col min="10517" max="10517" width="15.625" style="128" customWidth="1"/>
    <col min="10518" max="10518" width="14.00390625" style="128" bestFit="1" customWidth="1"/>
    <col min="10519" max="10519" width="9.25390625" style="128" bestFit="1" customWidth="1"/>
    <col min="10520" max="10752" width="9.00390625" style="128" customWidth="1"/>
    <col min="10753" max="10753" width="7.25390625" style="128" bestFit="1" customWidth="1"/>
    <col min="10754" max="10754" width="9.25390625" style="128" bestFit="1" customWidth="1"/>
    <col min="10755" max="10755" width="27.00390625" style="128" bestFit="1" customWidth="1"/>
    <col min="10756" max="10756" width="11.125" style="128" bestFit="1" customWidth="1"/>
    <col min="10757" max="10757" width="15.625" style="128" customWidth="1"/>
    <col min="10758" max="10758" width="14.00390625" style="128" bestFit="1" customWidth="1"/>
    <col min="10759" max="10759" width="9.25390625" style="128" bestFit="1" customWidth="1"/>
    <col min="10760" max="10760" width="11.125" style="128" bestFit="1" customWidth="1"/>
    <col min="10761" max="10761" width="15.625" style="128" customWidth="1"/>
    <col min="10762" max="10762" width="14.00390625" style="128" bestFit="1" customWidth="1"/>
    <col min="10763" max="10763" width="9.25390625" style="128" bestFit="1" customWidth="1"/>
    <col min="10764" max="10764" width="11.125" style="128" bestFit="1" customWidth="1"/>
    <col min="10765" max="10765" width="15.625" style="128" customWidth="1"/>
    <col min="10766" max="10766" width="14.00390625" style="128" bestFit="1" customWidth="1"/>
    <col min="10767" max="10767" width="9.25390625" style="128" bestFit="1" customWidth="1"/>
    <col min="10768" max="10768" width="11.125" style="128" bestFit="1" customWidth="1"/>
    <col min="10769" max="10769" width="15.625" style="128" customWidth="1"/>
    <col min="10770" max="10770" width="14.00390625" style="128" bestFit="1" customWidth="1"/>
    <col min="10771" max="10771" width="9.25390625" style="128" bestFit="1" customWidth="1"/>
    <col min="10772" max="10772" width="11.125" style="128" bestFit="1" customWidth="1"/>
    <col min="10773" max="10773" width="15.625" style="128" customWidth="1"/>
    <col min="10774" max="10774" width="14.00390625" style="128" bestFit="1" customWidth="1"/>
    <col min="10775" max="10775" width="9.25390625" style="128" bestFit="1" customWidth="1"/>
    <col min="10776" max="11008" width="9.00390625" style="128" customWidth="1"/>
    <col min="11009" max="11009" width="7.25390625" style="128" bestFit="1" customWidth="1"/>
    <col min="11010" max="11010" width="9.25390625" style="128" bestFit="1" customWidth="1"/>
    <col min="11011" max="11011" width="27.00390625" style="128" bestFit="1" customWidth="1"/>
    <col min="11012" max="11012" width="11.125" style="128" bestFit="1" customWidth="1"/>
    <col min="11013" max="11013" width="15.625" style="128" customWidth="1"/>
    <col min="11014" max="11014" width="14.00390625" style="128" bestFit="1" customWidth="1"/>
    <col min="11015" max="11015" width="9.25390625" style="128" bestFit="1" customWidth="1"/>
    <col min="11016" max="11016" width="11.125" style="128" bestFit="1" customWidth="1"/>
    <col min="11017" max="11017" width="15.625" style="128" customWidth="1"/>
    <col min="11018" max="11018" width="14.00390625" style="128" bestFit="1" customWidth="1"/>
    <col min="11019" max="11019" width="9.25390625" style="128" bestFit="1" customWidth="1"/>
    <col min="11020" max="11020" width="11.125" style="128" bestFit="1" customWidth="1"/>
    <col min="11021" max="11021" width="15.625" style="128" customWidth="1"/>
    <col min="11022" max="11022" width="14.00390625" style="128" bestFit="1" customWidth="1"/>
    <col min="11023" max="11023" width="9.25390625" style="128" bestFit="1" customWidth="1"/>
    <col min="11024" max="11024" width="11.125" style="128" bestFit="1" customWidth="1"/>
    <col min="11025" max="11025" width="15.625" style="128" customWidth="1"/>
    <col min="11026" max="11026" width="14.00390625" style="128" bestFit="1" customWidth="1"/>
    <col min="11027" max="11027" width="9.25390625" style="128" bestFit="1" customWidth="1"/>
    <col min="11028" max="11028" width="11.125" style="128" bestFit="1" customWidth="1"/>
    <col min="11029" max="11029" width="15.625" style="128" customWidth="1"/>
    <col min="11030" max="11030" width="14.00390625" style="128" bestFit="1" customWidth="1"/>
    <col min="11031" max="11031" width="9.25390625" style="128" bestFit="1" customWidth="1"/>
    <col min="11032" max="11264" width="9.00390625" style="128" customWidth="1"/>
    <col min="11265" max="11265" width="7.25390625" style="128" bestFit="1" customWidth="1"/>
    <col min="11266" max="11266" width="9.25390625" style="128" bestFit="1" customWidth="1"/>
    <col min="11267" max="11267" width="27.00390625" style="128" bestFit="1" customWidth="1"/>
    <col min="11268" max="11268" width="11.125" style="128" bestFit="1" customWidth="1"/>
    <col min="11269" max="11269" width="15.625" style="128" customWidth="1"/>
    <col min="11270" max="11270" width="14.00390625" style="128" bestFit="1" customWidth="1"/>
    <col min="11271" max="11271" width="9.25390625" style="128" bestFit="1" customWidth="1"/>
    <col min="11272" max="11272" width="11.125" style="128" bestFit="1" customWidth="1"/>
    <col min="11273" max="11273" width="15.625" style="128" customWidth="1"/>
    <col min="11274" max="11274" width="14.00390625" style="128" bestFit="1" customWidth="1"/>
    <col min="11275" max="11275" width="9.25390625" style="128" bestFit="1" customWidth="1"/>
    <col min="11276" max="11276" width="11.125" style="128" bestFit="1" customWidth="1"/>
    <col min="11277" max="11277" width="15.625" style="128" customWidth="1"/>
    <col min="11278" max="11278" width="14.00390625" style="128" bestFit="1" customWidth="1"/>
    <col min="11279" max="11279" width="9.25390625" style="128" bestFit="1" customWidth="1"/>
    <col min="11280" max="11280" width="11.125" style="128" bestFit="1" customWidth="1"/>
    <col min="11281" max="11281" width="15.625" style="128" customWidth="1"/>
    <col min="11282" max="11282" width="14.00390625" style="128" bestFit="1" customWidth="1"/>
    <col min="11283" max="11283" width="9.25390625" style="128" bestFit="1" customWidth="1"/>
    <col min="11284" max="11284" width="11.125" style="128" bestFit="1" customWidth="1"/>
    <col min="11285" max="11285" width="15.625" style="128" customWidth="1"/>
    <col min="11286" max="11286" width="14.00390625" style="128" bestFit="1" customWidth="1"/>
    <col min="11287" max="11287" width="9.25390625" style="128" bestFit="1" customWidth="1"/>
    <col min="11288" max="11520" width="9.00390625" style="128" customWidth="1"/>
    <col min="11521" max="11521" width="7.25390625" style="128" bestFit="1" customWidth="1"/>
    <col min="11522" max="11522" width="9.25390625" style="128" bestFit="1" customWidth="1"/>
    <col min="11523" max="11523" width="27.00390625" style="128" bestFit="1" customWidth="1"/>
    <col min="11524" max="11524" width="11.125" style="128" bestFit="1" customWidth="1"/>
    <col min="11525" max="11525" width="15.625" style="128" customWidth="1"/>
    <col min="11526" max="11526" width="14.00390625" style="128" bestFit="1" customWidth="1"/>
    <col min="11527" max="11527" width="9.25390625" style="128" bestFit="1" customWidth="1"/>
    <col min="11528" max="11528" width="11.125" style="128" bestFit="1" customWidth="1"/>
    <col min="11529" max="11529" width="15.625" style="128" customWidth="1"/>
    <col min="11530" max="11530" width="14.00390625" style="128" bestFit="1" customWidth="1"/>
    <col min="11531" max="11531" width="9.25390625" style="128" bestFit="1" customWidth="1"/>
    <col min="11532" max="11532" width="11.125" style="128" bestFit="1" customWidth="1"/>
    <col min="11533" max="11533" width="15.625" style="128" customWidth="1"/>
    <col min="11534" max="11534" width="14.00390625" style="128" bestFit="1" customWidth="1"/>
    <col min="11535" max="11535" width="9.25390625" style="128" bestFit="1" customWidth="1"/>
    <col min="11536" max="11536" width="11.125" style="128" bestFit="1" customWidth="1"/>
    <col min="11537" max="11537" width="15.625" style="128" customWidth="1"/>
    <col min="11538" max="11538" width="14.00390625" style="128" bestFit="1" customWidth="1"/>
    <col min="11539" max="11539" width="9.25390625" style="128" bestFit="1" customWidth="1"/>
    <col min="11540" max="11540" width="11.125" style="128" bestFit="1" customWidth="1"/>
    <col min="11541" max="11541" width="15.625" style="128" customWidth="1"/>
    <col min="11542" max="11542" width="14.00390625" style="128" bestFit="1" customWidth="1"/>
    <col min="11543" max="11543" width="9.25390625" style="128" bestFit="1" customWidth="1"/>
    <col min="11544" max="11776" width="9.00390625" style="128" customWidth="1"/>
    <col min="11777" max="11777" width="7.25390625" style="128" bestFit="1" customWidth="1"/>
    <col min="11778" max="11778" width="9.25390625" style="128" bestFit="1" customWidth="1"/>
    <col min="11779" max="11779" width="27.00390625" style="128" bestFit="1" customWidth="1"/>
    <col min="11780" max="11780" width="11.125" style="128" bestFit="1" customWidth="1"/>
    <col min="11781" max="11781" width="15.625" style="128" customWidth="1"/>
    <col min="11782" max="11782" width="14.00390625" style="128" bestFit="1" customWidth="1"/>
    <col min="11783" max="11783" width="9.25390625" style="128" bestFit="1" customWidth="1"/>
    <col min="11784" max="11784" width="11.125" style="128" bestFit="1" customWidth="1"/>
    <col min="11785" max="11785" width="15.625" style="128" customWidth="1"/>
    <col min="11786" max="11786" width="14.00390625" style="128" bestFit="1" customWidth="1"/>
    <col min="11787" max="11787" width="9.25390625" style="128" bestFit="1" customWidth="1"/>
    <col min="11788" max="11788" width="11.125" style="128" bestFit="1" customWidth="1"/>
    <col min="11789" max="11789" width="15.625" style="128" customWidth="1"/>
    <col min="11790" max="11790" width="14.00390625" style="128" bestFit="1" customWidth="1"/>
    <col min="11791" max="11791" width="9.25390625" style="128" bestFit="1" customWidth="1"/>
    <col min="11792" max="11792" width="11.125" style="128" bestFit="1" customWidth="1"/>
    <col min="11793" max="11793" width="15.625" style="128" customWidth="1"/>
    <col min="11794" max="11794" width="14.00390625" style="128" bestFit="1" customWidth="1"/>
    <col min="11795" max="11795" width="9.25390625" style="128" bestFit="1" customWidth="1"/>
    <col min="11796" max="11796" width="11.125" style="128" bestFit="1" customWidth="1"/>
    <col min="11797" max="11797" width="15.625" style="128" customWidth="1"/>
    <col min="11798" max="11798" width="14.00390625" style="128" bestFit="1" customWidth="1"/>
    <col min="11799" max="11799" width="9.25390625" style="128" bestFit="1" customWidth="1"/>
    <col min="11800" max="12032" width="9.00390625" style="128" customWidth="1"/>
    <col min="12033" max="12033" width="7.25390625" style="128" bestFit="1" customWidth="1"/>
    <col min="12034" max="12034" width="9.25390625" style="128" bestFit="1" customWidth="1"/>
    <col min="12035" max="12035" width="27.00390625" style="128" bestFit="1" customWidth="1"/>
    <col min="12036" max="12036" width="11.125" style="128" bestFit="1" customWidth="1"/>
    <col min="12037" max="12037" width="15.625" style="128" customWidth="1"/>
    <col min="12038" max="12038" width="14.00390625" style="128" bestFit="1" customWidth="1"/>
    <col min="12039" max="12039" width="9.25390625" style="128" bestFit="1" customWidth="1"/>
    <col min="12040" max="12040" width="11.125" style="128" bestFit="1" customWidth="1"/>
    <col min="12041" max="12041" width="15.625" style="128" customWidth="1"/>
    <col min="12042" max="12042" width="14.00390625" style="128" bestFit="1" customWidth="1"/>
    <col min="12043" max="12043" width="9.25390625" style="128" bestFit="1" customWidth="1"/>
    <col min="12044" max="12044" width="11.125" style="128" bestFit="1" customWidth="1"/>
    <col min="12045" max="12045" width="15.625" style="128" customWidth="1"/>
    <col min="12046" max="12046" width="14.00390625" style="128" bestFit="1" customWidth="1"/>
    <col min="12047" max="12047" width="9.25390625" style="128" bestFit="1" customWidth="1"/>
    <col min="12048" max="12048" width="11.125" style="128" bestFit="1" customWidth="1"/>
    <col min="12049" max="12049" width="15.625" style="128" customWidth="1"/>
    <col min="12050" max="12050" width="14.00390625" style="128" bestFit="1" customWidth="1"/>
    <col min="12051" max="12051" width="9.25390625" style="128" bestFit="1" customWidth="1"/>
    <col min="12052" max="12052" width="11.125" style="128" bestFit="1" customWidth="1"/>
    <col min="12053" max="12053" width="15.625" style="128" customWidth="1"/>
    <col min="12054" max="12054" width="14.00390625" style="128" bestFit="1" customWidth="1"/>
    <col min="12055" max="12055" width="9.25390625" style="128" bestFit="1" customWidth="1"/>
    <col min="12056" max="12288" width="9.00390625" style="128" customWidth="1"/>
    <col min="12289" max="12289" width="7.25390625" style="128" bestFit="1" customWidth="1"/>
    <col min="12290" max="12290" width="9.25390625" style="128" bestFit="1" customWidth="1"/>
    <col min="12291" max="12291" width="27.00390625" style="128" bestFit="1" customWidth="1"/>
    <col min="12292" max="12292" width="11.125" style="128" bestFit="1" customWidth="1"/>
    <col min="12293" max="12293" width="15.625" style="128" customWidth="1"/>
    <col min="12294" max="12294" width="14.00390625" style="128" bestFit="1" customWidth="1"/>
    <col min="12295" max="12295" width="9.25390625" style="128" bestFit="1" customWidth="1"/>
    <col min="12296" max="12296" width="11.125" style="128" bestFit="1" customWidth="1"/>
    <col min="12297" max="12297" width="15.625" style="128" customWidth="1"/>
    <col min="12298" max="12298" width="14.00390625" style="128" bestFit="1" customWidth="1"/>
    <col min="12299" max="12299" width="9.25390625" style="128" bestFit="1" customWidth="1"/>
    <col min="12300" max="12300" width="11.125" style="128" bestFit="1" customWidth="1"/>
    <col min="12301" max="12301" width="15.625" style="128" customWidth="1"/>
    <col min="12302" max="12302" width="14.00390625" style="128" bestFit="1" customWidth="1"/>
    <col min="12303" max="12303" width="9.25390625" style="128" bestFit="1" customWidth="1"/>
    <col min="12304" max="12304" width="11.125" style="128" bestFit="1" customWidth="1"/>
    <col min="12305" max="12305" width="15.625" style="128" customWidth="1"/>
    <col min="12306" max="12306" width="14.00390625" style="128" bestFit="1" customWidth="1"/>
    <col min="12307" max="12307" width="9.25390625" style="128" bestFit="1" customWidth="1"/>
    <col min="12308" max="12308" width="11.125" style="128" bestFit="1" customWidth="1"/>
    <col min="12309" max="12309" width="15.625" style="128" customWidth="1"/>
    <col min="12310" max="12310" width="14.00390625" style="128" bestFit="1" customWidth="1"/>
    <col min="12311" max="12311" width="9.25390625" style="128" bestFit="1" customWidth="1"/>
    <col min="12312" max="12544" width="9.00390625" style="128" customWidth="1"/>
    <col min="12545" max="12545" width="7.25390625" style="128" bestFit="1" customWidth="1"/>
    <col min="12546" max="12546" width="9.25390625" style="128" bestFit="1" customWidth="1"/>
    <col min="12547" max="12547" width="27.00390625" style="128" bestFit="1" customWidth="1"/>
    <col min="12548" max="12548" width="11.125" style="128" bestFit="1" customWidth="1"/>
    <col min="12549" max="12549" width="15.625" style="128" customWidth="1"/>
    <col min="12550" max="12550" width="14.00390625" style="128" bestFit="1" customWidth="1"/>
    <col min="12551" max="12551" width="9.25390625" style="128" bestFit="1" customWidth="1"/>
    <col min="12552" max="12552" width="11.125" style="128" bestFit="1" customWidth="1"/>
    <col min="12553" max="12553" width="15.625" style="128" customWidth="1"/>
    <col min="12554" max="12554" width="14.00390625" style="128" bestFit="1" customWidth="1"/>
    <col min="12555" max="12555" width="9.25390625" style="128" bestFit="1" customWidth="1"/>
    <col min="12556" max="12556" width="11.125" style="128" bestFit="1" customWidth="1"/>
    <col min="12557" max="12557" width="15.625" style="128" customWidth="1"/>
    <col min="12558" max="12558" width="14.00390625" style="128" bestFit="1" customWidth="1"/>
    <col min="12559" max="12559" width="9.25390625" style="128" bestFit="1" customWidth="1"/>
    <col min="12560" max="12560" width="11.125" style="128" bestFit="1" customWidth="1"/>
    <col min="12561" max="12561" width="15.625" style="128" customWidth="1"/>
    <col min="12562" max="12562" width="14.00390625" style="128" bestFit="1" customWidth="1"/>
    <col min="12563" max="12563" width="9.25390625" style="128" bestFit="1" customWidth="1"/>
    <col min="12564" max="12564" width="11.125" style="128" bestFit="1" customWidth="1"/>
    <col min="12565" max="12565" width="15.625" style="128" customWidth="1"/>
    <col min="12566" max="12566" width="14.00390625" style="128" bestFit="1" customWidth="1"/>
    <col min="12567" max="12567" width="9.25390625" style="128" bestFit="1" customWidth="1"/>
    <col min="12568" max="12800" width="9.00390625" style="128" customWidth="1"/>
    <col min="12801" max="12801" width="7.25390625" style="128" bestFit="1" customWidth="1"/>
    <col min="12802" max="12802" width="9.25390625" style="128" bestFit="1" customWidth="1"/>
    <col min="12803" max="12803" width="27.00390625" style="128" bestFit="1" customWidth="1"/>
    <col min="12804" max="12804" width="11.125" style="128" bestFit="1" customWidth="1"/>
    <col min="12805" max="12805" width="15.625" style="128" customWidth="1"/>
    <col min="12806" max="12806" width="14.00390625" style="128" bestFit="1" customWidth="1"/>
    <col min="12807" max="12807" width="9.25390625" style="128" bestFit="1" customWidth="1"/>
    <col min="12808" max="12808" width="11.125" style="128" bestFit="1" customWidth="1"/>
    <col min="12809" max="12809" width="15.625" style="128" customWidth="1"/>
    <col min="12810" max="12810" width="14.00390625" style="128" bestFit="1" customWidth="1"/>
    <col min="12811" max="12811" width="9.25390625" style="128" bestFit="1" customWidth="1"/>
    <col min="12812" max="12812" width="11.125" style="128" bestFit="1" customWidth="1"/>
    <col min="12813" max="12813" width="15.625" style="128" customWidth="1"/>
    <col min="12814" max="12814" width="14.00390625" style="128" bestFit="1" customWidth="1"/>
    <col min="12815" max="12815" width="9.25390625" style="128" bestFit="1" customWidth="1"/>
    <col min="12816" max="12816" width="11.125" style="128" bestFit="1" customWidth="1"/>
    <col min="12817" max="12817" width="15.625" style="128" customWidth="1"/>
    <col min="12818" max="12818" width="14.00390625" style="128" bestFit="1" customWidth="1"/>
    <col min="12819" max="12819" width="9.25390625" style="128" bestFit="1" customWidth="1"/>
    <col min="12820" max="12820" width="11.125" style="128" bestFit="1" customWidth="1"/>
    <col min="12821" max="12821" width="15.625" style="128" customWidth="1"/>
    <col min="12822" max="12822" width="14.00390625" style="128" bestFit="1" customWidth="1"/>
    <col min="12823" max="12823" width="9.25390625" style="128" bestFit="1" customWidth="1"/>
    <col min="12824" max="13056" width="9.00390625" style="128" customWidth="1"/>
    <col min="13057" max="13057" width="7.25390625" style="128" bestFit="1" customWidth="1"/>
    <col min="13058" max="13058" width="9.25390625" style="128" bestFit="1" customWidth="1"/>
    <col min="13059" max="13059" width="27.00390625" style="128" bestFit="1" customWidth="1"/>
    <col min="13060" max="13060" width="11.125" style="128" bestFit="1" customWidth="1"/>
    <col min="13061" max="13061" width="15.625" style="128" customWidth="1"/>
    <col min="13062" max="13062" width="14.00390625" style="128" bestFit="1" customWidth="1"/>
    <col min="13063" max="13063" width="9.25390625" style="128" bestFit="1" customWidth="1"/>
    <col min="13064" max="13064" width="11.125" style="128" bestFit="1" customWidth="1"/>
    <col min="13065" max="13065" width="15.625" style="128" customWidth="1"/>
    <col min="13066" max="13066" width="14.00390625" style="128" bestFit="1" customWidth="1"/>
    <col min="13067" max="13067" width="9.25390625" style="128" bestFit="1" customWidth="1"/>
    <col min="13068" max="13068" width="11.125" style="128" bestFit="1" customWidth="1"/>
    <col min="13069" max="13069" width="15.625" style="128" customWidth="1"/>
    <col min="13070" max="13070" width="14.00390625" style="128" bestFit="1" customWidth="1"/>
    <col min="13071" max="13071" width="9.25390625" style="128" bestFit="1" customWidth="1"/>
    <col min="13072" max="13072" width="11.125" style="128" bestFit="1" customWidth="1"/>
    <col min="13073" max="13073" width="15.625" style="128" customWidth="1"/>
    <col min="13074" max="13074" width="14.00390625" style="128" bestFit="1" customWidth="1"/>
    <col min="13075" max="13075" width="9.25390625" style="128" bestFit="1" customWidth="1"/>
    <col min="13076" max="13076" width="11.125" style="128" bestFit="1" customWidth="1"/>
    <col min="13077" max="13077" width="15.625" style="128" customWidth="1"/>
    <col min="13078" max="13078" width="14.00390625" style="128" bestFit="1" customWidth="1"/>
    <col min="13079" max="13079" width="9.25390625" style="128" bestFit="1" customWidth="1"/>
    <col min="13080" max="13312" width="9.00390625" style="128" customWidth="1"/>
    <col min="13313" max="13313" width="7.25390625" style="128" bestFit="1" customWidth="1"/>
    <col min="13314" max="13314" width="9.25390625" style="128" bestFit="1" customWidth="1"/>
    <col min="13315" max="13315" width="27.00390625" style="128" bestFit="1" customWidth="1"/>
    <col min="13316" max="13316" width="11.125" style="128" bestFit="1" customWidth="1"/>
    <col min="13317" max="13317" width="15.625" style="128" customWidth="1"/>
    <col min="13318" max="13318" width="14.00390625" style="128" bestFit="1" customWidth="1"/>
    <col min="13319" max="13319" width="9.25390625" style="128" bestFit="1" customWidth="1"/>
    <col min="13320" max="13320" width="11.125" style="128" bestFit="1" customWidth="1"/>
    <col min="13321" max="13321" width="15.625" style="128" customWidth="1"/>
    <col min="13322" max="13322" width="14.00390625" style="128" bestFit="1" customWidth="1"/>
    <col min="13323" max="13323" width="9.25390625" style="128" bestFit="1" customWidth="1"/>
    <col min="13324" max="13324" width="11.125" style="128" bestFit="1" customWidth="1"/>
    <col min="13325" max="13325" width="15.625" style="128" customWidth="1"/>
    <col min="13326" max="13326" width="14.00390625" style="128" bestFit="1" customWidth="1"/>
    <col min="13327" max="13327" width="9.25390625" style="128" bestFit="1" customWidth="1"/>
    <col min="13328" max="13328" width="11.125" style="128" bestFit="1" customWidth="1"/>
    <col min="13329" max="13329" width="15.625" style="128" customWidth="1"/>
    <col min="13330" max="13330" width="14.00390625" style="128" bestFit="1" customWidth="1"/>
    <col min="13331" max="13331" width="9.25390625" style="128" bestFit="1" customWidth="1"/>
    <col min="13332" max="13332" width="11.125" style="128" bestFit="1" customWidth="1"/>
    <col min="13333" max="13333" width="15.625" style="128" customWidth="1"/>
    <col min="13334" max="13334" width="14.00390625" style="128" bestFit="1" customWidth="1"/>
    <col min="13335" max="13335" width="9.25390625" style="128" bestFit="1" customWidth="1"/>
    <col min="13336" max="13568" width="9.00390625" style="128" customWidth="1"/>
    <col min="13569" max="13569" width="7.25390625" style="128" bestFit="1" customWidth="1"/>
    <col min="13570" max="13570" width="9.25390625" style="128" bestFit="1" customWidth="1"/>
    <col min="13571" max="13571" width="27.00390625" style="128" bestFit="1" customWidth="1"/>
    <col min="13572" max="13572" width="11.125" style="128" bestFit="1" customWidth="1"/>
    <col min="13573" max="13573" width="15.625" style="128" customWidth="1"/>
    <col min="13574" max="13574" width="14.00390625" style="128" bestFit="1" customWidth="1"/>
    <col min="13575" max="13575" width="9.25390625" style="128" bestFit="1" customWidth="1"/>
    <col min="13576" max="13576" width="11.125" style="128" bestFit="1" customWidth="1"/>
    <col min="13577" max="13577" width="15.625" style="128" customWidth="1"/>
    <col min="13578" max="13578" width="14.00390625" style="128" bestFit="1" customWidth="1"/>
    <col min="13579" max="13579" width="9.25390625" style="128" bestFit="1" customWidth="1"/>
    <col min="13580" max="13580" width="11.125" style="128" bestFit="1" customWidth="1"/>
    <col min="13581" max="13581" width="15.625" style="128" customWidth="1"/>
    <col min="13582" max="13582" width="14.00390625" style="128" bestFit="1" customWidth="1"/>
    <col min="13583" max="13583" width="9.25390625" style="128" bestFit="1" customWidth="1"/>
    <col min="13584" max="13584" width="11.125" style="128" bestFit="1" customWidth="1"/>
    <col min="13585" max="13585" width="15.625" style="128" customWidth="1"/>
    <col min="13586" max="13586" width="14.00390625" style="128" bestFit="1" customWidth="1"/>
    <col min="13587" max="13587" width="9.25390625" style="128" bestFit="1" customWidth="1"/>
    <col min="13588" max="13588" width="11.125" style="128" bestFit="1" customWidth="1"/>
    <col min="13589" max="13589" width="15.625" style="128" customWidth="1"/>
    <col min="13590" max="13590" width="14.00390625" style="128" bestFit="1" customWidth="1"/>
    <col min="13591" max="13591" width="9.25390625" style="128" bestFit="1" customWidth="1"/>
    <col min="13592" max="13824" width="9.00390625" style="128" customWidth="1"/>
    <col min="13825" max="13825" width="7.25390625" style="128" bestFit="1" customWidth="1"/>
    <col min="13826" max="13826" width="9.25390625" style="128" bestFit="1" customWidth="1"/>
    <col min="13827" max="13827" width="27.00390625" style="128" bestFit="1" customWidth="1"/>
    <col min="13828" max="13828" width="11.125" style="128" bestFit="1" customWidth="1"/>
    <col min="13829" max="13829" width="15.625" style="128" customWidth="1"/>
    <col min="13830" max="13830" width="14.00390625" style="128" bestFit="1" customWidth="1"/>
    <col min="13831" max="13831" width="9.25390625" style="128" bestFit="1" customWidth="1"/>
    <col min="13832" max="13832" width="11.125" style="128" bestFit="1" customWidth="1"/>
    <col min="13833" max="13833" width="15.625" style="128" customWidth="1"/>
    <col min="13834" max="13834" width="14.00390625" style="128" bestFit="1" customWidth="1"/>
    <col min="13835" max="13835" width="9.25390625" style="128" bestFit="1" customWidth="1"/>
    <col min="13836" max="13836" width="11.125" style="128" bestFit="1" customWidth="1"/>
    <col min="13837" max="13837" width="15.625" style="128" customWidth="1"/>
    <col min="13838" max="13838" width="14.00390625" style="128" bestFit="1" customWidth="1"/>
    <col min="13839" max="13839" width="9.25390625" style="128" bestFit="1" customWidth="1"/>
    <col min="13840" max="13840" width="11.125" style="128" bestFit="1" customWidth="1"/>
    <col min="13841" max="13841" width="15.625" style="128" customWidth="1"/>
    <col min="13842" max="13842" width="14.00390625" style="128" bestFit="1" customWidth="1"/>
    <col min="13843" max="13843" width="9.25390625" style="128" bestFit="1" customWidth="1"/>
    <col min="13844" max="13844" width="11.125" style="128" bestFit="1" customWidth="1"/>
    <col min="13845" max="13845" width="15.625" style="128" customWidth="1"/>
    <col min="13846" max="13846" width="14.00390625" style="128" bestFit="1" customWidth="1"/>
    <col min="13847" max="13847" width="9.25390625" style="128" bestFit="1" customWidth="1"/>
    <col min="13848" max="14080" width="9.00390625" style="128" customWidth="1"/>
    <col min="14081" max="14081" width="7.25390625" style="128" bestFit="1" customWidth="1"/>
    <col min="14082" max="14082" width="9.25390625" style="128" bestFit="1" customWidth="1"/>
    <col min="14083" max="14083" width="27.00390625" style="128" bestFit="1" customWidth="1"/>
    <col min="14084" max="14084" width="11.125" style="128" bestFit="1" customWidth="1"/>
    <col min="14085" max="14085" width="15.625" style="128" customWidth="1"/>
    <col min="14086" max="14086" width="14.00390625" style="128" bestFit="1" customWidth="1"/>
    <col min="14087" max="14087" width="9.25390625" style="128" bestFit="1" customWidth="1"/>
    <col min="14088" max="14088" width="11.125" style="128" bestFit="1" customWidth="1"/>
    <col min="14089" max="14089" width="15.625" style="128" customWidth="1"/>
    <col min="14090" max="14090" width="14.00390625" style="128" bestFit="1" customWidth="1"/>
    <col min="14091" max="14091" width="9.25390625" style="128" bestFit="1" customWidth="1"/>
    <col min="14092" max="14092" width="11.125" style="128" bestFit="1" customWidth="1"/>
    <col min="14093" max="14093" width="15.625" style="128" customWidth="1"/>
    <col min="14094" max="14094" width="14.00390625" style="128" bestFit="1" customWidth="1"/>
    <col min="14095" max="14095" width="9.25390625" style="128" bestFit="1" customWidth="1"/>
    <col min="14096" max="14096" width="11.125" style="128" bestFit="1" customWidth="1"/>
    <col min="14097" max="14097" width="15.625" style="128" customWidth="1"/>
    <col min="14098" max="14098" width="14.00390625" style="128" bestFit="1" customWidth="1"/>
    <col min="14099" max="14099" width="9.25390625" style="128" bestFit="1" customWidth="1"/>
    <col min="14100" max="14100" width="11.125" style="128" bestFit="1" customWidth="1"/>
    <col min="14101" max="14101" width="15.625" style="128" customWidth="1"/>
    <col min="14102" max="14102" width="14.00390625" style="128" bestFit="1" customWidth="1"/>
    <col min="14103" max="14103" width="9.25390625" style="128" bestFit="1" customWidth="1"/>
    <col min="14104" max="14336" width="9.00390625" style="128" customWidth="1"/>
    <col min="14337" max="14337" width="7.25390625" style="128" bestFit="1" customWidth="1"/>
    <col min="14338" max="14338" width="9.25390625" style="128" bestFit="1" customWidth="1"/>
    <col min="14339" max="14339" width="27.00390625" style="128" bestFit="1" customWidth="1"/>
    <col min="14340" max="14340" width="11.125" style="128" bestFit="1" customWidth="1"/>
    <col min="14341" max="14341" width="15.625" style="128" customWidth="1"/>
    <col min="14342" max="14342" width="14.00390625" style="128" bestFit="1" customWidth="1"/>
    <col min="14343" max="14343" width="9.25390625" style="128" bestFit="1" customWidth="1"/>
    <col min="14344" max="14344" width="11.125" style="128" bestFit="1" customWidth="1"/>
    <col min="14345" max="14345" width="15.625" style="128" customWidth="1"/>
    <col min="14346" max="14346" width="14.00390625" style="128" bestFit="1" customWidth="1"/>
    <col min="14347" max="14347" width="9.25390625" style="128" bestFit="1" customWidth="1"/>
    <col min="14348" max="14348" width="11.125" style="128" bestFit="1" customWidth="1"/>
    <col min="14349" max="14349" width="15.625" style="128" customWidth="1"/>
    <col min="14350" max="14350" width="14.00390625" style="128" bestFit="1" customWidth="1"/>
    <col min="14351" max="14351" width="9.25390625" style="128" bestFit="1" customWidth="1"/>
    <col min="14352" max="14352" width="11.125" style="128" bestFit="1" customWidth="1"/>
    <col min="14353" max="14353" width="15.625" style="128" customWidth="1"/>
    <col min="14354" max="14354" width="14.00390625" style="128" bestFit="1" customWidth="1"/>
    <col min="14355" max="14355" width="9.25390625" style="128" bestFit="1" customWidth="1"/>
    <col min="14356" max="14356" width="11.125" style="128" bestFit="1" customWidth="1"/>
    <col min="14357" max="14357" width="15.625" style="128" customWidth="1"/>
    <col min="14358" max="14358" width="14.00390625" style="128" bestFit="1" customWidth="1"/>
    <col min="14359" max="14359" width="9.25390625" style="128" bestFit="1" customWidth="1"/>
    <col min="14360" max="14592" width="9.00390625" style="128" customWidth="1"/>
    <col min="14593" max="14593" width="7.25390625" style="128" bestFit="1" customWidth="1"/>
    <col min="14594" max="14594" width="9.25390625" style="128" bestFit="1" customWidth="1"/>
    <col min="14595" max="14595" width="27.00390625" style="128" bestFit="1" customWidth="1"/>
    <col min="14596" max="14596" width="11.125" style="128" bestFit="1" customWidth="1"/>
    <col min="14597" max="14597" width="15.625" style="128" customWidth="1"/>
    <col min="14598" max="14598" width="14.00390625" style="128" bestFit="1" customWidth="1"/>
    <col min="14599" max="14599" width="9.25390625" style="128" bestFit="1" customWidth="1"/>
    <col min="14600" max="14600" width="11.125" style="128" bestFit="1" customWidth="1"/>
    <col min="14601" max="14601" width="15.625" style="128" customWidth="1"/>
    <col min="14602" max="14602" width="14.00390625" style="128" bestFit="1" customWidth="1"/>
    <col min="14603" max="14603" width="9.25390625" style="128" bestFit="1" customWidth="1"/>
    <col min="14604" max="14604" width="11.125" style="128" bestFit="1" customWidth="1"/>
    <col min="14605" max="14605" width="15.625" style="128" customWidth="1"/>
    <col min="14606" max="14606" width="14.00390625" style="128" bestFit="1" customWidth="1"/>
    <col min="14607" max="14607" width="9.25390625" style="128" bestFit="1" customWidth="1"/>
    <col min="14608" max="14608" width="11.125" style="128" bestFit="1" customWidth="1"/>
    <col min="14609" max="14609" width="15.625" style="128" customWidth="1"/>
    <col min="14610" max="14610" width="14.00390625" style="128" bestFit="1" customWidth="1"/>
    <col min="14611" max="14611" width="9.25390625" style="128" bestFit="1" customWidth="1"/>
    <col min="14612" max="14612" width="11.125" style="128" bestFit="1" customWidth="1"/>
    <col min="14613" max="14613" width="15.625" style="128" customWidth="1"/>
    <col min="14614" max="14614" width="14.00390625" style="128" bestFit="1" customWidth="1"/>
    <col min="14615" max="14615" width="9.25390625" style="128" bestFit="1" customWidth="1"/>
    <col min="14616" max="14848" width="9.00390625" style="128" customWidth="1"/>
    <col min="14849" max="14849" width="7.25390625" style="128" bestFit="1" customWidth="1"/>
    <col min="14850" max="14850" width="9.25390625" style="128" bestFit="1" customWidth="1"/>
    <col min="14851" max="14851" width="27.00390625" style="128" bestFit="1" customWidth="1"/>
    <col min="14852" max="14852" width="11.125" style="128" bestFit="1" customWidth="1"/>
    <col min="14853" max="14853" width="15.625" style="128" customWidth="1"/>
    <col min="14854" max="14854" width="14.00390625" style="128" bestFit="1" customWidth="1"/>
    <col min="14855" max="14855" width="9.25390625" style="128" bestFit="1" customWidth="1"/>
    <col min="14856" max="14856" width="11.125" style="128" bestFit="1" customWidth="1"/>
    <col min="14857" max="14857" width="15.625" style="128" customWidth="1"/>
    <col min="14858" max="14858" width="14.00390625" style="128" bestFit="1" customWidth="1"/>
    <col min="14859" max="14859" width="9.25390625" style="128" bestFit="1" customWidth="1"/>
    <col min="14860" max="14860" width="11.125" style="128" bestFit="1" customWidth="1"/>
    <col min="14861" max="14861" width="15.625" style="128" customWidth="1"/>
    <col min="14862" max="14862" width="14.00390625" style="128" bestFit="1" customWidth="1"/>
    <col min="14863" max="14863" width="9.25390625" style="128" bestFit="1" customWidth="1"/>
    <col min="14864" max="14864" width="11.125" style="128" bestFit="1" customWidth="1"/>
    <col min="14865" max="14865" width="15.625" style="128" customWidth="1"/>
    <col min="14866" max="14866" width="14.00390625" style="128" bestFit="1" customWidth="1"/>
    <col min="14867" max="14867" width="9.25390625" style="128" bestFit="1" customWidth="1"/>
    <col min="14868" max="14868" width="11.125" style="128" bestFit="1" customWidth="1"/>
    <col min="14869" max="14869" width="15.625" style="128" customWidth="1"/>
    <col min="14870" max="14870" width="14.00390625" style="128" bestFit="1" customWidth="1"/>
    <col min="14871" max="14871" width="9.25390625" style="128" bestFit="1" customWidth="1"/>
    <col min="14872" max="15104" width="9.00390625" style="128" customWidth="1"/>
    <col min="15105" max="15105" width="7.25390625" style="128" bestFit="1" customWidth="1"/>
    <col min="15106" max="15106" width="9.25390625" style="128" bestFit="1" customWidth="1"/>
    <col min="15107" max="15107" width="27.00390625" style="128" bestFit="1" customWidth="1"/>
    <col min="15108" max="15108" width="11.125" style="128" bestFit="1" customWidth="1"/>
    <col min="15109" max="15109" width="15.625" style="128" customWidth="1"/>
    <col min="15110" max="15110" width="14.00390625" style="128" bestFit="1" customWidth="1"/>
    <col min="15111" max="15111" width="9.25390625" style="128" bestFit="1" customWidth="1"/>
    <col min="15112" max="15112" width="11.125" style="128" bestFit="1" customWidth="1"/>
    <col min="15113" max="15113" width="15.625" style="128" customWidth="1"/>
    <col min="15114" max="15114" width="14.00390625" style="128" bestFit="1" customWidth="1"/>
    <col min="15115" max="15115" width="9.25390625" style="128" bestFit="1" customWidth="1"/>
    <col min="15116" max="15116" width="11.125" style="128" bestFit="1" customWidth="1"/>
    <col min="15117" max="15117" width="15.625" style="128" customWidth="1"/>
    <col min="15118" max="15118" width="14.00390625" style="128" bestFit="1" customWidth="1"/>
    <col min="15119" max="15119" width="9.25390625" style="128" bestFit="1" customWidth="1"/>
    <col min="15120" max="15120" width="11.125" style="128" bestFit="1" customWidth="1"/>
    <col min="15121" max="15121" width="15.625" style="128" customWidth="1"/>
    <col min="15122" max="15122" width="14.00390625" style="128" bestFit="1" customWidth="1"/>
    <col min="15123" max="15123" width="9.25390625" style="128" bestFit="1" customWidth="1"/>
    <col min="15124" max="15124" width="11.125" style="128" bestFit="1" customWidth="1"/>
    <col min="15125" max="15125" width="15.625" style="128" customWidth="1"/>
    <col min="15126" max="15126" width="14.00390625" style="128" bestFit="1" customWidth="1"/>
    <col min="15127" max="15127" width="9.25390625" style="128" bestFit="1" customWidth="1"/>
    <col min="15128" max="15360" width="9.00390625" style="128" customWidth="1"/>
    <col min="15361" max="15361" width="7.25390625" style="128" bestFit="1" customWidth="1"/>
    <col min="15362" max="15362" width="9.25390625" style="128" bestFit="1" customWidth="1"/>
    <col min="15363" max="15363" width="27.00390625" style="128" bestFit="1" customWidth="1"/>
    <col min="15364" max="15364" width="11.125" style="128" bestFit="1" customWidth="1"/>
    <col min="15365" max="15365" width="15.625" style="128" customWidth="1"/>
    <col min="15366" max="15366" width="14.00390625" style="128" bestFit="1" customWidth="1"/>
    <col min="15367" max="15367" width="9.25390625" style="128" bestFit="1" customWidth="1"/>
    <col min="15368" max="15368" width="11.125" style="128" bestFit="1" customWidth="1"/>
    <col min="15369" max="15369" width="15.625" style="128" customWidth="1"/>
    <col min="15370" max="15370" width="14.00390625" style="128" bestFit="1" customWidth="1"/>
    <col min="15371" max="15371" width="9.25390625" style="128" bestFit="1" customWidth="1"/>
    <col min="15372" max="15372" width="11.125" style="128" bestFit="1" customWidth="1"/>
    <col min="15373" max="15373" width="15.625" style="128" customWidth="1"/>
    <col min="15374" max="15374" width="14.00390625" style="128" bestFit="1" customWidth="1"/>
    <col min="15375" max="15375" width="9.25390625" style="128" bestFit="1" customWidth="1"/>
    <col min="15376" max="15376" width="11.125" style="128" bestFit="1" customWidth="1"/>
    <col min="15377" max="15377" width="15.625" style="128" customWidth="1"/>
    <col min="15378" max="15378" width="14.00390625" style="128" bestFit="1" customWidth="1"/>
    <col min="15379" max="15379" width="9.25390625" style="128" bestFit="1" customWidth="1"/>
    <col min="15380" max="15380" width="11.125" style="128" bestFit="1" customWidth="1"/>
    <col min="15381" max="15381" width="15.625" style="128" customWidth="1"/>
    <col min="15382" max="15382" width="14.00390625" style="128" bestFit="1" customWidth="1"/>
    <col min="15383" max="15383" width="9.25390625" style="128" bestFit="1" customWidth="1"/>
    <col min="15384" max="15616" width="9.00390625" style="128" customWidth="1"/>
    <col min="15617" max="15617" width="7.25390625" style="128" bestFit="1" customWidth="1"/>
    <col min="15618" max="15618" width="9.25390625" style="128" bestFit="1" customWidth="1"/>
    <col min="15619" max="15619" width="27.00390625" style="128" bestFit="1" customWidth="1"/>
    <col min="15620" max="15620" width="11.125" style="128" bestFit="1" customWidth="1"/>
    <col min="15621" max="15621" width="15.625" style="128" customWidth="1"/>
    <col min="15622" max="15622" width="14.00390625" style="128" bestFit="1" customWidth="1"/>
    <col min="15623" max="15623" width="9.25390625" style="128" bestFit="1" customWidth="1"/>
    <col min="15624" max="15624" width="11.125" style="128" bestFit="1" customWidth="1"/>
    <col min="15625" max="15625" width="15.625" style="128" customWidth="1"/>
    <col min="15626" max="15626" width="14.00390625" style="128" bestFit="1" customWidth="1"/>
    <col min="15627" max="15627" width="9.25390625" style="128" bestFit="1" customWidth="1"/>
    <col min="15628" max="15628" width="11.125" style="128" bestFit="1" customWidth="1"/>
    <col min="15629" max="15629" width="15.625" style="128" customWidth="1"/>
    <col min="15630" max="15630" width="14.00390625" style="128" bestFit="1" customWidth="1"/>
    <col min="15631" max="15631" width="9.25390625" style="128" bestFit="1" customWidth="1"/>
    <col min="15632" max="15632" width="11.125" style="128" bestFit="1" customWidth="1"/>
    <col min="15633" max="15633" width="15.625" style="128" customWidth="1"/>
    <col min="15634" max="15634" width="14.00390625" style="128" bestFit="1" customWidth="1"/>
    <col min="15635" max="15635" width="9.25390625" style="128" bestFit="1" customWidth="1"/>
    <col min="15636" max="15636" width="11.125" style="128" bestFit="1" customWidth="1"/>
    <col min="15637" max="15637" width="15.625" style="128" customWidth="1"/>
    <col min="15638" max="15638" width="14.00390625" style="128" bestFit="1" customWidth="1"/>
    <col min="15639" max="15639" width="9.25390625" style="128" bestFit="1" customWidth="1"/>
    <col min="15640" max="15872" width="9.00390625" style="128" customWidth="1"/>
    <col min="15873" max="15873" width="7.25390625" style="128" bestFit="1" customWidth="1"/>
    <col min="15874" max="15874" width="9.25390625" style="128" bestFit="1" customWidth="1"/>
    <col min="15875" max="15875" width="27.00390625" style="128" bestFit="1" customWidth="1"/>
    <col min="15876" max="15876" width="11.125" style="128" bestFit="1" customWidth="1"/>
    <col min="15877" max="15877" width="15.625" style="128" customWidth="1"/>
    <col min="15878" max="15878" width="14.00390625" style="128" bestFit="1" customWidth="1"/>
    <col min="15879" max="15879" width="9.25390625" style="128" bestFit="1" customWidth="1"/>
    <col min="15880" max="15880" width="11.125" style="128" bestFit="1" customWidth="1"/>
    <col min="15881" max="15881" width="15.625" style="128" customWidth="1"/>
    <col min="15882" max="15882" width="14.00390625" style="128" bestFit="1" customWidth="1"/>
    <col min="15883" max="15883" width="9.25390625" style="128" bestFit="1" customWidth="1"/>
    <col min="15884" max="15884" width="11.125" style="128" bestFit="1" customWidth="1"/>
    <col min="15885" max="15885" width="15.625" style="128" customWidth="1"/>
    <col min="15886" max="15886" width="14.00390625" style="128" bestFit="1" customWidth="1"/>
    <col min="15887" max="15887" width="9.25390625" style="128" bestFit="1" customWidth="1"/>
    <col min="15888" max="15888" width="11.125" style="128" bestFit="1" customWidth="1"/>
    <col min="15889" max="15889" width="15.625" style="128" customWidth="1"/>
    <col min="15890" max="15890" width="14.00390625" style="128" bestFit="1" customWidth="1"/>
    <col min="15891" max="15891" width="9.25390625" style="128" bestFit="1" customWidth="1"/>
    <col min="15892" max="15892" width="11.125" style="128" bestFit="1" customWidth="1"/>
    <col min="15893" max="15893" width="15.625" style="128" customWidth="1"/>
    <col min="15894" max="15894" width="14.00390625" style="128" bestFit="1" customWidth="1"/>
    <col min="15895" max="15895" width="9.25390625" style="128" bestFit="1" customWidth="1"/>
    <col min="15896" max="16128" width="9.00390625" style="128" customWidth="1"/>
    <col min="16129" max="16129" width="7.25390625" style="128" bestFit="1" customWidth="1"/>
    <col min="16130" max="16130" width="9.25390625" style="128" bestFit="1" customWidth="1"/>
    <col min="16131" max="16131" width="27.00390625" style="128" bestFit="1" customWidth="1"/>
    <col min="16132" max="16132" width="11.125" style="128" bestFit="1" customWidth="1"/>
    <col min="16133" max="16133" width="15.625" style="128" customWidth="1"/>
    <col min="16134" max="16134" width="14.00390625" style="128" bestFit="1" customWidth="1"/>
    <col min="16135" max="16135" width="9.25390625" style="128" bestFit="1" customWidth="1"/>
    <col min="16136" max="16136" width="11.125" style="128" bestFit="1" customWidth="1"/>
    <col min="16137" max="16137" width="15.625" style="128" customWidth="1"/>
    <col min="16138" max="16138" width="14.00390625" style="128" bestFit="1" customWidth="1"/>
    <col min="16139" max="16139" width="9.25390625" style="128" bestFit="1" customWidth="1"/>
    <col min="16140" max="16140" width="11.125" style="128" bestFit="1" customWidth="1"/>
    <col min="16141" max="16141" width="15.625" style="128" customWidth="1"/>
    <col min="16142" max="16142" width="14.00390625" style="128" bestFit="1" customWidth="1"/>
    <col min="16143" max="16143" width="9.25390625" style="128" bestFit="1" customWidth="1"/>
    <col min="16144" max="16144" width="11.125" style="128" bestFit="1" customWidth="1"/>
    <col min="16145" max="16145" width="15.625" style="128" customWidth="1"/>
    <col min="16146" max="16146" width="14.00390625" style="128" bestFit="1" customWidth="1"/>
    <col min="16147" max="16147" width="9.25390625" style="128" bestFit="1" customWidth="1"/>
    <col min="16148" max="16148" width="11.125" style="128" bestFit="1" customWidth="1"/>
    <col min="16149" max="16149" width="15.625" style="128" customWidth="1"/>
    <col min="16150" max="16150" width="14.00390625" style="128" bestFit="1" customWidth="1"/>
    <col min="16151" max="16151" width="9.25390625" style="128" bestFit="1" customWidth="1"/>
    <col min="16152" max="16384" width="9.00390625" style="128" customWidth="1"/>
  </cols>
  <sheetData>
    <row r="1" spans="1:3" ht="13.5">
      <c r="A1" s="128" t="s">
        <v>408</v>
      </c>
      <c r="B1" s="129" t="s">
        <v>409</v>
      </c>
      <c r="C1" s="128" t="str">
        <f>'大会要項'!B3</f>
        <v>第11回 全日本不動産協会杯争奪U-12サッカー大会【ラビットカップ】大分県大会</v>
      </c>
    </row>
    <row r="2" ht="13.5">
      <c r="C2" s="128" t="str">
        <f>'大会要項'!B15</f>
        <v>2022年(令和4年)7月2日(土)・7月3日(日)</v>
      </c>
    </row>
    <row r="3" spans="4:20" s="131" customFormat="1" ht="13.5">
      <c r="D3" s="128" t="s">
        <v>410</v>
      </c>
      <c r="H3" s="128" t="s">
        <v>411</v>
      </c>
      <c r="L3" s="131" t="s">
        <v>412</v>
      </c>
      <c r="P3" s="131" t="s">
        <v>413</v>
      </c>
      <c r="T3" s="131" t="s">
        <v>414</v>
      </c>
    </row>
    <row r="4" spans="1:23" ht="35.15" customHeight="1">
      <c r="A4" s="128" t="s">
        <v>415</v>
      </c>
      <c r="B4" s="132" t="s">
        <v>416</v>
      </c>
      <c r="C4" s="133" t="s">
        <v>9</v>
      </c>
      <c r="D4" s="132" t="s">
        <v>417</v>
      </c>
      <c r="E4" s="134" t="s">
        <v>418</v>
      </c>
      <c r="F4" s="134" t="s">
        <v>419</v>
      </c>
      <c r="G4" s="135" t="s">
        <v>420</v>
      </c>
      <c r="H4" s="132" t="s">
        <v>417</v>
      </c>
      <c r="I4" s="134" t="s">
        <v>418</v>
      </c>
      <c r="J4" s="134" t="s">
        <v>419</v>
      </c>
      <c r="K4" s="135" t="s">
        <v>420</v>
      </c>
      <c r="L4" s="132" t="s">
        <v>417</v>
      </c>
      <c r="M4" s="134" t="s">
        <v>418</v>
      </c>
      <c r="N4" s="134" t="s">
        <v>419</v>
      </c>
      <c r="O4" s="135" t="s">
        <v>420</v>
      </c>
      <c r="P4" s="132" t="s">
        <v>417</v>
      </c>
      <c r="Q4" s="134" t="s">
        <v>418</v>
      </c>
      <c r="R4" s="134" t="s">
        <v>419</v>
      </c>
      <c r="S4" s="135" t="s">
        <v>420</v>
      </c>
      <c r="T4" s="132" t="s">
        <v>417</v>
      </c>
      <c r="U4" s="134" t="s">
        <v>418</v>
      </c>
      <c r="V4" s="134" t="s">
        <v>419</v>
      </c>
      <c r="W4" s="135" t="s">
        <v>420</v>
      </c>
    </row>
    <row r="5" spans="2:23" ht="35.15" customHeight="1">
      <c r="B5" s="533" t="s">
        <v>13</v>
      </c>
      <c r="C5" s="136" t="str">
        <f>'抽選会資料'!B11</f>
        <v>リノスフットボールクラブ　Ｕ－１２</v>
      </c>
      <c r="D5" s="137"/>
      <c r="E5" s="138" t="str">
        <f>IF(D5="","",VLOOKUP(CONCATENATE(C5,"_",D5),'選手名簿'!$A:$H,5,FALSE))</f>
        <v/>
      </c>
      <c r="F5" s="139"/>
      <c r="G5" s="140"/>
      <c r="H5" s="137"/>
      <c r="I5" s="138" t="str">
        <f>IF(H5="","",VLOOKUP(CONCATENATE(C5,"_",H5),'選手名簿'!$A:$H,5,FALSE))</f>
        <v/>
      </c>
      <c r="J5" s="139"/>
      <c r="K5" s="140"/>
      <c r="L5" s="137"/>
      <c r="M5" s="138" t="str">
        <f>IF(L5="","",VLOOKUP(CONCATENATE(C5,"_",L5),'選手名簿'!$A:$H,5,FALSE))</f>
        <v/>
      </c>
      <c r="N5" s="139"/>
      <c r="O5" s="140"/>
      <c r="P5" s="137"/>
      <c r="Q5" s="138" t="str">
        <f>IF(P5="","",VLOOKUP(CONCATENATE(C5,"_",P5),'選手名簿'!$A:$H,5,FALSE))</f>
        <v/>
      </c>
      <c r="R5" s="139"/>
      <c r="S5" s="140"/>
      <c r="T5" s="137"/>
      <c r="U5" s="138" t="str">
        <f>IF(T5="","",VLOOKUP(CONCATENATE(C5,"_",T5),'選手名簿'!$A:$H,5,FALSE))</f>
        <v/>
      </c>
      <c r="V5" s="139"/>
      <c r="W5" s="140"/>
    </row>
    <row r="6" spans="2:23" ht="35.15" customHeight="1">
      <c r="B6" s="534"/>
      <c r="C6" s="141" t="str">
        <f>'抽選会資料'!B12</f>
        <v>北郡坂ノ市サッカースポーツ少年団</v>
      </c>
      <c r="D6" s="137"/>
      <c r="E6" s="138" t="str">
        <f>IF(D6="","",VLOOKUP(CONCATENATE(C6,"_",D6),'選手名簿'!$A:$H,5,FALSE))</f>
        <v/>
      </c>
      <c r="F6" s="139"/>
      <c r="G6" s="140"/>
      <c r="H6" s="137">
        <v>9</v>
      </c>
      <c r="I6" s="138" t="str">
        <f>IF(H6="","",VLOOKUP(CONCATENATE(C6,"_",H6),'選手名簿'!$A:$H,5,FALSE))</f>
        <v>安部　煌大</v>
      </c>
      <c r="J6" s="139" t="s">
        <v>421</v>
      </c>
      <c r="K6" s="140" t="s">
        <v>422</v>
      </c>
      <c r="L6" s="137"/>
      <c r="M6" s="138" t="str">
        <f>IF(L6="","",VLOOKUP(CONCATENATE(C6,"_",L6),'選手名簿'!$A:$H,5,FALSE))</f>
        <v/>
      </c>
      <c r="N6" s="139"/>
      <c r="O6" s="140"/>
      <c r="P6" s="137"/>
      <c r="Q6" s="138" t="str">
        <f>IF(P6="","",VLOOKUP(CONCATENATE(C6,"_",P6),'選手名簿'!$A:$H,5,FALSE))</f>
        <v/>
      </c>
      <c r="R6" s="139"/>
      <c r="S6" s="140"/>
      <c r="T6" s="137"/>
      <c r="U6" s="138" t="str">
        <f>IF(T6="","",VLOOKUP(CONCATENATE(C6,"_",T6),'選手名簿'!$A:$H,5,FALSE))</f>
        <v/>
      </c>
      <c r="V6" s="139"/>
      <c r="W6" s="140"/>
    </row>
    <row r="7" spans="2:23" ht="35.15" customHeight="1">
      <c r="B7" s="534"/>
      <c r="C7" s="141" t="str">
        <f>'抽選会資料'!B13</f>
        <v>アトレチコエラン横瀬</v>
      </c>
      <c r="D7" s="137"/>
      <c r="E7" s="138" t="str">
        <f>IF(D7="","",VLOOKUP(CONCATENATE(C7,"_",D7),'選手名簿'!$A:$H,5,FALSE))</f>
        <v/>
      </c>
      <c r="F7" s="139"/>
      <c r="G7" s="140"/>
      <c r="H7" s="137"/>
      <c r="I7" s="138" t="str">
        <f>IF(H7="","",VLOOKUP(CONCATENATE(C7,"_",H7),'選手名簿'!$A:$H,5,FALSE))</f>
        <v/>
      </c>
      <c r="J7" s="139"/>
      <c r="K7" s="140"/>
      <c r="L7" s="137"/>
      <c r="M7" s="138" t="str">
        <f>IF(L7="","",VLOOKUP(CONCATENATE(C7,"_",L7),'選手名簿'!$A:$H,5,FALSE))</f>
        <v/>
      </c>
      <c r="N7" s="139"/>
      <c r="O7" s="140"/>
      <c r="P7" s="137"/>
      <c r="Q7" s="138" t="str">
        <f>IF(P7="","",VLOOKUP(CONCATENATE(C7,"_",P7),'選手名簿'!$A:$H,5,FALSE))</f>
        <v/>
      </c>
      <c r="R7" s="139"/>
      <c r="S7" s="140"/>
      <c r="T7" s="137"/>
      <c r="U7" s="138" t="str">
        <f>IF(T7="","",VLOOKUP(CONCATENATE(C7,"_",T7),'選手名簿'!$A:$H,5,FALSE))</f>
        <v/>
      </c>
      <c r="V7" s="139"/>
      <c r="W7" s="140"/>
    </row>
    <row r="8" spans="2:23" ht="35.15" customHeight="1">
      <c r="B8" s="534"/>
      <c r="C8" s="141" t="str">
        <f>'抽選会資料'!B14</f>
        <v>ＫＩＮＧＳ　ＦＯＯＴＢＡＬＬＣＬＵＢ　Ｕ－１２</v>
      </c>
      <c r="D8" s="137"/>
      <c r="E8" s="138" t="str">
        <f>IF(D8="","",VLOOKUP(CONCATENATE(C8,"_",D8),'選手名簿'!$A:$H,5,FALSE))</f>
        <v/>
      </c>
      <c r="F8" s="139"/>
      <c r="G8" s="140"/>
      <c r="H8" s="137"/>
      <c r="I8" s="138" t="str">
        <f>IF(H8="","",VLOOKUP(CONCATENATE(C8,"_",H8),'選手名簿'!$A:$H,5,FALSE))</f>
        <v/>
      </c>
      <c r="J8" s="139"/>
      <c r="K8" s="140"/>
      <c r="L8" s="137"/>
      <c r="M8" s="138" t="str">
        <f>IF(L8="","",VLOOKUP(CONCATENATE(C8,"_",L8),'選手名簿'!$A:$H,5,FALSE))</f>
        <v/>
      </c>
      <c r="N8" s="139"/>
      <c r="O8" s="140"/>
      <c r="P8" s="137"/>
      <c r="Q8" s="138" t="str">
        <f>IF(P8="","",VLOOKUP(CONCATENATE(C8,"_",P8),'選手名簿'!$A:$H,5,FALSE))</f>
        <v/>
      </c>
      <c r="R8" s="139"/>
      <c r="S8" s="140"/>
      <c r="T8" s="137"/>
      <c r="U8" s="138" t="str">
        <f>IF(T8="","",VLOOKUP(CONCATENATE(C8,"_",T8),'選手名簿'!$A:$H,5,FALSE))</f>
        <v/>
      </c>
      <c r="V8" s="139"/>
      <c r="W8" s="140"/>
    </row>
    <row r="9" spans="2:23" ht="35.15" customHeight="1">
      <c r="B9" s="534"/>
      <c r="C9" s="141" t="str">
        <f>'抽選会資料'!B15</f>
        <v>スマイス　セレソン　スポーツクラブ</v>
      </c>
      <c r="D9" s="137"/>
      <c r="E9" s="138" t="str">
        <f>IF(D9="","",VLOOKUP(CONCATENATE(C9,"_",D9),'選手名簿'!$A:$H,5,FALSE))</f>
        <v/>
      </c>
      <c r="F9" s="139"/>
      <c r="G9" s="140"/>
      <c r="H9" s="137"/>
      <c r="I9" s="138" t="str">
        <f>IF(H9="","",VLOOKUP(CONCATENATE(C9,"_",H9),'選手名簿'!$A:$H,5,FALSE))</f>
        <v/>
      </c>
      <c r="J9" s="139"/>
      <c r="K9" s="140"/>
      <c r="L9" s="137"/>
      <c r="M9" s="138" t="str">
        <f>IF(L9="","",VLOOKUP(CONCATENATE(C9,"_",L9),'選手名簿'!$A:$H,5,FALSE))</f>
        <v/>
      </c>
      <c r="N9" s="139"/>
      <c r="O9" s="140"/>
      <c r="P9" s="137"/>
      <c r="Q9" s="138" t="str">
        <f>IF(P9="","",VLOOKUP(CONCATENATE(C9,"_",P9),'選手名簿'!$A:$H,5,FALSE))</f>
        <v/>
      </c>
      <c r="R9" s="139"/>
      <c r="S9" s="140"/>
      <c r="T9" s="137"/>
      <c r="U9" s="138" t="str">
        <f>IF(T9="","",VLOOKUP(CONCATENATE(C9,"_",T9),'選手名簿'!$A:$H,5,FALSE))</f>
        <v/>
      </c>
      <c r="V9" s="139"/>
      <c r="W9" s="140"/>
    </row>
    <row r="10" spans="2:23" ht="35.15" customHeight="1">
      <c r="B10" s="534"/>
      <c r="C10" s="141" t="str">
        <f>'抽選会資料'!B16</f>
        <v>大分トリニータＵ－１２</v>
      </c>
      <c r="D10" s="137"/>
      <c r="E10" s="138" t="str">
        <f>IF(D10="","",VLOOKUP(CONCATENATE(C10,"_",D10),'選手名簿'!$A:$H,5,FALSE))</f>
        <v/>
      </c>
      <c r="F10" s="139"/>
      <c r="G10" s="140"/>
      <c r="H10" s="137"/>
      <c r="I10" s="138" t="str">
        <f>IF(H10="","",VLOOKUP(CONCATENATE(C10,"_",H10),'選手名簿'!$A:$H,5,FALSE))</f>
        <v/>
      </c>
      <c r="J10" s="139"/>
      <c r="K10" s="140"/>
      <c r="L10" s="137"/>
      <c r="M10" s="138" t="str">
        <f>IF(L10="","",VLOOKUP(CONCATENATE(C10,"_",L10),'選手名簿'!$A:$H,5,FALSE))</f>
        <v/>
      </c>
      <c r="N10" s="139"/>
      <c r="O10" s="140"/>
      <c r="P10" s="137"/>
      <c r="Q10" s="138" t="str">
        <f>IF(P10="","",VLOOKUP(CONCATENATE(C10,"_",P10),'選手名簿'!$A:$H,5,FALSE))</f>
        <v/>
      </c>
      <c r="R10" s="139"/>
      <c r="S10" s="140"/>
      <c r="T10" s="137"/>
      <c r="U10" s="138" t="str">
        <f>IF(T10="","",VLOOKUP(CONCATENATE(C10,"_",T10),'選手名簿'!$A:$H,5,FALSE))</f>
        <v/>
      </c>
      <c r="V10" s="139"/>
      <c r="W10" s="140"/>
    </row>
    <row r="11" spans="2:23" ht="35.15" customHeight="1">
      <c r="B11" s="534"/>
      <c r="C11" s="141" t="str">
        <f>'抽選会資料'!B17</f>
        <v>明治サッカースポーツ少年団</v>
      </c>
      <c r="D11" s="137"/>
      <c r="E11" s="138" t="str">
        <f>IF(D11="","",VLOOKUP(CONCATENATE(C11,"_",D11),'選手名簿'!$A:$H,5,FALSE))</f>
        <v/>
      </c>
      <c r="F11" s="139"/>
      <c r="G11" s="140"/>
      <c r="H11" s="137"/>
      <c r="I11" s="138" t="str">
        <f>IF(H11="","",VLOOKUP(CONCATENATE(C11,"_",H11),'選手名簿'!$A:$H,5,FALSE))</f>
        <v/>
      </c>
      <c r="J11" s="139"/>
      <c r="K11" s="140"/>
      <c r="L11" s="137"/>
      <c r="M11" s="138" t="str">
        <f>IF(L11="","",VLOOKUP(CONCATENATE(C11,"_",L11),'選手名簿'!$A:$H,5,FALSE))</f>
        <v/>
      </c>
      <c r="N11" s="139"/>
      <c r="O11" s="140"/>
      <c r="P11" s="137"/>
      <c r="Q11" s="138" t="str">
        <f>IF(P11="","",VLOOKUP(CONCATENATE(C11,"_",P11),'選手名簿'!$A:$H,5,FALSE))</f>
        <v/>
      </c>
      <c r="R11" s="139"/>
      <c r="S11" s="140"/>
      <c r="T11" s="137"/>
      <c r="U11" s="138" t="str">
        <f>IF(T11="","",VLOOKUP(CONCATENATE(C11,"_",T11),'選手名簿'!$A:$H,5,FALSE))</f>
        <v/>
      </c>
      <c r="V11" s="139"/>
      <c r="W11" s="140"/>
    </row>
    <row r="12" spans="2:23" ht="35.15" customHeight="1">
      <c r="B12" s="534"/>
      <c r="C12" s="141" t="str">
        <f>'抽選会資料'!B18</f>
        <v>ドリームキッズフットボールクラブ</v>
      </c>
      <c r="D12" s="137"/>
      <c r="E12" s="138" t="str">
        <f>IF(D12="","",VLOOKUP(CONCATENATE(C12,"_",D12),'選手名簿'!$A:$H,5,FALSE))</f>
        <v/>
      </c>
      <c r="F12" s="139"/>
      <c r="G12" s="140"/>
      <c r="H12" s="137"/>
      <c r="I12" s="138" t="str">
        <f>IF(H12="","",VLOOKUP(CONCATENATE(C12,"_",H12),'選手名簿'!$A:$H,5,FALSE))</f>
        <v/>
      </c>
      <c r="J12" s="139"/>
      <c r="K12" s="140"/>
      <c r="L12" s="137"/>
      <c r="M12" s="138" t="str">
        <f>IF(L12="","",VLOOKUP(CONCATENATE(C12,"_",L12),'選手名簿'!$A:$H,5,FALSE))</f>
        <v/>
      </c>
      <c r="N12" s="139"/>
      <c r="O12" s="140"/>
      <c r="P12" s="137"/>
      <c r="Q12" s="138" t="str">
        <f>IF(P12="","",VLOOKUP(CONCATENATE(C12,"_",P12),'選手名簿'!$A:$H,5,FALSE))</f>
        <v/>
      </c>
      <c r="R12" s="139"/>
      <c r="S12" s="140"/>
      <c r="T12" s="137"/>
      <c r="U12" s="138" t="str">
        <f>IF(T12="","",VLOOKUP(CONCATENATE(C12,"_",T12),'選手名簿'!$A:$H,5,FALSE))</f>
        <v/>
      </c>
      <c r="V12" s="139"/>
      <c r="W12" s="140"/>
    </row>
    <row r="13" spans="2:23" ht="35.15" customHeight="1">
      <c r="B13" s="534"/>
      <c r="C13" s="141" t="str">
        <f>'抽選会資料'!B19</f>
        <v>日岡サッカースポーツ少年団</v>
      </c>
      <c r="D13" s="137"/>
      <c r="E13" s="138" t="str">
        <f>IF(D13="","",VLOOKUP(CONCATENATE(C13,"_",D13),'選手名簿'!$A:$H,5,FALSE))</f>
        <v/>
      </c>
      <c r="F13" s="139"/>
      <c r="G13" s="140"/>
      <c r="H13" s="137"/>
      <c r="I13" s="138" t="str">
        <f>IF(H13="","",VLOOKUP(CONCATENATE(C13,"_",H13),'選手名簿'!$A:$H,5,FALSE))</f>
        <v/>
      </c>
      <c r="J13" s="139"/>
      <c r="K13" s="140"/>
      <c r="L13" s="137"/>
      <c r="M13" s="138" t="str">
        <f>IF(L13="","",VLOOKUP(CONCATENATE(C13,"_",L13),'選手名簿'!$A:$H,5,FALSE))</f>
        <v/>
      </c>
      <c r="N13" s="139"/>
      <c r="O13" s="140"/>
      <c r="P13" s="137"/>
      <c r="Q13" s="138" t="str">
        <f>IF(P13="","",VLOOKUP(CONCATENATE(C13,"_",P13),'選手名簿'!$A:$H,5,FALSE))</f>
        <v/>
      </c>
      <c r="R13" s="139"/>
      <c r="S13" s="140"/>
      <c r="T13" s="137"/>
      <c r="U13" s="138" t="str">
        <f>IF(T13="","",VLOOKUP(CONCATENATE(C13,"_",T13),'選手名簿'!$A:$H,5,FALSE))</f>
        <v/>
      </c>
      <c r="V13" s="139"/>
      <c r="W13" s="140"/>
    </row>
    <row r="14" spans="2:23" ht="35.15" customHeight="1">
      <c r="B14" s="534"/>
      <c r="C14" s="141" t="str">
        <f>'抽選会資料'!B20</f>
        <v>ブルーウイングフットボールクラブ</v>
      </c>
      <c r="D14" s="137"/>
      <c r="E14" s="138" t="str">
        <f>IF(D14="","",VLOOKUP(CONCATENATE(C14,"_",D14),'選手名簿'!$A:$H,5,FALSE))</f>
        <v/>
      </c>
      <c r="F14" s="139"/>
      <c r="G14" s="140"/>
      <c r="H14" s="137"/>
      <c r="I14" s="138" t="str">
        <f>IF(H14="","",VLOOKUP(CONCATENATE(C14,"_",H14),'選手名簿'!$A:$H,5,FALSE))</f>
        <v/>
      </c>
      <c r="J14" s="139"/>
      <c r="K14" s="140"/>
      <c r="L14" s="137"/>
      <c r="M14" s="138" t="str">
        <f>IF(L14="","",VLOOKUP(CONCATENATE(C14,"_",L14),'選手名簿'!$A:$H,5,FALSE))</f>
        <v/>
      </c>
      <c r="N14" s="139"/>
      <c r="O14" s="140"/>
      <c r="P14" s="137"/>
      <c r="Q14" s="138" t="str">
        <f>IF(P14="","",VLOOKUP(CONCATENATE(C14,"_",P14),'選手名簿'!$A:$H,5,FALSE))</f>
        <v/>
      </c>
      <c r="R14" s="139"/>
      <c r="S14" s="140"/>
      <c r="T14" s="137"/>
      <c r="U14" s="138" t="str">
        <f>IF(T14="","",VLOOKUP(CONCATENATE(C14,"_",T14),'選手名簿'!$A:$H,5,FALSE))</f>
        <v/>
      </c>
      <c r="V14" s="139"/>
      <c r="W14" s="140"/>
    </row>
    <row r="15" spans="2:23" ht="35.15" customHeight="1">
      <c r="B15" s="535"/>
      <c r="C15" s="142" t="str">
        <f>'抽選会資料'!B21</f>
        <v>別保ＳＦＣ</v>
      </c>
      <c r="D15" s="137"/>
      <c r="E15" s="138" t="str">
        <f>IF(D15="","",VLOOKUP(CONCATENATE(C15,"_",D15),'選手名簿'!$A:$H,5,FALSE))</f>
        <v/>
      </c>
      <c r="F15" s="139"/>
      <c r="G15" s="140"/>
      <c r="H15" s="137"/>
      <c r="I15" s="138" t="str">
        <f>IF(H15="","",VLOOKUP(CONCATENATE(C15,"_",H15),'選手名簿'!$A:$H,5,FALSE))</f>
        <v/>
      </c>
      <c r="J15" s="139"/>
      <c r="K15" s="140"/>
      <c r="L15" s="137"/>
      <c r="M15" s="138" t="str">
        <f>IF(L15="","",VLOOKUP(CONCATENATE(C15,"_",L15),'選手名簿'!$A:$H,5,FALSE))</f>
        <v/>
      </c>
      <c r="N15" s="139"/>
      <c r="O15" s="140"/>
      <c r="P15" s="137"/>
      <c r="Q15" s="138" t="str">
        <f>IF(P15="","",VLOOKUP(CONCATENATE(C15,"_",P15),'選手名簿'!$A:$H,5,FALSE))</f>
        <v/>
      </c>
      <c r="R15" s="139"/>
      <c r="S15" s="140"/>
      <c r="T15" s="137"/>
      <c r="U15" s="138" t="str">
        <f>IF(T15="","",VLOOKUP(CONCATENATE(C15,"_",T15),'選手名簿'!$A:$H,5,FALSE))</f>
        <v/>
      </c>
      <c r="V15" s="139"/>
      <c r="W15" s="140"/>
    </row>
    <row r="16" spans="2:23" ht="35.15" customHeight="1">
      <c r="B16" s="536" t="s">
        <v>17</v>
      </c>
      <c r="C16" s="21" t="str">
        <f>'抽選会資料'!I11</f>
        <v>中津沖代ジュニアサッカークラブ</v>
      </c>
      <c r="D16" s="137"/>
      <c r="E16" s="138" t="str">
        <f>IF(D16="","",VLOOKUP(CONCATENATE(C16,"_",D16),'選手名簿'!$A:$H,5,FALSE))</f>
        <v/>
      </c>
      <c r="F16" s="139"/>
      <c r="G16" s="140"/>
      <c r="H16" s="137"/>
      <c r="I16" s="138" t="str">
        <f>IF(H16="","",VLOOKUP(CONCATENATE(C16,"_",H16),'選手名簿'!$A:$H,5,FALSE))</f>
        <v/>
      </c>
      <c r="J16" s="139"/>
      <c r="K16" s="140"/>
      <c r="L16" s="137"/>
      <c r="M16" s="138" t="str">
        <f>IF(L16="","",VLOOKUP(CONCATENATE(C16,"_",L16),'選手名簿'!$A:$H,5,FALSE))</f>
        <v/>
      </c>
      <c r="N16" s="139"/>
      <c r="O16" s="140"/>
      <c r="P16" s="137"/>
      <c r="Q16" s="138" t="str">
        <f>IF(P16="","",VLOOKUP(CONCATENATE(C16,"_",P16),'選手名簿'!$A:$H,5,FALSE))</f>
        <v/>
      </c>
      <c r="R16" s="139"/>
      <c r="S16" s="140"/>
      <c r="T16" s="137"/>
      <c r="U16" s="138" t="str">
        <f>IF(T16="","",VLOOKUP(CONCATENATE(C16,"_",T16),'選手名簿'!$A:$H,5,FALSE))</f>
        <v/>
      </c>
      <c r="V16" s="139"/>
      <c r="W16" s="140"/>
    </row>
    <row r="17" spans="2:23" ht="35.15" customHeight="1">
      <c r="B17" s="537"/>
      <c r="C17" s="29" t="str">
        <f>'抽選会資料'!I12</f>
        <v>ＦＣ中津ジュニア</v>
      </c>
      <c r="D17" s="137"/>
      <c r="E17" s="138" t="str">
        <f>IF(D17="","",VLOOKUP(CONCATENATE(C17,"_",D17),'選手名簿'!$A:$H,5,FALSE))</f>
        <v/>
      </c>
      <c r="F17" s="139"/>
      <c r="G17" s="140"/>
      <c r="H17" s="137"/>
      <c r="I17" s="138" t="str">
        <f>IF(H17="","",VLOOKUP(CONCATENATE(C17,"_",H17),'選手名簿'!$A:$H,5,FALSE))</f>
        <v/>
      </c>
      <c r="J17" s="139"/>
      <c r="K17" s="140"/>
      <c r="L17" s="137"/>
      <c r="M17" s="138" t="str">
        <f>IF(L17="","",VLOOKUP(CONCATENATE(C17,"_",L17),'選手名簿'!$A:$H,5,FALSE))</f>
        <v/>
      </c>
      <c r="N17" s="139"/>
      <c r="O17" s="140"/>
      <c r="P17" s="137"/>
      <c r="Q17" s="138" t="str">
        <f>IF(P17="","",VLOOKUP(CONCATENATE(C17,"_",P17),'選手名簿'!$A:$H,5,FALSE))</f>
        <v/>
      </c>
      <c r="R17" s="139"/>
      <c r="S17" s="140"/>
      <c r="T17" s="137"/>
      <c r="U17" s="138" t="str">
        <f>IF(T17="","",VLOOKUP(CONCATENATE(C17,"_",T17),'選手名簿'!$A:$H,5,FALSE))</f>
        <v/>
      </c>
      <c r="V17" s="139"/>
      <c r="W17" s="140"/>
    </row>
    <row r="18" spans="2:23" ht="35.15" customHeight="1">
      <c r="B18" s="538"/>
      <c r="C18" s="33" t="str">
        <f>'抽選会資料'!I13</f>
        <v>下毛ＦＣ</v>
      </c>
      <c r="D18" s="137"/>
      <c r="E18" s="138" t="str">
        <f>IF(D18="","",VLOOKUP(CONCATENATE(C18,"_",D18),'選手名簿'!$A:$H,5,FALSE))</f>
        <v/>
      </c>
      <c r="F18" s="139"/>
      <c r="G18" s="140"/>
      <c r="H18" s="137"/>
      <c r="I18" s="138" t="str">
        <f>IF(H18="","",VLOOKUP(CONCATENATE(C18,"_",H18),'選手名簿'!$A:$H,5,FALSE))</f>
        <v/>
      </c>
      <c r="J18" s="139"/>
      <c r="K18" s="140"/>
      <c r="L18" s="137"/>
      <c r="M18" s="138" t="str">
        <f>IF(L18="","",VLOOKUP(CONCATENATE(C18,"_",L18),'選手名簿'!$A:$H,5,FALSE))</f>
        <v/>
      </c>
      <c r="N18" s="139"/>
      <c r="O18" s="140"/>
      <c r="P18" s="137"/>
      <c r="Q18" s="138" t="str">
        <f>IF(P18="","",VLOOKUP(CONCATENATE(C18,"_",P18),'選手名簿'!$A:$H,5,FALSE))</f>
        <v/>
      </c>
      <c r="R18" s="139"/>
      <c r="S18" s="140"/>
      <c r="T18" s="137"/>
      <c r="U18" s="138" t="str">
        <f>IF(T18="","",VLOOKUP(CONCATENATE(C18,"_",T18),'選手名簿'!$A:$H,5,FALSE))</f>
        <v/>
      </c>
      <c r="V18" s="139"/>
      <c r="W18" s="140"/>
    </row>
    <row r="19" spans="2:23" ht="35.15" customHeight="1">
      <c r="B19" s="536" t="s">
        <v>24</v>
      </c>
      <c r="C19" s="37" t="str">
        <f>'抽選会資料'!I14</f>
        <v>ＯＫＹ山香サッカークラブ</v>
      </c>
      <c r="D19" s="137"/>
      <c r="E19" s="138" t="str">
        <f>IF(D19="","",VLOOKUP(CONCATENATE(C19,"_",D19),'選手名簿'!$A:$H,5,FALSE))</f>
        <v/>
      </c>
      <c r="F19" s="139"/>
      <c r="G19" s="140"/>
      <c r="H19" s="137"/>
      <c r="I19" s="138" t="str">
        <f>IF(H19="","",VLOOKUP(CONCATENATE(C19,"_",H19),'選手名簿'!$A:$H,5,FALSE))</f>
        <v/>
      </c>
      <c r="J19" s="139"/>
      <c r="K19" s="140"/>
      <c r="L19" s="137"/>
      <c r="M19" s="138" t="str">
        <f>IF(L19="","",VLOOKUP(CONCATENATE(C19,"_",L19),'選手名簿'!$A:$H,5,FALSE))</f>
        <v/>
      </c>
      <c r="N19" s="139"/>
      <c r="O19" s="140"/>
      <c r="P19" s="137"/>
      <c r="Q19" s="138" t="str">
        <f>IF(P19="","",VLOOKUP(CONCATENATE(C19,"_",P19),'選手名簿'!$A:$H,5,FALSE))</f>
        <v/>
      </c>
      <c r="R19" s="139"/>
      <c r="S19" s="140"/>
      <c r="T19" s="137"/>
      <c r="U19" s="138" t="str">
        <f>IF(T19="","",VLOOKUP(CONCATENATE(C19,"_",T19),'選手名簿'!$A:$H,5,FALSE))</f>
        <v/>
      </c>
      <c r="V19" s="139"/>
      <c r="W19" s="140"/>
    </row>
    <row r="20" spans="2:23" ht="35.15" customHeight="1">
      <c r="B20" s="538"/>
      <c r="C20" s="38" t="str">
        <f>'抽選会資料'!I15</f>
        <v>東　Ｆ．Ｃ．</v>
      </c>
      <c r="D20" s="137">
        <v>11</v>
      </c>
      <c r="E20" s="138" t="str">
        <f>IF(D20="","",VLOOKUP(CONCATENATE(C20,"_",D20),'選手名簿'!$A:$H,5,FALSE))</f>
        <v>川野　颯亮</v>
      </c>
      <c r="F20" s="139" t="s">
        <v>421</v>
      </c>
      <c r="G20" s="140" t="s">
        <v>422</v>
      </c>
      <c r="H20" s="137"/>
      <c r="I20" s="138" t="str">
        <f>IF(H20="","",VLOOKUP(CONCATENATE(C20,"_",H20),'選手名簿'!$A:$H,5,FALSE))</f>
        <v/>
      </c>
      <c r="J20" s="139"/>
      <c r="K20" s="140"/>
      <c r="L20" s="137"/>
      <c r="M20" s="138" t="str">
        <f>IF(L20="","",VLOOKUP(CONCATENATE(C20,"_",L20),'選手名簿'!$A:$H,5,FALSE))</f>
        <v/>
      </c>
      <c r="N20" s="139"/>
      <c r="O20" s="140"/>
      <c r="P20" s="137"/>
      <c r="Q20" s="138" t="str">
        <f>IF(P20="","",VLOOKUP(CONCATENATE(C20,"_",P20),'選手名簿'!$A:$H,5,FALSE))</f>
        <v/>
      </c>
      <c r="R20" s="139"/>
      <c r="S20" s="140"/>
      <c r="T20" s="137"/>
      <c r="U20" s="138" t="str">
        <f>IF(T20="","",VLOOKUP(CONCATENATE(C20,"_",T20),'選手名簿'!$A:$H,5,FALSE))</f>
        <v/>
      </c>
      <c r="V20" s="139"/>
      <c r="W20" s="140"/>
    </row>
    <row r="21" spans="2:23" ht="35.15" customHeight="1">
      <c r="B21" s="536" t="s">
        <v>29</v>
      </c>
      <c r="C21" s="37" t="str">
        <f>'抽選会資料'!I16</f>
        <v>スマイス・セレソン</v>
      </c>
      <c r="D21" s="137">
        <v>2</v>
      </c>
      <c r="E21" s="138" t="str">
        <f>IF(D21="","",VLOOKUP(CONCATENATE(C21,"_",D21),'選手名簿'!$A:$H,5,FALSE))</f>
        <v>伊東　凌</v>
      </c>
      <c r="F21" s="139" t="s">
        <v>421</v>
      </c>
      <c r="G21" s="140" t="s">
        <v>422</v>
      </c>
      <c r="H21" s="137"/>
      <c r="I21" s="138" t="str">
        <f>IF(H21="","",VLOOKUP(CONCATENATE(C21,"_",H21),'選手名簿'!$A:$H,5,FALSE))</f>
        <v/>
      </c>
      <c r="J21" s="139"/>
      <c r="K21" s="140"/>
      <c r="L21" s="137"/>
      <c r="M21" s="138" t="str">
        <f>IF(L21="","",VLOOKUP(CONCATENATE(C21,"_",L21),'選手名簿'!$A:$H,5,FALSE))</f>
        <v/>
      </c>
      <c r="N21" s="139"/>
      <c r="O21" s="140"/>
      <c r="P21" s="137"/>
      <c r="Q21" s="138" t="str">
        <f>IF(P21="","",VLOOKUP(CONCATENATE(C21,"_",P21),'選手名簿'!$A:$H,5,FALSE))</f>
        <v/>
      </c>
      <c r="R21" s="139"/>
      <c r="S21" s="140"/>
      <c r="T21" s="137"/>
      <c r="U21" s="138" t="str">
        <f>IF(T21="","",VLOOKUP(CONCATENATE(C21,"_",T21),'選手名簿'!$A:$H,5,FALSE))</f>
        <v/>
      </c>
      <c r="V21" s="139"/>
      <c r="W21" s="140"/>
    </row>
    <row r="22" spans="2:23" ht="35.15" customHeight="1">
      <c r="B22" s="538"/>
      <c r="C22" s="38" t="str">
        <f>'抽選会資料'!I17</f>
        <v>別府フットボールクラブ．ミネルバＵ－１２</v>
      </c>
      <c r="D22" s="137"/>
      <c r="E22" s="138" t="str">
        <f>IF(D22="","",VLOOKUP(CONCATENATE(C22,"_",D22),'選手名簿'!$A:$H,5,FALSE))</f>
        <v/>
      </c>
      <c r="F22" s="139"/>
      <c r="G22" s="140"/>
      <c r="H22" s="137"/>
      <c r="I22" s="138" t="str">
        <f>IF(H22="","",VLOOKUP(CONCATENATE(C22,"_",H22),'選手名簿'!$A:$H,5,FALSE))</f>
        <v/>
      </c>
      <c r="J22" s="139"/>
      <c r="K22" s="140"/>
      <c r="L22" s="137">
        <v>13</v>
      </c>
      <c r="M22" s="138" t="str">
        <f>IF(L22="","",VLOOKUP(CONCATENATE(C22,"_",L22),'選手名簿'!$A:$H,5,FALSE))</f>
        <v>林　蔵人</v>
      </c>
      <c r="N22" s="139" t="s">
        <v>421</v>
      </c>
      <c r="O22" s="140" t="s">
        <v>423</v>
      </c>
      <c r="P22" s="137"/>
      <c r="Q22" s="138" t="str">
        <f>IF(P22="","",VLOOKUP(CONCATENATE(C22,"_",P22),'選手名簿'!$A:$H,5,FALSE))</f>
        <v/>
      </c>
      <c r="R22" s="139"/>
      <c r="S22" s="140"/>
      <c r="T22" s="137"/>
      <c r="U22" s="138" t="str">
        <f>IF(T22="","",VLOOKUP(CONCATENATE(C22,"_",T22),'選手名簿'!$A:$H,5,FALSE))</f>
        <v/>
      </c>
      <c r="V22" s="139"/>
      <c r="W22" s="140"/>
    </row>
    <row r="23" spans="2:23" ht="35.15" customHeight="1">
      <c r="B23" s="536" t="s">
        <v>34</v>
      </c>
      <c r="C23" s="37" t="str">
        <f>'抽選会資料'!I18</f>
        <v>太陽スポーツクラブ大分西</v>
      </c>
      <c r="D23" s="137"/>
      <c r="E23" s="138" t="str">
        <f>IF(D23="","",VLOOKUP(CONCATENATE(C23,"_",D23),'選手名簿'!$A:$H,5,FALSE))</f>
        <v/>
      </c>
      <c r="F23" s="139"/>
      <c r="G23" s="140"/>
      <c r="H23" s="137"/>
      <c r="I23" s="138" t="str">
        <f>IF(H23="","",VLOOKUP(CONCATENATE(C23,"_",H23),'選手名簿'!$A:$H,5,FALSE))</f>
        <v/>
      </c>
      <c r="J23" s="139"/>
      <c r="K23" s="140"/>
      <c r="L23" s="137"/>
      <c r="M23" s="138" t="str">
        <f>IF(L23="","",VLOOKUP(CONCATENATE(C23,"_",L23),'選手名簿'!$A:$H,5,FALSE))</f>
        <v/>
      </c>
      <c r="N23" s="139"/>
      <c r="O23" s="140"/>
      <c r="P23" s="137">
        <v>5</v>
      </c>
      <c r="Q23" s="138" t="str">
        <f>IF(P23="","",VLOOKUP(CONCATENATE(C23,"_",P23),'選手名簿'!$A:$H,5,FALSE))</f>
        <v>矢幡　陸</v>
      </c>
      <c r="R23" s="139" t="s">
        <v>421</v>
      </c>
      <c r="S23" s="140" t="s">
        <v>423</v>
      </c>
      <c r="T23" s="137"/>
      <c r="U23" s="138" t="str">
        <f>IF(T23="","",VLOOKUP(CONCATENATE(C23,"_",T23),'選手名簿'!$A:$H,5,FALSE))</f>
        <v/>
      </c>
      <c r="V23" s="139"/>
      <c r="W23" s="140"/>
    </row>
    <row r="24" spans="2:23" ht="35.15" customHeight="1">
      <c r="B24" s="538"/>
      <c r="C24" s="38" t="str">
        <f>'抽選会資料'!I19</f>
        <v>ＦＣアリアーレ</v>
      </c>
      <c r="D24" s="137"/>
      <c r="E24" s="138" t="str">
        <f>IF(D24="","",VLOOKUP(CONCATENATE(C24,"_",D24),'選手名簿'!$A:$H,5,FALSE))</f>
        <v/>
      </c>
      <c r="F24" s="139"/>
      <c r="G24" s="140"/>
      <c r="H24" s="137"/>
      <c r="I24" s="138" t="str">
        <f>IF(H24="","",VLOOKUP(CONCATENATE(C24,"_",H24),'選手名簿'!$A:$H,5,FALSE))</f>
        <v/>
      </c>
      <c r="J24" s="139"/>
      <c r="K24" s="140"/>
      <c r="L24" s="137"/>
      <c r="M24" s="138" t="str">
        <f>IF(L24="","",VLOOKUP(CONCATENATE(C24,"_",L24),'選手名簿'!$A:$H,5,FALSE))</f>
        <v/>
      </c>
      <c r="N24" s="139"/>
      <c r="O24" s="140"/>
      <c r="P24" s="137"/>
      <c r="Q24" s="138" t="str">
        <f>IF(P24="","",VLOOKUP(CONCATENATE(C24,"_",P24),'選手名簿'!$A:$H,5,FALSE))</f>
        <v/>
      </c>
      <c r="R24" s="139"/>
      <c r="S24" s="140"/>
      <c r="T24" s="137"/>
      <c r="U24" s="138" t="str">
        <f>IF(T24="","",VLOOKUP(CONCATENATE(C24,"_",T24),'選手名簿'!$A:$H,5,FALSE))</f>
        <v/>
      </c>
      <c r="V24" s="139"/>
      <c r="W24" s="140"/>
    </row>
    <row r="25" spans="2:23" ht="35.15" customHeight="1">
      <c r="B25" s="40" t="s">
        <v>39</v>
      </c>
      <c r="C25" s="41" t="str">
        <f>'抽選会資料'!I20</f>
        <v>ＦＣ　ＵＮＩＴＥ</v>
      </c>
      <c r="D25" s="137"/>
      <c r="E25" s="138" t="str">
        <f>IF(D25="","",VLOOKUP(CONCATENATE(C25,"_",D25),'選手名簿'!$A:$H,5,FALSE))</f>
        <v/>
      </c>
      <c r="F25" s="139"/>
      <c r="G25" s="140"/>
      <c r="H25" s="137"/>
      <c r="I25" s="138" t="str">
        <f>IF(H25="","",VLOOKUP(CONCATENATE(C25,"_",H25),'選手名簿'!$A:$H,5,FALSE))</f>
        <v/>
      </c>
      <c r="J25" s="139"/>
      <c r="K25" s="140"/>
      <c r="L25" s="137"/>
      <c r="M25" s="138" t="str">
        <f>IF(L25="","",VLOOKUP(CONCATENATE(C25,"_",L25),'選手名簿'!$A:$H,5,FALSE))</f>
        <v/>
      </c>
      <c r="N25" s="139"/>
      <c r="O25" s="140"/>
      <c r="P25" s="137"/>
      <c r="Q25" s="138" t="str">
        <f>IF(P25="","",VLOOKUP(CONCATENATE(C25,"_",P25),'選手名簿'!$A:$H,5,FALSE))</f>
        <v/>
      </c>
      <c r="R25" s="139"/>
      <c r="S25" s="140"/>
      <c r="T25" s="137"/>
      <c r="U25" s="138" t="str">
        <f>IF(T25="","",VLOOKUP(CONCATENATE(C25,"_",T25),'選手名簿'!$A:$H,5,FALSE))</f>
        <v/>
      </c>
      <c r="V25" s="139"/>
      <c r="W25" s="140"/>
    </row>
    <row r="26" spans="2:23" ht="35.15" customHeight="1">
      <c r="B26" s="40" t="s">
        <v>42</v>
      </c>
      <c r="C26" s="41" t="str">
        <f>'抽選会資料'!I21</f>
        <v>鶴岡Ｓ―ｐｌａｙ・ＭＩＮＡＭＩ</v>
      </c>
      <c r="D26" s="137"/>
      <c r="E26" s="138" t="str">
        <f>IF(D26="","",VLOOKUP(CONCATENATE(C26,"_",D26),'選手名簿'!$A:$H,5,FALSE))</f>
        <v/>
      </c>
      <c r="F26" s="139"/>
      <c r="G26" s="140"/>
      <c r="H26" s="137"/>
      <c r="I26" s="138" t="str">
        <f>IF(H26="","",VLOOKUP(CONCATENATE(C26,"_",H26),'選手名簿'!$A:$H,5,FALSE))</f>
        <v/>
      </c>
      <c r="J26" s="139"/>
      <c r="K26" s="140"/>
      <c r="L26" s="137"/>
      <c r="M26" s="138" t="str">
        <f>IF(L26="","",VLOOKUP(CONCATENATE(C26,"_",L26),'選手名簿'!$A:$H,5,FALSE))</f>
        <v/>
      </c>
      <c r="N26" s="139"/>
      <c r="O26" s="140"/>
      <c r="P26" s="137"/>
      <c r="Q26" s="138" t="str">
        <f>IF(P26="","",VLOOKUP(CONCATENATE(C26,"_",P26),'選手名簿'!$A:$H,5,FALSE))</f>
        <v/>
      </c>
      <c r="R26" s="139"/>
      <c r="S26" s="140"/>
      <c r="T26" s="137"/>
      <c r="U26" s="138" t="str">
        <f>IF(T26="","",VLOOKUP(CONCATENATE(C26,"_",T26),'選手名簿'!$A:$H,5,FALSE))</f>
        <v/>
      </c>
      <c r="V26" s="139"/>
      <c r="W26" s="140"/>
    </row>
    <row r="27" spans="2:23" ht="35.15" customHeight="1">
      <c r="B27" s="40" t="s">
        <v>44</v>
      </c>
      <c r="C27" s="41" t="str">
        <f>'抽選会資料'!I22</f>
        <v>ＦＣ大野</v>
      </c>
      <c r="D27" s="137"/>
      <c r="E27" s="138" t="str">
        <f>IF(D27="","",VLOOKUP(CONCATENATE(C27,"_",D27),'選手名簿'!$A:$H,5,FALSE))</f>
        <v/>
      </c>
      <c r="F27" s="139"/>
      <c r="G27" s="140"/>
      <c r="H27" s="137"/>
      <c r="I27" s="138" t="str">
        <f>IF(H27="","",VLOOKUP(CONCATENATE(C27,"_",H27),'選手名簿'!$A:$H,5,FALSE))</f>
        <v/>
      </c>
      <c r="J27" s="139"/>
      <c r="K27" s="140"/>
      <c r="L27" s="137"/>
      <c r="M27" s="138" t="str">
        <f>IF(L27="","",VLOOKUP(CONCATENATE(C27,"_",L27),'選手名簿'!$A:$H,5,FALSE))</f>
        <v/>
      </c>
      <c r="N27" s="139"/>
      <c r="O27" s="140"/>
      <c r="P27" s="137"/>
      <c r="Q27" s="138" t="str">
        <f>IF(P27="","",VLOOKUP(CONCATENATE(C27,"_",P27),'選手名簿'!$A:$H,5,FALSE))</f>
        <v/>
      </c>
      <c r="R27" s="139"/>
      <c r="S27" s="140"/>
      <c r="T27" s="137"/>
      <c r="U27" s="138" t="str">
        <f>IF(T27="","",VLOOKUP(CONCATENATE(C27,"_",T27),'選手名簿'!$A:$H,5,FALSE))</f>
        <v/>
      </c>
      <c r="V27" s="139"/>
      <c r="W27" s="140"/>
    </row>
    <row r="28" spans="2:23" ht="35.15" customHeight="1">
      <c r="B28" s="40" t="s">
        <v>46</v>
      </c>
      <c r="C28" s="41" t="str">
        <f>'抽選会資料'!I23</f>
        <v>市浜レッドソックス</v>
      </c>
      <c r="D28" s="143"/>
      <c r="E28" s="144" t="str">
        <f>IF(D28="","",VLOOKUP(CONCATENATE(C28,"_",D28),'選手名簿'!$A:$H,5,FALSE))</f>
        <v/>
      </c>
      <c r="F28" s="145"/>
      <c r="G28" s="146"/>
      <c r="H28" s="143"/>
      <c r="I28" s="144" t="str">
        <f>IF(H28="","",VLOOKUP(CONCATENATE(C28,"_",H28),'選手名簿'!$A:$H,5,FALSE))</f>
        <v/>
      </c>
      <c r="J28" s="145"/>
      <c r="K28" s="146"/>
      <c r="L28" s="143"/>
      <c r="M28" s="144" t="str">
        <f>IF(L28="","",VLOOKUP(CONCATENATE(C28,"_",L28),'選手名簿'!$A:$H,5,FALSE))</f>
        <v/>
      </c>
      <c r="N28" s="145"/>
      <c r="O28" s="146"/>
      <c r="P28" s="143"/>
      <c r="Q28" s="144" t="str">
        <f>IF(P28="","",VLOOKUP(CONCATENATE(C28,"_",P28),'選手名簿'!$A:$H,5,FALSE))</f>
        <v/>
      </c>
      <c r="R28" s="145"/>
      <c r="S28" s="146"/>
      <c r="T28" s="143"/>
      <c r="U28" s="144" t="str">
        <f>IF(T28="","",VLOOKUP(CONCATENATE(C28,"_",T28),'選手名簿'!$A:$H,5,FALSE))</f>
        <v/>
      </c>
      <c r="V28" s="145"/>
      <c r="W28" s="146"/>
    </row>
    <row r="29" spans="2:7" ht="13.5">
      <c r="B29" s="147"/>
      <c r="C29" s="148"/>
      <c r="F29" s="149"/>
      <c r="G29" s="149"/>
    </row>
    <row r="30" spans="6:7" ht="13.5">
      <c r="F30" s="149"/>
      <c r="G30" s="149"/>
    </row>
    <row r="31" spans="6:7" ht="13.5">
      <c r="F31" s="149"/>
      <c r="G31" s="149"/>
    </row>
    <row r="32" spans="6:7" ht="13.5">
      <c r="F32" s="149"/>
      <c r="G32" s="149"/>
    </row>
    <row r="33" spans="6:7" ht="13.5">
      <c r="F33" s="149"/>
      <c r="G33" s="149"/>
    </row>
    <row r="34" spans="6:7" ht="13.5">
      <c r="F34" s="149"/>
      <c r="G34" s="149"/>
    </row>
    <row r="35" spans="6:7" ht="13.5">
      <c r="F35" s="149"/>
      <c r="G35" s="149"/>
    </row>
    <row r="36" spans="6:7" ht="13.5">
      <c r="F36" s="149"/>
      <c r="G36" s="149"/>
    </row>
    <row r="37" spans="6:7" ht="13.5">
      <c r="F37" s="149"/>
      <c r="G37" s="149"/>
    </row>
    <row r="38" spans="6:7" ht="13.5">
      <c r="F38" s="149"/>
      <c r="G38" s="149"/>
    </row>
    <row r="39" spans="6:7" ht="13.5">
      <c r="F39" s="149"/>
      <c r="G39" s="149"/>
    </row>
    <row r="40" spans="6:7" ht="13.5">
      <c r="F40" s="149"/>
      <c r="G40" s="149"/>
    </row>
  </sheetData>
  <autoFilter ref="A4:AB4"/>
  <mergeCells count="5">
    <mergeCell ref="B5:B15"/>
    <mergeCell ref="B16:B18"/>
    <mergeCell ref="B19:B20"/>
    <mergeCell ref="B21:B22"/>
    <mergeCell ref="B23:B24"/>
  </mergeCells>
  <conditionalFormatting sqref="AC1:IV65536 M1:Y4 D29:D34 D36:D65536 A28:C65536 C39:E39 D35:E35 A1:A27 B1:B22 B24:B27 C2:L4 H1:K1 B1:E1 C5:C27 E41:Y65536 X5:Y28 E29:E40 H29:Y40">
    <cfRule type="cellIs" priority="63" dxfId="2" operator="equal" stopIfTrue="1">
      <formula>"警告(累積2枚目次節出場停止）"</formula>
    </cfRule>
  </conditionalFormatting>
  <conditionalFormatting sqref="AC1:IV65536 M1:Y4 D29:D34 D36:D65536 A28:C65536 C39:E39 D35:E35 A1:A27 B1:B22 B24:B27 C2:L4 H1:K1 B1:E1 C5:C27 E41:Y65536 X5:Y28 E29:E40 H29:Y40">
    <cfRule type="cellIs" priority="62" dxfId="1" operator="equal" stopIfTrue="1">
      <formula>"警告"</formula>
    </cfRule>
  </conditionalFormatting>
  <conditionalFormatting sqref="AC1:IV65536 M1:Y4 D29:D34 D36:D65536 A28:C65536 C39:E39 D35:E35 A1:A27 B1:B22 B24:B27 C2:L4 H1:K1 B1:E1 C5:C27 E41:Y65536 X5:Y28 E29:E40 H29:Y40">
    <cfRule type="cellIs" priority="61" dxfId="0" operator="equal" stopIfTrue="1">
      <formula>"退場"</formula>
    </cfRule>
  </conditionalFormatting>
  <conditionalFormatting sqref="D5:D28">
    <cfRule type="cellIs" priority="60" dxfId="2" operator="equal" stopIfTrue="1">
      <formula>"警告(累積2枚目次節出場停止）"</formula>
    </cfRule>
  </conditionalFormatting>
  <conditionalFormatting sqref="D5:D28">
    <cfRule type="cellIs" priority="59" dxfId="1" operator="equal" stopIfTrue="1">
      <formula>"警告"</formula>
    </cfRule>
  </conditionalFormatting>
  <conditionalFormatting sqref="D5:D28">
    <cfRule type="cellIs" priority="58" dxfId="0" operator="equal" stopIfTrue="1">
      <formula>"退場"</formula>
    </cfRule>
  </conditionalFormatting>
  <conditionalFormatting sqref="E5">
    <cfRule type="cellIs" priority="57" dxfId="2" operator="equal" stopIfTrue="1">
      <formula>"警告(累積2枚目次節出場停止）"</formula>
    </cfRule>
  </conditionalFormatting>
  <conditionalFormatting sqref="E5">
    <cfRule type="cellIs" priority="56" dxfId="1" operator="equal" stopIfTrue="1">
      <formula>"警告"</formula>
    </cfRule>
  </conditionalFormatting>
  <conditionalFormatting sqref="E5">
    <cfRule type="cellIs" priority="55" dxfId="0" operator="equal" stopIfTrue="1">
      <formula>"退場"</formula>
    </cfRule>
  </conditionalFormatting>
  <conditionalFormatting sqref="E6:E28">
    <cfRule type="cellIs" priority="54" dxfId="2" operator="equal" stopIfTrue="1">
      <formula>"警告(累積2枚目次節出場停止）"</formula>
    </cfRule>
  </conditionalFormatting>
  <conditionalFormatting sqref="E6:E28">
    <cfRule type="cellIs" priority="53" dxfId="1" operator="equal" stopIfTrue="1">
      <formula>"警告"</formula>
    </cfRule>
  </conditionalFormatting>
  <conditionalFormatting sqref="E6:E28">
    <cfRule type="cellIs" priority="52" dxfId="0" operator="equal" stopIfTrue="1">
      <formula>"退場"</formula>
    </cfRule>
  </conditionalFormatting>
  <conditionalFormatting sqref="H5:H28">
    <cfRule type="cellIs" priority="51" dxfId="2" operator="equal" stopIfTrue="1">
      <formula>"警告(累積2枚目次節出場停止）"</formula>
    </cfRule>
  </conditionalFormatting>
  <conditionalFormatting sqref="H5:H28">
    <cfRule type="cellIs" priority="50" dxfId="1" operator="equal" stopIfTrue="1">
      <formula>"警告"</formula>
    </cfRule>
  </conditionalFormatting>
  <conditionalFormatting sqref="H5:H28">
    <cfRule type="cellIs" priority="49" dxfId="0" operator="equal" stopIfTrue="1">
      <formula>"退場"</formula>
    </cfRule>
  </conditionalFormatting>
  <conditionalFormatting sqref="I5:I28">
    <cfRule type="cellIs" priority="48" dxfId="2" operator="equal" stopIfTrue="1">
      <formula>"警告(累積2枚目次節出場停止）"</formula>
    </cfRule>
  </conditionalFormatting>
  <conditionalFormatting sqref="I5:I28">
    <cfRule type="cellIs" priority="47" dxfId="1" operator="equal" stopIfTrue="1">
      <formula>"警告"</formula>
    </cfRule>
  </conditionalFormatting>
  <conditionalFormatting sqref="I5:I28">
    <cfRule type="cellIs" priority="46" dxfId="0" operator="equal" stopIfTrue="1">
      <formula>"退場"</formula>
    </cfRule>
  </conditionalFormatting>
  <conditionalFormatting sqref="L5:L28">
    <cfRule type="cellIs" priority="45" dxfId="2" operator="equal" stopIfTrue="1">
      <formula>"警告(累積2枚目次節出場停止）"</formula>
    </cfRule>
  </conditionalFormatting>
  <conditionalFormatting sqref="L5:L28">
    <cfRule type="cellIs" priority="44" dxfId="1" operator="equal" stopIfTrue="1">
      <formula>"警告"</formula>
    </cfRule>
  </conditionalFormatting>
  <conditionalFormatting sqref="L5:L28">
    <cfRule type="cellIs" priority="43" dxfId="0" operator="equal" stopIfTrue="1">
      <formula>"退場"</formula>
    </cfRule>
  </conditionalFormatting>
  <conditionalFormatting sqref="M5:M28">
    <cfRule type="cellIs" priority="42" dxfId="2" operator="equal" stopIfTrue="1">
      <formula>"警告(累積2枚目次節出場停止）"</formula>
    </cfRule>
  </conditionalFormatting>
  <conditionalFormatting sqref="M5:M28">
    <cfRule type="cellIs" priority="41" dxfId="1" operator="equal" stopIfTrue="1">
      <formula>"警告"</formula>
    </cfRule>
  </conditionalFormatting>
  <conditionalFormatting sqref="M5:M28">
    <cfRule type="cellIs" priority="40" dxfId="0" operator="equal" stopIfTrue="1">
      <formula>"退場"</formula>
    </cfRule>
  </conditionalFormatting>
  <conditionalFormatting sqref="P5:P28">
    <cfRule type="cellIs" priority="39" dxfId="2" operator="equal" stopIfTrue="1">
      <formula>"警告(累積2枚目次節出場停止）"</formula>
    </cfRule>
  </conditionalFormatting>
  <conditionalFormatting sqref="P5:P28">
    <cfRule type="cellIs" priority="38" dxfId="1" operator="equal" stopIfTrue="1">
      <formula>"警告"</formula>
    </cfRule>
  </conditionalFormatting>
  <conditionalFormatting sqref="P5:P28">
    <cfRule type="cellIs" priority="37" dxfId="0" operator="equal" stopIfTrue="1">
      <formula>"退場"</formula>
    </cfRule>
  </conditionalFormatting>
  <conditionalFormatting sqref="Q5:Q28">
    <cfRule type="cellIs" priority="36" dxfId="2" operator="equal" stopIfTrue="1">
      <formula>"警告(累積2枚目次節出場停止）"</formula>
    </cfRule>
  </conditionalFormatting>
  <conditionalFormatting sqref="Q5:Q28">
    <cfRule type="cellIs" priority="35" dxfId="1" operator="equal" stopIfTrue="1">
      <formula>"警告"</formula>
    </cfRule>
  </conditionalFormatting>
  <conditionalFormatting sqref="Q5:Q28">
    <cfRule type="cellIs" priority="34" dxfId="0" operator="equal" stopIfTrue="1">
      <formula>"退場"</formula>
    </cfRule>
  </conditionalFormatting>
  <conditionalFormatting sqref="T5:T28">
    <cfRule type="cellIs" priority="33" dxfId="2" operator="equal" stopIfTrue="1">
      <formula>"警告(累積2枚目次節出場停止）"</formula>
    </cfRule>
  </conditionalFormatting>
  <conditionalFormatting sqref="T5:T28">
    <cfRule type="cellIs" priority="32" dxfId="1" operator="equal" stopIfTrue="1">
      <formula>"警告"</formula>
    </cfRule>
  </conditionalFormatting>
  <conditionalFormatting sqref="T5:T28">
    <cfRule type="cellIs" priority="31" dxfId="0" operator="equal" stopIfTrue="1">
      <formula>"退場"</formula>
    </cfRule>
  </conditionalFormatting>
  <conditionalFormatting sqref="U5:U28">
    <cfRule type="cellIs" priority="30" dxfId="2" operator="equal" stopIfTrue="1">
      <formula>"警告(累積2枚目次節出場停止）"</formula>
    </cfRule>
  </conditionalFormatting>
  <conditionalFormatting sqref="U5:U28">
    <cfRule type="cellIs" priority="29" dxfId="1" operator="equal" stopIfTrue="1">
      <formula>"警告"</formula>
    </cfRule>
  </conditionalFormatting>
  <conditionalFormatting sqref="U5:U28">
    <cfRule type="cellIs" priority="28" dxfId="0" operator="equal" stopIfTrue="1">
      <formula>"退場"</formula>
    </cfRule>
  </conditionalFormatting>
  <conditionalFormatting sqref="F5:G40">
    <cfRule type="cellIs" priority="27" dxfId="2" operator="equal" stopIfTrue="1">
      <formula>"警告(累積2枚目次節出場停止）"</formula>
    </cfRule>
  </conditionalFormatting>
  <conditionalFormatting sqref="F5:G40">
    <cfRule type="cellIs" priority="26" dxfId="1" operator="equal" stopIfTrue="1">
      <formula>"警告"</formula>
    </cfRule>
  </conditionalFormatting>
  <conditionalFormatting sqref="F5:G40">
    <cfRule type="cellIs" priority="25" dxfId="0" operator="equal" stopIfTrue="1">
      <formula>"退場"</formula>
    </cfRule>
  </conditionalFormatting>
  <conditionalFormatting sqref="K5:K28">
    <cfRule type="cellIs" priority="24" dxfId="2" operator="equal" stopIfTrue="1">
      <formula>"警告(累積2枚目次節出場停止）"</formula>
    </cfRule>
  </conditionalFormatting>
  <conditionalFormatting sqref="K5:K28">
    <cfRule type="cellIs" priority="23" dxfId="1" operator="equal" stopIfTrue="1">
      <formula>"警告"</formula>
    </cfRule>
  </conditionalFormatting>
  <conditionalFormatting sqref="K5:K28">
    <cfRule type="cellIs" priority="22" dxfId="0" operator="equal" stopIfTrue="1">
      <formula>"退場"</formula>
    </cfRule>
  </conditionalFormatting>
  <conditionalFormatting sqref="O5:O28">
    <cfRule type="cellIs" priority="21" dxfId="2" operator="equal" stopIfTrue="1">
      <formula>"警告(累積2枚目次節出場停止）"</formula>
    </cfRule>
  </conditionalFormatting>
  <conditionalFormatting sqref="O5:O28">
    <cfRule type="cellIs" priority="20" dxfId="1" operator="equal" stopIfTrue="1">
      <formula>"警告"</formula>
    </cfRule>
  </conditionalFormatting>
  <conditionalFormatting sqref="O5:O28">
    <cfRule type="cellIs" priority="19" dxfId="0" operator="equal" stopIfTrue="1">
      <formula>"退場"</formula>
    </cfRule>
  </conditionalFormatting>
  <conditionalFormatting sqref="S5:S28">
    <cfRule type="cellIs" priority="18" dxfId="2" operator="equal" stopIfTrue="1">
      <formula>"警告(累積2枚目次節出場停止）"</formula>
    </cfRule>
  </conditionalFormatting>
  <conditionalFormatting sqref="S5:S28">
    <cfRule type="cellIs" priority="17" dxfId="1" operator="equal" stopIfTrue="1">
      <formula>"警告"</formula>
    </cfRule>
  </conditionalFormatting>
  <conditionalFormatting sqref="S5:S28">
    <cfRule type="cellIs" priority="16" dxfId="0" operator="equal" stopIfTrue="1">
      <formula>"退場"</formula>
    </cfRule>
  </conditionalFormatting>
  <conditionalFormatting sqref="W5:W28">
    <cfRule type="cellIs" priority="15" dxfId="2" operator="equal" stopIfTrue="1">
      <formula>"警告(累積2枚目次節出場停止）"</formula>
    </cfRule>
  </conditionalFormatting>
  <conditionalFormatting sqref="W5:W28">
    <cfRule type="cellIs" priority="14" dxfId="1" operator="equal" stopIfTrue="1">
      <formula>"警告"</formula>
    </cfRule>
  </conditionalFormatting>
  <conditionalFormatting sqref="W5:W28">
    <cfRule type="cellIs" priority="13" dxfId="0" operator="equal" stopIfTrue="1">
      <formula>"退場"</formula>
    </cfRule>
  </conditionalFormatting>
  <conditionalFormatting sqref="J5:J28">
    <cfRule type="cellIs" priority="12" dxfId="2" operator="equal" stopIfTrue="1">
      <formula>"警告(累積2枚目次節出場停止）"</formula>
    </cfRule>
  </conditionalFormatting>
  <conditionalFormatting sqref="J5:J28">
    <cfRule type="cellIs" priority="11" dxfId="1" operator="equal" stopIfTrue="1">
      <formula>"警告"</formula>
    </cfRule>
  </conditionalFormatting>
  <conditionalFormatting sqref="J5:J28">
    <cfRule type="cellIs" priority="10" dxfId="0" operator="equal" stopIfTrue="1">
      <formula>"退場"</formula>
    </cfRule>
  </conditionalFormatting>
  <conditionalFormatting sqref="N5:N28">
    <cfRule type="cellIs" priority="9" dxfId="2" operator="equal" stopIfTrue="1">
      <formula>"警告(累積2枚目次節出場停止）"</formula>
    </cfRule>
  </conditionalFormatting>
  <conditionalFormatting sqref="N5:N28">
    <cfRule type="cellIs" priority="8" dxfId="1" operator="equal" stopIfTrue="1">
      <formula>"警告"</formula>
    </cfRule>
  </conditionalFormatting>
  <conditionalFormatting sqref="N5:N28">
    <cfRule type="cellIs" priority="7" dxfId="0" operator="equal" stopIfTrue="1">
      <formula>"退場"</formula>
    </cfRule>
  </conditionalFormatting>
  <conditionalFormatting sqref="R5:R28">
    <cfRule type="cellIs" priority="6" dxfId="2" operator="equal" stopIfTrue="1">
      <formula>"警告(累積2枚目次節出場停止）"</formula>
    </cfRule>
  </conditionalFormatting>
  <conditionalFormatting sqref="R5:R28">
    <cfRule type="cellIs" priority="5" dxfId="1" operator="equal" stopIfTrue="1">
      <formula>"警告"</formula>
    </cfRule>
  </conditionalFormatting>
  <conditionalFormatting sqref="R5:R28">
    <cfRule type="cellIs" priority="4" dxfId="0" operator="equal" stopIfTrue="1">
      <formula>"退場"</formula>
    </cfRule>
  </conditionalFormatting>
  <conditionalFormatting sqref="V5:V28">
    <cfRule type="cellIs" priority="3" dxfId="2" operator="equal" stopIfTrue="1">
      <formula>"警告(累積2枚目次節出場停止）"</formula>
    </cfRule>
  </conditionalFormatting>
  <conditionalFormatting sqref="V5:V28">
    <cfRule type="cellIs" priority="2" dxfId="1" operator="equal" stopIfTrue="1">
      <formula>"警告"</formula>
    </cfRule>
  </conditionalFormatting>
  <conditionalFormatting sqref="V5:V28">
    <cfRule type="cellIs" priority="1" dxfId="0" operator="equal" stopIfTrue="1">
      <formula>"退場"</formula>
    </cfRule>
  </conditionalFormatting>
  <dataValidations count="10290">
    <dataValidation type="list" allowBlank="1" showInputMessage="1" showErrorMessage="1" sqref="A5:A29 WVI983045:WVI983069 WLM983045:WLM983069 WBQ983045:WBQ983069 VRU983045:VRU983069 VHY983045:VHY983069 UYC983045:UYC983069 UOG983045:UOG983069 UEK983045:UEK983069 TUO983045:TUO983069 TKS983045:TKS983069 TAW983045:TAW983069 SRA983045:SRA983069 SHE983045:SHE983069 RXI983045:RXI983069 RNM983045:RNM983069 RDQ983045:RDQ983069 QTU983045:QTU983069 QJY983045:QJY983069 QAC983045:QAC983069 PQG983045:PQG983069 PGK983045:PGK983069 OWO983045:OWO983069 OMS983045:OMS983069 OCW983045:OCW983069 NTA983045:NTA983069 NJE983045:NJE983069 MZI983045:MZI983069 MPM983045:MPM983069 MFQ983045:MFQ983069 LVU983045:LVU983069 LLY983045:LLY983069 LCC983045:LCC983069 KSG983045:KSG983069 KIK983045:KIK983069 JYO983045:JYO983069 JOS983045:JOS983069 JEW983045:JEW983069 IVA983045:IVA983069 ILE983045:ILE983069 IBI983045:IBI983069 HRM983045:HRM983069 HHQ983045:HHQ983069 GXU983045:GXU983069 GNY983045:GNY983069 GEC983045:GEC983069 FUG983045:FUG983069 FKK983045:FKK983069 FAO983045:FAO983069 EQS983045:EQS983069 EGW983045:EGW983069 DXA983045:DXA983069 DNE983045:DNE983069 DDI983045:DDI983069 CTM983045:CTM983069 CJQ983045:CJQ983069 BZU983045:BZU983069 BPY983045:BPY983069 BGC983045:BGC983069 AWG983045:AWG983069 AMK983045:AMK983069 ACO983045:ACO983069 SS983045:SS983069 IW983045:IW983069 A983045:A983069 WVI917509:WVI917533 WLM917509:WLM917533 WBQ917509:WBQ917533 VRU917509:VRU917533 VHY917509:VHY917533 UYC917509:UYC917533 UOG917509:UOG917533 UEK917509:UEK917533 TUO917509:TUO917533 TKS917509:TKS917533 TAW917509:TAW917533 SRA917509:SRA917533 SHE917509:SHE917533 RXI917509:RXI917533 RNM917509:RNM917533 RDQ917509:RDQ917533 QTU917509:QTU917533 QJY917509:QJY917533 QAC917509:QAC917533 PQG917509:PQG917533 PGK917509:PGK917533 OWO917509:OWO917533 OMS917509:OMS917533 OCW917509:OCW917533 NTA917509:NTA917533 NJE917509:NJE917533 MZI917509:MZI917533 MPM917509:MPM917533 MFQ917509:MFQ917533 LVU917509:LVU917533 LLY917509:LLY917533 LCC917509:LCC917533 KSG917509:KSG917533 KIK917509:KIK917533 JYO917509:JYO917533">
      <formula1>$A$1</formula1>
    </dataValidation>
    <dataValidation type="list" allowBlank="1" showInputMessage="1" showErrorMessage="1" sqref="JOS917509:JOS917533 JEW917509:JEW917533 IVA917509:IVA917533 ILE917509:ILE917533 IBI917509:IBI917533 HRM917509:HRM917533 HHQ917509:HHQ917533 GXU917509:GXU917533 GNY917509:GNY917533 GEC917509:GEC917533 FUG917509:FUG917533 FKK917509:FKK917533 FAO917509:FAO917533 EQS917509:EQS917533 EGW917509:EGW917533 DXA917509:DXA917533 DNE917509:DNE917533 DDI917509:DDI917533 CTM917509:CTM917533 CJQ917509:CJQ917533 BZU917509:BZU917533 BPY917509:BPY917533 BGC917509:BGC917533 AWG917509:AWG917533 AMK917509:AMK917533 ACO917509:ACO917533 SS917509:SS917533 IW917509:IW917533 A917509:A917533 WVI851973:WVI851997 WLM851973:WLM851997 WBQ851973:WBQ851997 VRU851973:VRU851997 VHY851973:VHY851997 UYC851973:UYC851997 UOG851973:UOG851997 UEK851973:UEK851997 TUO851973:TUO851997 TKS851973:TKS851997 TAW851973:TAW851997 SRA851973:SRA851997 SHE851973:SHE851997 RXI851973:RXI851997 RNM851973:RNM851997 RDQ851973:RDQ851997 QTU851973:QTU851997 QJY851973:QJY851997 QAC851973:QAC851997 PQG851973:PQG851997 PGK851973:PGK851997 OWO851973:OWO851997 OMS851973:OMS851997 OCW851973:OCW851997 NTA851973:NTA851997 NJE851973:NJE851997 MZI851973:MZI851997 MPM851973:MPM851997 MFQ851973:MFQ851997 LVU851973:LVU851997 LLY851973:LLY851997 LCC851973:LCC851997 KSG851973:KSG851997 KIK851973:KIK851997 JYO851973:JYO851997 JOS851973:JOS851997 JEW851973:JEW851997 IVA851973:IVA851997 ILE851973:ILE851997 IBI851973:IBI851997 HRM851973:HRM851997 HHQ851973:HHQ851997 GXU851973:GXU851997 GNY851973:GNY851997 GEC851973:GEC851997 FUG851973:FUG851997 FKK851973:FKK851997 FAO851973:FAO851997 EQS851973:EQS851997 EGW851973:EGW851997 DXA851973:DXA851997 DNE851973:DNE851997 DDI851973:DDI851997 CTM851973:CTM851997 CJQ851973:CJQ851997 BZU851973:BZU851997 BPY851973:BPY851997 BGC851973:BGC851997 AWG851973:AWG851997 AMK851973:AMK851997 ACO851973:ACO851997 SS851973:SS851997 IW851973:IW851997 A851973:A851997 WVI786437:WVI786461 WLM786437:WLM786461 WBQ786437:WBQ786461 VRU786437:VRU786461 VHY786437:VHY786461 UYC786437:UYC786461 UOG786437:UOG786461">
      <formula1>$A$1</formula1>
    </dataValidation>
    <dataValidation type="list" allowBlank="1" showInputMessage="1" showErrorMessage="1" sqref="UEK786437:UEK786461 TUO786437:TUO786461 TKS786437:TKS786461 TAW786437:TAW786461 SRA786437:SRA786461 SHE786437:SHE786461 RXI786437:RXI786461 RNM786437:RNM786461 RDQ786437:RDQ786461 QTU786437:QTU786461 QJY786437:QJY786461 QAC786437:QAC786461 PQG786437:PQG786461 PGK786437:PGK786461 OWO786437:OWO786461 OMS786437:OMS786461 OCW786437:OCW786461 NTA786437:NTA786461 NJE786437:NJE786461 MZI786437:MZI786461 MPM786437:MPM786461 MFQ786437:MFQ786461 LVU786437:LVU786461 LLY786437:LLY786461 LCC786437:LCC786461 KSG786437:KSG786461 KIK786437:KIK786461 JYO786437:JYO786461 JOS786437:JOS786461 JEW786437:JEW786461 IVA786437:IVA786461 ILE786437:ILE786461 IBI786437:IBI786461 HRM786437:HRM786461 HHQ786437:HHQ786461 GXU786437:GXU786461 GNY786437:GNY786461 GEC786437:GEC786461 FUG786437:FUG786461 FKK786437:FKK786461 FAO786437:FAO786461 EQS786437:EQS786461 EGW786437:EGW786461 DXA786437:DXA786461 DNE786437:DNE786461 DDI786437:DDI786461 CTM786437:CTM786461 CJQ786437:CJQ786461 BZU786437:BZU786461 BPY786437:BPY786461 BGC786437:BGC786461 AWG786437:AWG786461 AMK786437:AMK786461 ACO786437:ACO786461 SS786437:SS786461 IW786437:IW786461 A786437:A786461 WVI720901:WVI720925 WLM720901:WLM720925 WBQ720901:WBQ720925 VRU720901:VRU720925 VHY720901:VHY720925 UYC720901:UYC720925 UOG720901:UOG720925 UEK720901:UEK720925 TUO720901:TUO720925 TKS720901:TKS720925 TAW720901:TAW720925 SRA720901:SRA720925 SHE720901:SHE720925 RXI720901:RXI720925 RNM720901:RNM720925 RDQ720901:RDQ720925 QTU720901:QTU720925 QJY720901:QJY720925 QAC720901:QAC720925 PQG720901:PQG720925 PGK720901:PGK720925 OWO720901:OWO720925 OMS720901:OMS720925 OCW720901:OCW720925 NTA720901:NTA720925 NJE720901:NJE720925 MZI720901:MZI720925 MPM720901:MPM720925 MFQ720901:MFQ720925 LVU720901:LVU720925 LLY720901:LLY720925 LCC720901:LCC720925 KSG720901:KSG720925 KIK720901:KIK720925 JYO720901:JYO720925 JOS720901:JOS720925 JEW720901:JEW720925 IVA720901:IVA720925 ILE720901:ILE720925 IBI720901:IBI720925 HRM720901:HRM720925 HHQ720901:HHQ720925 GXU720901:GXU720925">
      <formula1>$A$1</formula1>
    </dataValidation>
    <dataValidation type="list" allowBlank="1" showInputMessage="1" showErrorMessage="1" sqref="GNY720901:GNY720925 GEC720901:GEC720925 FUG720901:FUG720925 FKK720901:FKK720925 FAO720901:FAO720925 EQS720901:EQS720925 EGW720901:EGW720925 DXA720901:DXA720925 DNE720901:DNE720925 DDI720901:DDI720925 CTM720901:CTM720925 CJQ720901:CJQ720925 BZU720901:BZU720925 BPY720901:BPY720925 BGC720901:BGC720925 AWG720901:AWG720925 AMK720901:AMK720925 ACO720901:ACO720925 SS720901:SS720925 IW720901:IW720925 A720901:A720925 WVI655365:WVI655389 WLM655365:WLM655389 WBQ655365:WBQ655389 VRU655365:VRU655389 VHY655365:VHY655389 UYC655365:UYC655389 UOG655365:UOG655389 UEK655365:UEK655389 TUO655365:TUO655389 TKS655365:TKS655389 TAW655365:TAW655389 SRA655365:SRA655389 SHE655365:SHE655389 RXI655365:RXI655389 RNM655365:RNM655389 RDQ655365:RDQ655389 QTU655365:QTU655389 QJY655365:QJY655389 QAC655365:QAC655389 PQG655365:PQG655389 PGK655365:PGK655389 OWO655365:OWO655389 OMS655365:OMS655389 OCW655365:OCW655389 NTA655365:NTA655389 NJE655365:NJE655389 MZI655365:MZI655389 MPM655365:MPM655389 MFQ655365:MFQ655389 LVU655365:LVU655389 LLY655365:LLY655389 LCC655365:LCC655389 KSG655365:KSG655389 KIK655365:KIK655389 JYO655365:JYO655389 JOS655365:JOS655389 JEW655365:JEW655389 IVA655365:IVA655389 ILE655365:ILE655389 IBI655365:IBI655389 HRM655365:HRM655389 HHQ655365:HHQ655389 GXU655365:GXU655389 GNY655365:GNY655389 GEC655365:GEC655389 FUG655365:FUG655389 FKK655365:FKK655389 FAO655365:FAO655389 EQS655365:EQS655389 EGW655365:EGW655389 DXA655365:DXA655389 DNE655365:DNE655389 DDI655365:DDI655389 CTM655365:CTM655389 CJQ655365:CJQ655389 BZU655365:BZU655389 BPY655365:BPY655389 BGC655365:BGC655389 AWG655365:AWG655389 AMK655365:AMK655389 ACO655365:ACO655389 SS655365:SS655389 IW655365:IW655389 A655365:A655389 WVI589829:WVI589853 WLM589829:WLM589853 WBQ589829:WBQ589853 VRU589829:VRU589853 VHY589829:VHY589853 UYC589829:UYC589853 UOG589829:UOG589853 UEK589829:UEK589853 TUO589829:TUO589853 TKS589829:TKS589853 TAW589829:TAW589853 SRA589829:SRA589853 SHE589829:SHE589853 RXI589829:RXI589853 RNM589829:RNM589853">
      <formula1>$A$1</formula1>
    </dataValidation>
    <dataValidation type="list" allowBlank="1" showInputMessage="1" showErrorMessage="1" sqref="RDQ589829:RDQ589853 QTU589829:QTU589853 QJY589829:QJY589853 QAC589829:QAC589853 PQG589829:PQG589853 PGK589829:PGK589853 OWO589829:OWO589853 OMS589829:OMS589853 OCW589829:OCW589853 NTA589829:NTA589853 NJE589829:NJE589853 MZI589829:MZI589853 MPM589829:MPM589853 MFQ589829:MFQ589853 LVU589829:LVU589853 LLY589829:LLY589853 LCC589829:LCC589853 KSG589829:KSG589853 KIK589829:KIK589853 JYO589829:JYO589853 JOS589829:JOS589853 JEW589829:JEW589853 IVA589829:IVA589853 ILE589829:ILE589853 IBI589829:IBI589853 HRM589829:HRM589853 HHQ589829:HHQ589853 GXU589829:GXU589853 GNY589829:GNY589853 GEC589829:GEC589853 FUG589829:FUG589853 FKK589829:FKK589853 FAO589829:FAO589853 EQS589829:EQS589853 EGW589829:EGW589853 DXA589829:DXA589853 DNE589829:DNE589853 DDI589829:DDI589853 CTM589829:CTM589853 CJQ589829:CJQ589853 BZU589829:BZU589853 BPY589829:BPY589853 BGC589829:BGC589853 AWG589829:AWG589853 AMK589829:AMK589853 ACO589829:ACO589853 SS589829:SS589853 IW589829:IW589853 A589829:A589853 WVI524293:WVI524317 WLM524293:WLM524317 WBQ524293:WBQ524317 VRU524293:VRU524317 VHY524293:VHY524317 UYC524293:UYC524317 UOG524293:UOG524317 UEK524293:UEK524317 TUO524293:TUO524317 TKS524293:TKS524317 TAW524293:TAW524317 SRA524293:SRA524317 SHE524293:SHE524317 RXI524293:RXI524317 RNM524293:RNM524317 RDQ524293:RDQ524317 QTU524293:QTU524317 QJY524293:QJY524317 QAC524293:QAC524317 PQG524293:PQG524317 PGK524293:PGK524317 OWO524293:OWO524317 OMS524293:OMS524317 OCW524293:OCW524317 NTA524293:NTA524317 NJE524293:NJE524317 MZI524293:MZI524317 MPM524293:MPM524317 MFQ524293:MFQ524317 LVU524293:LVU524317 LLY524293:LLY524317 LCC524293:LCC524317 KSG524293:KSG524317 KIK524293:KIK524317 JYO524293:JYO524317 JOS524293:JOS524317 JEW524293:JEW524317 IVA524293:IVA524317 ILE524293:ILE524317 IBI524293:IBI524317 HRM524293:HRM524317 HHQ524293:HHQ524317 GXU524293:GXU524317 GNY524293:GNY524317 GEC524293:GEC524317 FUG524293:FUG524317 FKK524293:FKK524317 FAO524293:FAO524317 EQS524293:EQS524317 EGW524293:EGW524317 DXA524293:DXA524317">
      <formula1>$A$1</formula1>
    </dataValidation>
    <dataValidation type="list" allowBlank="1" showInputMessage="1" showErrorMessage="1" sqref="DNE524293:DNE524317 DDI524293:DDI524317 CTM524293:CTM524317 CJQ524293:CJQ524317 BZU524293:BZU524317 BPY524293:BPY524317 BGC524293:BGC524317 AWG524293:AWG524317 AMK524293:AMK524317 ACO524293:ACO524317 SS524293:SS524317 IW524293:IW524317 A524293:A524317 WVI458757:WVI458781 WLM458757:WLM458781 WBQ458757:WBQ458781 VRU458757:VRU458781 VHY458757:VHY458781 UYC458757:UYC458781 UOG458757:UOG458781 UEK458757:UEK458781 TUO458757:TUO458781 TKS458757:TKS458781 TAW458757:TAW458781 SRA458757:SRA458781 SHE458757:SHE458781 RXI458757:RXI458781 RNM458757:RNM458781 RDQ458757:RDQ458781 QTU458757:QTU458781 QJY458757:QJY458781 QAC458757:QAC458781 PQG458757:PQG458781 PGK458757:PGK458781 OWO458757:OWO458781 OMS458757:OMS458781 OCW458757:OCW458781 NTA458757:NTA458781 NJE458757:NJE458781 MZI458757:MZI458781 MPM458757:MPM458781 MFQ458757:MFQ458781 LVU458757:LVU458781 LLY458757:LLY458781 LCC458757:LCC458781 KSG458757:KSG458781 KIK458757:KIK458781 JYO458757:JYO458781 JOS458757:JOS458781 JEW458757:JEW458781 IVA458757:IVA458781 ILE458757:ILE458781 IBI458757:IBI458781 HRM458757:HRM458781 HHQ458757:HHQ458781 GXU458757:GXU458781 GNY458757:GNY458781 GEC458757:GEC458781 FUG458757:FUG458781 FKK458757:FKK458781 FAO458757:FAO458781 EQS458757:EQS458781 EGW458757:EGW458781 DXA458757:DXA458781 DNE458757:DNE458781 DDI458757:DDI458781 CTM458757:CTM458781 CJQ458757:CJQ458781 BZU458757:BZU458781 BPY458757:BPY458781 BGC458757:BGC458781 AWG458757:AWG458781 AMK458757:AMK458781 ACO458757:ACO458781 SS458757:SS458781 IW458757:IW458781 A458757:A458781 WVI393221:WVI393245 WLM393221:WLM393245 WBQ393221:WBQ393245 VRU393221:VRU393245 VHY393221:VHY393245 UYC393221:UYC393245 UOG393221:UOG393245 UEK393221:UEK393245 TUO393221:TUO393245 TKS393221:TKS393245 TAW393221:TAW393245 SRA393221:SRA393245 SHE393221:SHE393245 RXI393221:RXI393245 RNM393221:RNM393245 RDQ393221:RDQ393245 QTU393221:QTU393245 QJY393221:QJY393245 QAC393221:QAC393245 PQG393221:PQG393245 PGK393221:PGK393245 OWO393221:OWO393245 OMS393221:OMS393245">
      <formula1>$A$1</formula1>
    </dataValidation>
    <dataValidation type="list" allowBlank="1" showInputMessage="1" showErrorMessage="1" sqref="OCW393221:OCW393245 NTA393221:NTA393245 NJE393221:NJE393245 MZI393221:MZI393245 MPM393221:MPM393245 MFQ393221:MFQ393245 LVU393221:LVU393245 LLY393221:LLY393245 LCC393221:LCC393245 KSG393221:KSG393245 KIK393221:KIK393245 JYO393221:JYO393245 JOS393221:JOS393245 JEW393221:JEW393245 IVA393221:IVA393245 ILE393221:ILE393245 IBI393221:IBI393245 HRM393221:HRM393245 HHQ393221:HHQ393245 GXU393221:GXU393245 GNY393221:GNY393245 GEC393221:GEC393245 FUG393221:FUG393245 FKK393221:FKK393245 FAO393221:FAO393245 EQS393221:EQS393245 EGW393221:EGW393245 DXA393221:DXA393245 DNE393221:DNE393245 DDI393221:DDI393245 CTM393221:CTM393245 CJQ393221:CJQ393245 BZU393221:BZU393245 BPY393221:BPY393245 BGC393221:BGC393245 AWG393221:AWG393245 AMK393221:AMK393245 ACO393221:ACO393245 SS393221:SS393245 IW393221:IW393245 A393221:A393245 WVI327685:WVI327709 WLM327685:WLM327709 WBQ327685:WBQ327709 VRU327685:VRU327709 VHY327685:VHY327709 UYC327685:UYC327709 UOG327685:UOG327709 UEK327685:UEK327709 TUO327685:TUO327709 TKS327685:TKS327709 TAW327685:TAW327709 SRA327685:SRA327709 SHE327685:SHE327709 RXI327685:RXI327709 RNM327685:RNM327709 RDQ327685:RDQ327709 QTU327685:QTU327709 QJY327685:QJY327709 QAC327685:QAC327709 PQG327685:PQG327709 PGK327685:PGK327709 OWO327685:OWO327709 OMS327685:OMS327709 OCW327685:OCW327709 NTA327685:NTA327709 NJE327685:NJE327709 MZI327685:MZI327709 MPM327685:MPM327709 MFQ327685:MFQ327709 LVU327685:LVU327709 LLY327685:LLY327709 LCC327685:LCC327709 KSG327685:KSG327709 KIK327685:KIK327709 JYO327685:JYO327709 JOS327685:JOS327709 JEW327685:JEW327709 IVA327685:IVA327709 ILE327685:ILE327709 IBI327685:IBI327709 HRM327685:HRM327709 HHQ327685:HHQ327709 GXU327685:GXU327709 GNY327685:GNY327709 GEC327685:GEC327709 FUG327685:FUG327709 FKK327685:FKK327709 FAO327685:FAO327709 EQS327685:EQS327709 EGW327685:EGW327709 DXA327685:DXA327709 DNE327685:DNE327709 DDI327685:DDI327709 CTM327685:CTM327709 CJQ327685:CJQ327709 BZU327685:BZU327709 BPY327685:BPY327709 BGC327685:BGC327709 AWG327685:AWG327709">
      <formula1>$A$1</formula1>
    </dataValidation>
    <dataValidation type="list" allowBlank="1" showInputMessage="1" showErrorMessage="1" sqref="AMK327685:AMK327709 ACO327685:ACO327709 SS327685:SS327709 IW327685:IW327709 A327685:A327709 WVI262149:WVI262173 WLM262149:WLM262173 WBQ262149:WBQ262173 VRU262149:VRU262173 VHY262149:VHY262173 UYC262149:UYC262173 UOG262149:UOG262173 UEK262149:UEK262173 TUO262149:TUO262173 TKS262149:TKS262173 TAW262149:TAW262173 SRA262149:SRA262173 SHE262149:SHE262173 RXI262149:RXI262173 RNM262149:RNM262173 RDQ262149:RDQ262173 QTU262149:QTU262173 QJY262149:QJY262173 QAC262149:QAC262173 PQG262149:PQG262173 PGK262149:PGK262173 OWO262149:OWO262173 OMS262149:OMS262173 OCW262149:OCW262173 NTA262149:NTA262173 NJE262149:NJE262173 MZI262149:MZI262173 MPM262149:MPM262173 MFQ262149:MFQ262173 LVU262149:LVU262173 LLY262149:LLY262173 LCC262149:LCC262173 KSG262149:KSG262173 KIK262149:KIK262173 JYO262149:JYO262173 JOS262149:JOS262173 JEW262149:JEW262173 IVA262149:IVA262173 ILE262149:ILE262173 IBI262149:IBI262173 HRM262149:HRM262173 HHQ262149:HHQ262173 GXU262149:GXU262173 GNY262149:GNY262173 GEC262149:GEC262173 FUG262149:FUG262173 FKK262149:FKK262173 FAO262149:FAO262173 EQS262149:EQS262173 EGW262149:EGW262173 DXA262149:DXA262173 DNE262149:DNE262173 DDI262149:DDI262173 CTM262149:CTM262173 CJQ262149:CJQ262173 BZU262149:BZU262173 BPY262149:BPY262173 BGC262149:BGC262173 AWG262149:AWG262173 AMK262149:AMK262173 ACO262149:ACO262173 SS262149:SS262173 IW262149:IW262173 A262149:A262173 WVI196613:WVI196637 WLM196613:WLM196637 WBQ196613:WBQ196637 VRU196613:VRU196637 VHY196613:VHY196637 UYC196613:UYC196637 UOG196613:UOG196637 UEK196613:UEK196637 TUO196613:TUO196637 TKS196613:TKS196637 TAW196613:TAW196637 SRA196613:SRA196637 SHE196613:SHE196637 RXI196613:RXI196637 RNM196613:RNM196637 RDQ196613:RDQ196637 QTU196613:QTU196637 QJY196613:QJY196637 QAC196613:QAC196637 PQG196613:PQG196637 PGK196613:PGK196637 OWO196613:OWO196637 OMS196613:OMS196637 OCW196613:OCW196637 NTA196613:NTA196637 NJE196613:NJE196637 MZI196613:MZI196637 MPM196613:MPM196637 MFQ196613:MFQ196637 LVU196613:LVU196637 LLY196613:LLY196637">
      <formula1>$A$1</formula1>
    </dataValidation>
    <dataValidation type="list" allowBlank="1" showInputMessage="1" showErrorMessage="1" sqref="LCC196613:LCC196637 KSG196613:KSG196637 KIK196613:KIK196637 JYO196613:JYO196637 JOS196613:JOS196637 JEW196613:JEW196637 IVA196613:IVA196637 ILE196613:ILE196637 IBI196613:IBI196637 HRM196613:HRM196637 HHQ196613:HHQ196637 GXU196613:GXU196637 GNY196613:GNY196637 GEC196613:GEC196637 FUG196613:FUG196637 FKK196613:FKK196637 FAO196613:FAO196637 EQS196613:EQS196637 EGW196613:EGW196637 DXA196613:DXA196637 DNE196613:DNE196637 DDI196613:DDI196637 CTM196613:CTM196637 CJQ196613:CJQ196637 BZU196613:BZU196637 BPY196613:BPY196637 BGC196613:BGC196637 AWG196613:AWG196637 AMK196613:AMK196637 ACO196613:ACO196637 SS196613:SS196637 IW196613:IW196637 A196613:A196637 WVI131077:WVI131101 WLM131077:WLM131101 WBQ131077:WBQ131101 VRU131077:VRU131101 VHY131077:VHY131101 UYC131077:UYC131101 UOG131077:UOG131101 UEK131077:UEK131101 TUO131077:TUO131101 TKS131077:TKS131101 TAW131077:TAW131101 SRA131077:SRA131101 SHE131077:SHE131101 RXI131077:RXI131101 RNM131077:RNM131101 RDQ131077:RDQ131101 QTU131077:QTU131101 QJY131077:QJY131101 QAC131077:QAC131101 PQG131077:PQG131101 PGK131077:PGK131101 OWO131077:OWO131101 OMS131077:OMS131101 OCW131077:OCW131101 NTA131077:NTA131101 NJE131077:NJE131101 MZI131077:MZI131101 MPM131077:MPM131101 MFQ131077:MFQ131101 LVU131077:LVU131101 LLY131077:LLY131101 LCC131077:LCC131101 KSG131077:KSG131101 KIK131077:KIK131101 JYO131077:JYO131101 JOS131077:JOS131101 JEW131077:JEW131101 IVA131077:IVA131101 ILE131077:ILE131101 IBI131077:IBI131101 HRM131077:HRM131101 HHQ131077:HHQ131101 GXU131077:GXU131101 GNY131077:GNY131101 GEC131077:GEC131101 FUG131077:FUG131101 FKK131077:FKK131101 FAO131077:FAO131101 EQS131077:EQS131101 EGW131077:EGW131101 DXA131077:DXA131101 DNE131077:DNE131101 DDI131077:DDI131101 CTM131077:CTM131101 CJQ131077:CJQ131101 BZU131077:BZU131101 BPY131077:BPY131101 BGC131077:BGC131101 AWG131077:AWG131101 AMK131077:AMK131101 ACO131077:ACO131101 SS131077:SS131101 IW131077:IW131101 A131077:A131101 WVI65541:WVI65565 WLM65541:WLM65565 WBQ65541:WBQ65565">
      <formula1>$A$1</formula1>
    </dataValidation>
    <dataValidation type="list" allowBlank="1" showInputMessage="1" showErrorMessage="1" sqref="VRU65541:VRU65565 VHY65541:VHY65565 UYC65541:UYC65565 UOG65541:UOG65565 UEK65541:UEK65565 TUO65541:TUO65565 TKS65541:TKS65565 TAW65541:TAW65565 SRA65541:SRA65565 SHE65541:SHE65565 RXI65541:RXI65565 RNM65541:RNM65565 RDQ65541:RDQ65565 QTU65541:QTU65565 QJY65541:QJY65565 QAC65541:QAC65565 PQG65541:PQG65565 PGK65541:PGK65565 OWO65541:OWO65565 OMS65541:OMS65565 OCW65541:OCW65565 NTA65541:NTA65565 NJE65541:NJE65565 MZI65541:MZI65565 MPM65541:MPM65565 MFQ65541:MFQ65565 LVU65541:LVU65565 LLY65541:LLY65565 LCC65541:LCC65565 KSG65541:KSG65565 KIK65541:KIK65565 JYO65541:JYO65565 JOS65541:JOS65565 JEW65541:JEW65565 IVA65541:IVA65565 ILE65541:ILE65565 IBI65541:IBI65565 HRM65541:HRM65565 HHQ65541:HHQ65565 GXU65541:GXU65565 GNY65541:GNY65565 GEC65541:GEC65565 FUG65541:FUG65565 FKK65541:FKK65565 FAO65541:FAO65565 EQS65541:EQS65565 EGW65541:EGW65565 DXA65541:DXA65565 DNE65541:DNE65565 DDI65541:DDI65565 CTM65541:CTM65565 CJQ65541:CJQ65565 BZU65541:BZU65565 BPY65541:BPY65565 BGC65541:BGC65565 AWG65541:AWG65565 AMK65541:AMK65565 ACO65541:ACO65565 SS65541:SS65565 IW65541:IW65565 A65541:A65565 WVI5:WVI29 WLM5:WLM29 WBQ5:WBQ29 VRU5:VRU29 VHY5:VHY29 UYC5:UYC29 UOG5:UOG29 UEK5:UEK29 TUO5:TUO29 TKS5:TKS29 TAW5:TAW29 SRA5:SRA29 SHE5:SHE29 RXI5:RXI29 RNM5:RNM29 RDQ5:RDQ29 QTU5:QTU29 QJY5:QJY29 QAC5:QAC29 PQG5:PQG29 PGK5:PGK29 OWO5:OWO29 OMS5:OMS29 OCW5:OCW29 NTA5:NTA29 NJE5:NJE29 MZI5:MZI29 MPM5:MPM29 MFQ5:MFQ29 LVU5:LVU29 LLY5:LLY29 LCC5:LCC29 KSG5:KSG29 KIK5:KIK29 JYO5:JYO29 JOS5:JOS29 JEW5:JEW29 IVA5:IVA29 ILE5:ILE29">
      <formula1>$A$1</formula1>
    </dataValidation>
    <dataValidation type="list" allowBlank="1" showInputMessage="1" showErrorMessage="1" sqref="IBI5:IBI29 HRM5:HRM29 HHQ5:HHQ29 GXU5:GXU29 GNY5:GNY29 GEC5:GEC29 FUG5:FUG29 FKK5:FKK29 FAO5:FAO29 EQS5:EQS29 EGW5:EGW29 DXA5:DXA29 DNE5:DNE29 DDI5:DDI29 CTM5:CTM29 CJQ5:CJQ29 BZU5:BZU29 BPY5:BPY29 BGC5:BGC29 AWG5:AWG29 AMK5:AMK29 ACO5:ACO29 SS5:SS29 IW5:IW29">
      <formula1>$A$1</formula1>
    </dataValidation>
    <dataValidation type="list" allowBlank="1" showInputMessage="1" showErrorMessage="1" sqref="G33:G40 G29:G30">
      <formula1>$AJ$1:$AJ$18</formula1>
    </dataValidation>
    <dataValidation type="list" allowBlank="1" showInputMessage="1" showErrorMessage="1" sqref="F33:F40 F29:F30">
      <formula1>$AH$1:$AH$4</formula1>
    </dataValidation>
    <dataValidation type="list" allowBlank="1" showInputMessage="1" showErrorMessage="1" sqref="G5:G28 F5:F12 G31:G32 K5:K28 W5:W28 O5:O28 S5:S28">
      <formula1>項目!$C$1:$C$17</formula1>
    </dataValidation>
    <dataValidation type="list" allowBlank="1" showInputMessage="1" showErrorMessage="1" sqref="F13:F28 F31:F32 J5:J28 N5:N28 R5:R28 V5:V28">
      <formula1>項目!$A$1:$A$4</formula1>
    </dataValidation>
    <dataValidation type="list" allowBlank="1" showInputMessage="1" showErrorMessage="1" sqref="G131077:G131100 G196613:G196636 G262149:G262172 G327685:G327708 G393221:G393244 G458757:G458780 G524293:G524316 G589829:G589852 G655365:G655388 G720901:G720924 G786437:G786460 G851973:G851996 G917509:G917532 G983045:G983068 G65541:G65564">
      <formula1>項目!C$17:$C65537</formula1>
    </dataValidation>
    <dataValidation type="list" allowBlank="1" showInputMessage="1" showErrorMessage="1" sqref="AMQ5:AMQ28">
      <formula1>項目!C1:$AMK$17</formula1>
    </dataValidation>
    <dataValidation type="list" allowBlank="1" showInputMessage="1" showErrorMessage="1" sqref="AWM5:AWM28">
      <formula1>項目!C1:$AWG$17</formula1>
    </dataValidation>
    <dataValidation type="list" allowBlank="1" showInputMessage="1" showErrorMessage="1" sqref="BGI5:BGI28">
      <formula1>項目!C1:$BGC$17</formula1>
    </dataValidation>
    <dataValidation type="list" allowBlank="1" showInputMessage="1" showErrorMessage="1" sqref="BQE5:BQE28">
      <formula1>項目!C1:$BPY$17</formula1>
    </dataValidation>
    <dataValidation type="list" allowBlank="1" showInputMessage="1" showErrorMessage="1" sqref="CAA5:CAA28">
      <formula1>項目!C1:$BZU$17</formula1>
    </dataValidation>
    <dataValidation type="list" allowBlank="1" showInputMessage="1" showErrorMessage="1" sqref="CJW5:CJW28">
      <formula1>項目!C1:$CJQ$17</formula1>
    </dataValidation>
    <dataValidation type="list" allowBlank="1" showInputMessage="1" showErrorMessage="1" sqref="CTS5:CTS28">
      <formula1>項目!C1:$CTM$17</formula1>
    </dataValidation>
    <dataValidation type="list" allowBlank="1" showInputMessage="1" showErrorMessage="1" sqref="DDO5:DDO28">
      <formula1>項目!C1:$DDI$17</formula1>
    </dataValidation>
    <dataValidation type="list" allowBlank="1" showInputMessage="1" showErrorMessage="1" sqref="DNK5:DNK28">
      <formula1>項目!C1:$DNE$17</formula1>
    </dataValidation>
    <dataValidation type="list" allowBlank="1" showInputMessage="1" showErrorMessage="1" sqref="DXG5:DXG28">
      <formula1>項目!C1:$DXA$17</formula1>
    </dataValidation>
    <dataValidation type="list" allowBlank="1" showInputMessage="1" showErrorMessage="1" sqref="EHC5:EHC28">
      <formula1>項目!C1:$EGW$17</formula1>
    </dataValidation>
    <dataValidation type="list" allowBlank="1" showInputMessage="1" showErrorMessage="1" sqref="EQY5:EQY28">
      <formula1>項目!C1:$EQS$17</formula1>
    </dataValidation>
    <dataValidation type="list" allowBlank="1" showInputMessage="1" showErrorMessage="1" sqref="FAU5:FAU28">
      <formula1>項目!C1:$FAO$17</formula1>
    </dataValidation>
    <dataValidation type="list" allowBlank="1" showInputMessage="1" showErrorMessage="1" sqref="FKQ5:FKQ28">
      <formula1>項目!C1:$FKK$17</formula1>
    </dataValidation>
    <dataValidation type="list" allowBlank="1" showInputMessage="1" showErrorMessage="1" sqref="FUM5:FUM28">
      <formula1>項目!C1:$FUG$17</formula1>
    </dataValidation>
    <dataValidation type="list" allowBlank="1" showInputMessage="1" showErrorMessage="1" sqref="GEI5:GEI28">
      <formula1>項目!C1:$GEC$17</formula1>
    </dataValidation>
    <dataValidation type="list" allowBlank="1" showInputMessage="1" showErrorMessage="1" sqref="GOE5:GOE28">
      <formula1>項目!C1:$GNY$17</formula1>
    </dataValidation>
    <dataValidation type="list" allowBlank="1" showInputMessage="1" showErrorMessage="1" sqref="GYA5:GYA28">
      <formula1>項目!C1:$GXU$17</formula1>
    </dataValidation>
    <dataValidation type="list" allowBlank="1" showInputMessage="1" showErrorMessage="1" sqref="HHW5:HHW28">
      <formula1>項目!C1:$HHQ$17</formula1>
    </dataValidation>
    <dataValidation type="list" allowBlank="1" showInputMessage="1" showErrorMessage="1" sqref="HRS5:HRS28">
      <formula1>項目!C1:$HRM$17</formula1>
    </dataValidation>
    <dataValidation type="list" allowBlank="1" showInputMessage="1" showErrorMessage="1" sqref="IBO5:IBO28">
      <formula1>項目!C1:$IBI$17</formula1>
    </dataValidation>
    <dataValidation type="list" allowBlank="1" showInputMessage="1" showErrorMessage="1" sqref="ILK5:ILK28">
      <formula1>項目!C1:$ILE$17</formula1>
    </dataValidation>
    <dataValidation type="list" allowBlank="1" showInputMessage="1" showErrorMessage="1" sqref="IVG5:IVG28">
      <formula1>項目!C1:$IVA$17</formula1>
    </dataValidation>
    <dataValidation type="list" allowBlank="1" showInputMessage="1" showErrorMessage="1" sqref="JFC5:JFC28">
      <formula1>項目!C1:$JEW$17</formula1>
    </dataValidation>
    <dataValidation type="list" allowBlank="1" showInputMessage="1" showErrorMessage="1" sqref="JOY5:JOY28">
      <formula1>項目!C1:$JOS$17</formula1>
    </dataValidation>
    <dataValidation type="list" allowBlank="1" showInputMessage="1" showErrorMessage="1" sqref="JYU5:JYU28">
      <formula1>項目!C1:$JYO$17</formula1>
    </dataValidation>
    <dataValidation type="list" allowBlank="1" showInputMessage="1" showErrorMessage="1" sqref="KIQ5:KIQ28">
      <formula1>項目!C1:$KIK$17</formula1>
    </dataValidation>
    <dataValidation type="list" allowBlank="1" showInputMessage="1" showErrorMessage="1" sqref="KSM5:KSM28">
      <formula1>項目!C1:$KSG$17</formula1>
    </dataValidation>
    <dataValidation type="list" allowBlank="1" showInputMessage="1" showErrorMessage="1" sqref="LCI5:LCI28">
      <formula1>項目!C1:$LCC$17</formula1>
    </dataValidation>
    <dataValidation type="list" allowBlank="1" showInputMessage="1" showErrorMessage="1" sqref="LME5:LME28">
      <formula1>項目!C1:$LLY$17</formula1>
    </dataValidation>
    <dataValidation type="list" allowBlank="1" showInputMessage="1" showErrorMessage="1" sqref="LWA5:LWA28">
      <formula1>項目!C1:$LVU$17</formula1>
    </dataValidation>
    <dataValidation type="list" allowBlank="1" showInputMessage="1" showErrorMessage="1" sqref="MFW5:MFW28">
      <formula1>項目!C1:$MFQ$17</formula1>
    </dataValidation>
    <dataValidation type="list" allowBlank="1" showInputMessage="1" showErrorMessage="1" sqref="MPS5:MPS28">
      <formula1>項目!C1:$MPM$17</formula1>
    </dataValidation>
    <dataValidation type="list" allowBlank="1" showInputMessage="1" showErrorMessage="1" sqref="MZO5:MZO28">
      <formula1>項目!C1:$MZI$17</formula1>
    </dataValidation>
    <dataValidation type="list" allowBlank="1" showInputMessage="1" showErrorMessage="1" sqref="NJK5:NJK28">
      <formula1>項目!C1:$NJE$17</formula1>
    </dataValidation>
    <dataValidation type="list" allowBlank="1" showInputMessage="1" showErrorMessage="1" sqref="NTG5:NTG28">
      <formula1>項目!C1:$NTA$17</formula1>
    </dataValidation>
    <dataValidation type="list" allowBlank="1" showInputMessage="1" showErrorMessage="1" sqref="ODC5:ODC28">
      <formula1>項目!C1:$OCW$17</formula1>
    </dataValidation>
    <dataValidation type="list" allowBlank="1" showInputMessage="1" showErrorMessage="1" sqref="OMY5:OMY28">
      <formula1>項目!C1:$OMS$17</formula1>
    </dataValidation>
    <dataValidation type="list" allowBlank="1" showInputMessage="1" showErrorMessage="1" sqref="OWU5:OWU28">
      <formula1>項目!C1:$OWO$17</formula1>
    </dataValidation>
    <dataValidation type="list" allowBlank="1" showInputMessage="1" showErrorMessage="1" sqref="PGQ5:PGQ28">
      <formula1>項目!C1:$PGK$17</formula1>
    </dataValidation>
    <dataValidation type="list" allowBlank="1" showInputMessage="1" showErrorMessage="1" sqref="PQM5:PQM28">
      <formula1>項目!C1:$PQG$17</formula1>
    </dataValidation>
    <dataValidation type="list" allowBlank="1" showInputMessage="1" showErrorMessage="1" sqref="QAI5:QAI28">
      <formula1>項目!C1:$QAC$17</formula1>
    </dataValidation>
    <dataValidation type="list" allowBlank="1" showInputMessage="1" showErrorMessage="1" sqref="QKE5:QKE28">
      <formula1>項目!C1:$QJY$17</formula1>
    </dataValidation>
    <dataValidation type="list" allowBlank="1" showInputMessage="1" showErrorMessage="1" sqref="QUA5:QUA28">
      <formula1>項目!C1:$QTU$17</formula1>
    </dataValidation>
    <dataValidation type="list" allowBlank="1" showInputMessage="1" showErrorMessage="1" sqref="RDW5:RDW28">
      <formula1>項目!C1:$RDQ$17</formula1>
    </dataValidation>
    <dataValidation type="list" allowBlank="1" showInputMessage="1" showErrorMessage="1" sqref="RNS5:RNS28">
      <formula1>項目!C1:$RNM$17</formula1>
    </dataValidation>
    <dataValidation type="list" allowBlank="1" showInputMessage="1" showErrorMessage="1" sqref="RXO5:RXO28">
      <formula1>項目!C1:$RXI$17</formula1>
    </dataValidation>
    <dataValidation type="list" allowBlank="1" showInputMessage="1" showErrorMessage="1" sqref="SHK5:SHK28">
      <formula1>項目!C1:$SHE$17</formula1>
    </dataValidation>
    <dataValidation type="list" allowBlank="1" showInputMessage="1" showErrorMessage="1" sqref="SRG5:SRG28">
      <formula1>項目!C1:$SRA$17</formula1>
    </dataValidation>
    <dataValidation type="list" allowBlank="1" showInputMessage="1" showErrorMessage="1" sqref="TBC5:TBC28">
      <formula1>項目!C1:$TAW$17</formula1>
    </dataValidation>
    <dataValidation type="list" allowBlank="1" showInputMessage="1" showErrorMessage="1" sqref="TKY5:TKY28">
      <formula1>項目!C1:$TKS$17</formula1>
    </dataValidation>
    <dataValidation type="list" allowBlank="1" showInputMessage="1" showErrorMessage="1" sqref="TUU5:TUU28">
      <formula1>項目!C1:$TUO$17</formula1>
    </dataValidation>
    <dataValidation type="list" allowBlank="1" showInputMessage="1" showErrorMessage="1" sqref="UEQ5:UEQ28">
      <formula1>項目!C1:$UEK$17</formula1>
    </dataValidation>
    <dataValidation type="list" allowBlank="1" showInputMessage="1" showErrorMessage="1" sqref="UOM5:UOM28">
      <formula1>項目!C1:$UOG$17</formula1>
    </dataValidation>
    <dataValidation type="list" allowBlank="1" showInputMessage="1" showErrorMessage="1" sqref="UYI5:UYI28">
      <formula1>項目!C1:$UYC$17</formula1>
    </dataValidation>
    <dataValidation type="list" allowBlank="1" showInputMessage="1" showErrorMessage="1" sqref="VIE5:VIE28">
      <formula1>項目!C1:$VHY$17</formula1>
    </dataValidation>
    <dataValidation type="list" allowBlank="1" showInputMessage="1" showErrorMessage="1" sqref="VSA5:VSA28">
      <formula1>項目!C1:$VRU$17</formula1>
    </dataValidation>
    <dataValidation type="list" allowBlank="1" showInputMessage="1" showErrorMessage="1" sqref="WBW5:WBW28">
      <formula1>項目!C1:$WBQ$17</formula1>
    </dataValidation>
    <dataValidation type="list" allowBlank="1" showInputMessage="1" showErrorMessage="1" sqref="WLS5:WLS28">
      <formula1>項目!C1:$WLM$17</formula1>
    </dataValidation>
    <dataValidation type="list" allowBlank="1" showInputMessage="1" showErrorMessage="1" sqref="WVO5:WVO28">
      <formula1>項目!C1:$WVI$17</formula1>
    </dataValidation>
    <dataValidation type="list" allowBlank="1" showInputMessage="1" showErrorMessage="1" sqref="JC65541:JC65564">
      <formula1>項目!C17:$IW$65537</formula1>
    </dataValidation>
    <dataValidation type="list" allowBlank="1" showInputMessage="1" showErrorMessage="1" sqref="SY65541:SY65564">
      <formula1>項目!C17:$SS$65537</formula1>
    </dataValidation>
    <dataValidation type="list" allowBlank="1" showInputMessage="1" showErrorMessage="1" sqref="ACU65541:ACU65564">
      <formula1>項目!C17:$ACO$65537</formula1>
    </dataValidation>
    <dataValidation type="list" allowBlank="1" showInputMessage="1" showErrorMessage="1" sqref="AMQ65541:AMQ65564">
      <formula1>項目!C17:$AMK$65537</formula1>
    </dataValidation>
    <dataValidation type="list" allowBlank="1" showInputMessage="1" showErrorMessage="1" sqref="AWM65541:AWM65564">
      <formula1>項目!C17:$AWG$65537</formula1>
    </dataValidation>
    <dataValidation type="list" allowBlank="1" showInputMessage="1" showErrorMessage="1" sqref="BGI65541:BGI65564">
      <formula1>項目!C17:$BGC$65537</formula1>
    </dataValidation>
    <dataValidation type="list" allowBlank="1" showInputMessage="1" showErrorMessage="1" sqref="BQE65541:BQE65564">
      <formula1>項目!C17:$BPY$65537</formula1>
    </dataValidation>
    <dataValidation type="list" allowBlank="1" showInputMessage="1" showErrorMessage="1" sqref="CAA65541:CAA65564">
      <formula1>項目!C17:$BZU$65537</formula1>
    </dataValidation>
    <dataValidation type="list" allowBlank="1" showInputMessage="1" showErrorMessage="1" sqref="CJW65541:CJW65564">
      <formula1>項目!C17:$CJQ$65537</formula1>
    </dataValidation>
    <dataValidation type="list" allowBlank="1" showInputMessage="1" showErrorMessage="1" sqref="CTS65541:CTS65564">
      <formula1>項目!C17:$CTM$65537</formula1>
    </dataValidation>
    <dataValidation type="list" allowBlank="1" showInputMessage="1" showErrorMessage="1" sqref="DDO65541:DDO65564">
      <formula1>項目!C17:$DDI$65537</formula1>
    </dataValidation>
    <dataValidation type="list" allowBlank="1" showInputMessage="1" showErrorMessage="1" sqref="DNK65541:DNK65564">
      <formula1>項目!C17:$DNE$65537</formula1>
    </dataValidation>
    <dataValidation type="list" allowBlank="1" showInputMessage="1" showErrorMessage="1" sqref="DXG65541:DXG65564">
      <formula1>項目!C17:$DXA$65537</formula1>
    </dataValidation>
    <dataValidation type="list" allowBlank="1" showInputMessage="1" showErrorMessage="1" sqref="EHC65541:EHC65564">
      <formula1>項目!C17:$EGW$65537</formula1>
    </dataValidation>
    <dataValidation type="list" allowBlank="1" showInputMessage="1" showErrorMessage="1" sqref="EQY65541:EQY65564">
      <formula1>項目!C17:$EQS$65537</formula1>
    </dataValidation>
    <dataValidation type="list" allowBlank="1" showInputMessage="1" showErrorMessage="1" sqref="FAU65541:FAU65564">
      <formula1>項目!C17:$FAO$65537</formula1>
    </dataValidation>
    <dataValidation type="list" allowBlank="1" showInputMessage="1" showErrorMessage="1" sqref="FKQ65541:FKQ65564">
      <formula1>項目!C17:$FKK$65537</formula1>
    </dataValidation>
    <dataValidation type="list" allowBlank="1" showInputMessage="1" showErrorMessage="1" sqref="FUM65541:FUM65564">
      <formula1>項目!C17:$FUG$65537</formula1>
    </dataValidation>
    <dataValidation type="list" allowBlank="1" showInputMessage="1" showErrorMessage="1" sqref="GEI65541:GEI65564">
      <formula1>項目!C17:$GEC$65537</formula1>
    </dataValidation>
    <dataValidation type="list" allowBlank="1" showInputMessage="1" showErrorMessage="1" sqref="GOE65541:GOE65564">
      <formula1>項目!C17:$GNY$65537</formula1>
    </dataValidation>
    <dataValidation type="list" allowBlank="1" showInputMessage="1" showErrorMessage="1" sqref="GYA65541:GYA65564">
      <formula1>項目!C17:$GXU$65537</formula1>
    </dataValidation>
    <dataValidation type="list" allowBlank="1" showInputMessage="1" showErrorMessage="1" sqref="HHW65541:HHW65564">
      <formula1>項目!C17:$HHQ$65537</formula1>
    </dataValidation>
    <dataValidation type="list" allowBlank="1" showInputMessage="1" showErrorMessage="1" sqref="HRS65541:HRS65564">
      <formula1>項目!C17:$HRM$65537</formula1>
    </dataValidation>
    <dataValidation type="list" allowBlank="1" showInputMessage="1" showErrorMessage="1" sqref="IBO65541:IBO65564">
      <formula1>項目!C17:$IBI$65537</formula1>
    </dataValidation>
    <dataValidation type="list" allowBlank="1" showInputMessage="1" showErrorMessage="1" sqref="ILK65541:ILK65564">
      <formula1>項目!C17:$ILE$65537</formula1>
    </dataValidation>
    <dataValidation type="list" allowBlank="1" showInputMessage="1" showErrorMessage="1" sqref="IVG65541:IVG65564">
      <formula1>項目!C17:$IVA$65537</formula1>
    </dataValidation>
    <dataValidation type="list" allowBlank="1" showInputMessage="1" showErrorMessage="1" sqref="JFC65541:JFC65564">
      <formula1>項目!C17:$JEW$65537</formula1>
    </dataValidation>
    <dataValidation type="list" allowBlank="1" showInputMessage="1" showErrorMessage="1" sqref="JOY65541:JOY65564">
      <formula1>項目!C17:$JOS$65537</formula1>
    </dataValidation>
    <dataValidation type="list" allowBlank="1" showInputMessage="1" showErrorMessage="1" sqref="JYU65541:JYU65564">
      <formula1>項目!C17:$JYO$65537</formula1>
    </dataValidation>
    <dataValidation type="list" allowBlank="1" showInputMessage="1" showErrorMessage="1" sqref="KIQ65541:KIQ65564">
      <formula1>項目!C17:$KIK$65537</formula1>
    </dataValidation>
    <dataValidation type="list" allowBlank="1" showInputMessage="1" showErrorMessage="1" sqref="KSM65541:KSM65564">
      <formula1>項目!C17:$KSG$65537</formula1>
    </dataValidation>
    <dataValidation type="list" allowBlank="1" showInputMessage="1" showErrorMessage="1" sqref="LCI65541:LCI65564">
      <formula1>項目!C17:$LCC$65537</formula1>
    </dataValidation>
    <dataValidation type="list" allowBlank="1" showInputMessage="1" showErrorMessage="1" sqref="LME65541:LME65564">
      <formula1>項目!C17:$LLY$65537</formula1>
    </dataValidation>
    <dataValidation type="list" allowBlank="1" showInputMessage="1" showErrorMessage="1" sqref="LWA65541:LWA65564">
      <formula1>項目!C17:$LVU$65537</formula1>
    </dataValidation>
    <dataValidation type="list" allowBlank="1" showInputMessage="1" showErrorMessage="1" sqref="MFW65541:MFW65564">
      <formula1>項目!C17:$MFQ$65537</formula1>
    </dataValidation>
    <dataValidation type="list" allowBlank="1" showInputMessage="1" showErrorMessage="1" sqref="MPS65541:MPS65564">
      <formula1>項目!C17:$MPM$65537</formula1>
    </dataValidation>
    <dataValidation type="list" allowBlank="1" showInputMessage="1" showErrorMessage="1" sqref="MZO65541:MZO65564">
      <formula1>項目!C17:$MZI$65537</formula1>
    </dataValidation>
    <dataValidation type="list" allowBlank="1" showInputMessage="1" showErrorMessage="1" sqref="NJK65541:NJK65564">
      <formula1>項目!C17:$NJE$65537</formula1>
    </dataValidation>
    <dataValidation type="list" allowBlank="1" showInputMessage="1" showErrorMessage="1" sqref="NTG65541:NTG65564">
      <formula1>項目!C17:$NTA$65537</formula1>
    </dataValidation>
    <dataValidation type="list" allowBlank="1" showInputMessage="1" showErrorMessage="1" sqref="ODC65541:ODC65564">
      <formula1>項目!C17:$OCW$65537</formula1>
    </dataValidation>
    <dataValidation type="list" allowBlank="1" showInputMessage="1" showErrorMessage="1" sqref="OMY65541:OMY65564">
      <formula1>項目!C17:$OMS$65537</formula1>
    </dataValidation>
    <dataValidation type="list" allowBlank="1" showInputMessage="1" showErrorMessage="1" sqref="OWU65541:OWU65564">
      <formula1>項目!C17:$OWO$65537</formula1>
    </dataValidation>
    <dataValidation type="list" allowBlank="1" showInputMessage="1" showErrorMessage="1" sqref="PGQ65541:PGQ65564">
      <formula1>項目!C17:$PGK$65537</formula1>
    </dataValidation>
    <dataValidation type="list" allowBlank="1" showInputMessage="1" showErrorMessage="1" sqref="PQM65541:PQM65564">
      <formula1>項目!C17:$PQG$65537</formula1>
    </dataValidation>
    <dataValidation type="list" allowBlank="1" showInputMessage="1" showErrorMessage="1" sqref="QAI65541:QAI65564">
      <formula1>項目!C17:$QAC$65537</formula1>
    </dataValidation>
    <dataValidation type="list" allowBlank="1" showInputMessage="1" showErrorMessage="1" sqref="QKE65541:QKE65564">
      <formula1>項目!C17:$QJY$65537</formula1>
    </dataValidation>
    <dataValidation type="list" allowBlank="1" showInputMessage="1" showErrorMessage="1" sqref="QUA65541:QUA65564">
      <formula1>項目!C17:$QTU$65537</formula1>
    </dataValidation>
    <dataValidation type="list" allowBlank="1" showInputMessage="1" showErrorMessage="1" sqref="RDW65541:RDW65564">
      <formula1>項目!C17:$RDQ$65537</formula1>
    </dataValidation>
    <dataValidation type="list" allowBlank="1" showInputMessage="1" showErrorMessage="1" sqref="RNS65541:RNS65564">
      <formula1>項目!C17:$RNM$65537</formula1>
    </dataValidation>
    <dataValidation type="list" allowBlank="1" showInputMessage="1" showErrorMessage="1" sqref="RXO65541:RXO65564">
      <formula1>項目!C17:$RXI$65537</formula1>
    </dataValidation>
    <dataValidation type="list" allowBlank="1" showInputMessage="1" showErrorMessage="1" sqref="SHK65541:SHK65564">
      <formula1>項目!C17:$SHE$65537</formula1>
    </dataValidation>
    <dataValidation type="list" allowBlank="1" showInputMessage="1" showErrorMessage="1" sqref="SRG65541:SRG65564">
      <formula1>項目!C17:$SRA$65537</formula1>
    </dataValidation>
    <dataValidation type="list" allowBlank="1" showInputMessage="1" showErrorMessage="1" sqref="TBC65541:TBC65564">
      <formula1>項目!C17:$TAW$65537</formula1>
    </dataValidation>
    <dataValidation type="list" allowBlank="1" showInputMessage="1" showErrorMessage="1" sqref="TKY65541:TKY65564">
      <formula1>項目!C17:$TKS$65537</formula1>
    </dataValidation>
    <dataValidation type="list" allowBlank="1" showInputMessage="1" showErrorMessage="1" sqref="TUU65541:TUU65564">
      <formula1>項目!C17:$TUO$65537</formula1>
    </dataValidation>
    <dataValidation type="list" allowBlank="1" showInputMessage="1" showErrorMessage="1" sqref="UEQ65541:UEQ65564">
      <formula1>項目!C17:$UEK$65537</formula1>
    </dataValidation>
    <dataValidation type="list" allowBlank="1" showInputMessage="1" showErrorMessage="1" sqref="UOM65541:UOM65564">
      <formula1>項目!C17:$UOG$65537</formula1>
    </dataValidation>
    <dataValidation type="list" allowBlank="1" showInputMessage="1" showErrorMessage="1" sqref="UYI65541:UYI65564">
      <formula1>項目!C17:$UYC$65537</formula1>
    </dataValidation>
    <dataValidation type="list" allowBlank="1" showInputMessage="1" showErrorMessage="1" sqref="VIE65541:VIE65564">
      <formula1>項目!C17:$VHY$65537</formula1>
    </dataValidation>
    <dataValidation type="list" allowBlank="1" showInputMessage="1" showErrorMessage="1" sqref="VSA65541:VSA65564">
      <formula1>項目!C17:$VRU$65537</formula1>
    </dataValidation>
    <dataValidation type="list" allowBlank="1" showInputMessage="1" showErrorMessage="1" sqref="WBW65541:WBW65564">
      <formula1>項目!C17:$WBQ$65537</formula1>
    </dataValidation>
    <dataValidation type="list" allowBlank="1" showInputMessage="1" showErrorMessage="1" sqref="WLS65541:WLS65564">
      <formula1>項目!C17:$WLM$65537</formula1>
    </dataValidation>
    <dataValidation type="list" allowBlank="1" showInputMessage="1" showErrorMessage="1" sqref="WVO65541:WVO65564">
      <formula1>項目!C17:$WVI$65537</formula1>
    </dataValidation>
    <dataValidation type="list" allowBlank="1" showInputMessage="1" showErrorMessage="1" sqref="JC131077:JC131100">
      <formula1>項目!C17:$IW$131073</formula1>
    </dataValidation>
    <dataValidation type="list" allowBlank="1" showInputMessage="1" showErrorMessage="1" sqref="SY131077:SY131100">
      <formula1>項目!C17:$SS$131073</formula1>
    </dataValidation>
    <dataValidation type="list" allowBlank="1" showInputMessage="1" showErrorMessage="1" sqref="ACU131077:ACU131100">
      <formula1>項目!C17:$ACO$131073</formula1>
    </dataValidation>
    <dataValidation type="list" allowBlank="1" showInputMessage="1" showErrorMessage="1" sqref="AMQ131077:AMQ131100">
      <formula1>項目!C17:$AMK$131073</formula1>
    </dataValidation>
    <dataValidation type="list" allowBlank="1" showInputMessage="1" showErrorMessage="1" sqref="AWM131077:AWM131100">
      <formula1>項目!C17:$AWG$131073</formula1>
    </dataValidation>
    <dataValidation type="list" allowBlank="1" showInputMessage="1" showErrorMessage="1" sqref="BGI131077:BGI131100">
      <formula1>項目!C17:$BGC$131073</formula1>
    </dataValidation>
    <dataValidation type="list" allowBlank="1" showInputMessage="1" showErrorMessage="1" sqref="BQE131077:BQE131100">
      <formula1>項目!C17:$BPY$131073</formula1>
    </dataValidation>
    <dataValidation type="list" allowBlank="1" showInputMessage="1" showErrorMessage="1" sqref="CAA131077:CAA131100">
      <formula1>項目!C17:$BZU$131073</formula1>
    </dataValidation>
    <dataValidation type="list" allowBlank="1" showInputMessage="1" showErrorMessage="1" sqref="CJW131077:CJW131100">
      <formula1>項目!C17:$CJQ$131073</formula1>
    </dataValidation>
    <dataValidation type="list" allowBlank="1" showInputMessage="1" showErrorMessage="1" sqref="CTS131077:CTS131100">
      <formula1>項目!C17:$CTM$131073</formula1>
    </dataValidation>
    <dataValidation type="list" allowBlank="1" showInputMessage="1" showErrorMessage="1" sqref="DDO131077:DDO131100">
      <formula1>項目!C17:$DDI$131073</formula1>
    </dataValidation>
    <dataValidation type="list" allowBlank="1" showInputMessage="1" showErrorMessage="1" sqref="DNK131077:DNK131100">
      <formula1>項目!C17:$DNE$131073</formula1>
    </dataValidation>
    <dataValidation type="list" allowBlank="1" showInputMessage="1" showErrorMessage="1" sqref="DXG131077:DXG131100">
      <formula1>項目!C17:$DXA$131073</formula1>
    </dataValidation>
    <dataValidation type="list" allowBlank="1" showInputMessage="1" showErrorMessage="1" sqref="EHC131077:EHC131100">
      <formula1>項目!C17:$EGW$131073</formula1>
    </dataValidation>
    <dataValidation type="list" allowBlank="1" showInputMessage="1" showErrorMessage="1" sqref="EQY131077:EQY131100">
      <formula1>項目!C17:$EQS$131073</formula1>
    </dataValidation>
    <dataValidation type="list" allowBlank="1" showInputMessage="1" showErrorMessage="1" sqref="FAU131077:FAU131100">
      <formula1>項目!C17:$FAO$131073</formula1>
    </dataValidation>
    <dataValidation type="list" allowBlank="1" showInputMessage="1" showErrorMessage="1" sqref="FKQ131077:FKQ131100">
      <formula1>項目!C17:$FKK$131073</formula1>
    </dataValidation>
    <dataValidation type="list" allowBlank="1" showInputMessage="1" showErrorMessage="1" sqref="FUM131077:FUM131100">
      <formula1>項目!C17:$FUG$131073</formula1>
    </dataValidation>
    <dataValidation type="list" allowBlank="1" showInputMessage="1" showErrorMessage="1" sqref="GEI131077:GEI131100">
      <formula1>項目!C17:$GEC$131073</formula1>
    </dataValidation>
    <dataValidation type="list" allowBlank="1" showInputMessage="1" showErrorMessage="1" sqref="GOE131077:GOE131100">
      <formula1>項目!C17:$GNY$131073</formula1>
    </dataValidation>
    <dataValidation type="list" allowBlank="1" showInputMessage="1" showErrorMessage="1" sqref="GYA131077:GYA131100">
      <formula1>項目!C17:$GXU$131073</formula1>
    </dataValidation>
    <dataValidation type="list" allowBlank="1" showInputMessage="1" showErrorMessage="1" sqref="HHW131077:HHW131100">
      <formula1>項目!C17:$HHQ$131073</formula1>
    </dataValidation>
    <dataValidation type="list" allowBlank="1" showInputMessage="1" showErrorMessage="1" sqref="HRS131077:HRS131100">
      <formula1>項目!C17:$HRM$131073</formula1>
    </dataValidation>
    <dataValidation type="list" allowBlank="1" showInputMessage="1" showErrorMessage="1" sqref="IBO131077:IBO131100">
      <formula1>項目!C17:$IBI$131073</formula1>
    </dataValidation>
    <dataValidation type="list" allowBlank="1" showInputMessage="1" showErrorMessage="1" sqref="ILK131077:ILK131100">
      <formula1>項目!C17:$ILE$131073</formula1>
    </dataValidation>
    <dataValidation type="list" allowBlank="1" showInputMessage="1" showErrorMessage="1" sqref="IVG131077:IVG131100">
      <formula1>項目!C17:$IVA$131073</formula1>
    </dataValidation>
    <dataValidation type="list" allowBlank="1" showInputMessage="1" showErrorMessage="1" sqref="JFC131077:JFC131100">
      <formula1>項目!C17:$JEW$131073</formula1>
    </dataValidation>
    <dataValidation type="list" allowBlank="1" showInputMessage="1" showErrorMessage="1" sqref="JOY131077:JOY131100">
      <formula1>項目!C17:$JOS$131073</formula1>
    </dataValidation>
    <dataValidation type="list" allowBlank="1" showInputMessage="1" showErrorMessage="1" sqref="JYU131077:JYU131100">
      <formula1>項目!C17:$JYO$131073</formula1>
    </dataValidation>
    <dataValidation type="list" allowBlank="1" showInputMessage="1" showErrorMessage="1" sqref="KIQ131077:KIQ131100">
      <formula1>項目!C17:$KIK$131073</formula1>
    </dataValidation>
    <dataValidation type="list" allowBlank="1" showInputMessage="1" showErrorMessage="1" sqref="KSM131077:KSM131100">
      <formula1>項目!C17:$KSG$131073</formula1>
    </dataValidation>
    <dataValidation type="list" allowBlank="1" showInputMessage="1" showErrorMessage="1" sqref="LCI131077:LCI131100">
      <formula1>項目!C17:$LCC$131073</formula1>
    </dataValidation>
    <dataValidation type="list" allowBlank="1" showInputMessage="1" showErrorMessage="1" sqref="LME131077:LME131100">
      <formula1>項目!C17:$LLY$131073</formula1>
    </dataValidation>
    <dataValidation type="list" allowBlank="1" showInputMessage="1" showErrorMessage="1" sqref="LWA131077:LWA131100">
      <formula1>項目!C17:$LVU$131073</formula1>
    </dataValidation>
    <dataValidation type="list" allowBlank="1" showInputMessage="1" showErrorMessage="1" sqref="MFW131077:MFW131100">
      <formula1>項目!C17:$MFQ$131073</formula1>
    </dataValidation>
    <dataValidation type="list" allowBlank="1" showInputMessage="1" showErrorMessage="1" sqref="MPS131077:MPS131100">
      <formula1>項目!C17:$MPM$131073</formula1>
    </dataValidation>
    <dataValidation type="list" allowBlank="1" showInputMessage="1" showErrorMessage="1" sqref="MZO131077:MZO131100">
      <formula1>項目!C17:$MZI$131073</formula1>
    </dataValidation>
    <dataValidation type="list" allowBlank="1" showInputMessage="1" showErrorMessage="1" sqref="NJK131077:NJK131100">
      <formula1>項目!C17:$NJE$131073</formula1>
    </dataValidation>
    <dataValidation type="list" allowBlank="1" showInputMessage="1" showErrorMessage="1" sqref="NTG131077:NTG131100">
      <formula1>項目!C17:$NTA$131073</formula1>
    </dataValidation>
    <dataValidation type="list" allowBlank="1" showInputMessage="1" showErrorMessage="1" sqref="ODC131077:ODC131100">
      <formula1>項目!C17:$OCW$131073</formula1>
    </dataValidation>
    <dataValidation type="list" allowBlank="1" showInputMessage="1" showErrorMessage="1" sqref="OMY131077:OMY131100">
      <formula1>項目!C17:$OMS$131073</formula1>
    </dataValidation>
    <dataValidation type="list" allowBlank="1" showInputMessage="1" showErrorMessage="1" sqref="OWU131077:OWU131100">
      <formula1>項目!C17:$OWO$131073</formula1>
    </dataValidation>
    <dataValidation type="list" allowBlank="1" showInputMessage="1" showErrorMessage="1" sqref="PGQ131077:PGQ131100">
      <formula1>項目!C17:$PGK$131073</formula1>
    </dataValidation>
    <dataValidation type="list" allowBlank="1" showInputMessage="1" showErrorMessage="1" sqref="PQM131077:PQM131100">
      <formula1>項目!C17:$PQG$131073</formula1>
    </dataValidation>
    <dataValidation type="list" allowBlank="1" showInputMessage="1" showErrorMessage="1" sqref="QAI131077:QAI131100">
      <formula1>項目!C17:$QAC$131073</formula1>
    </dataValidation>
    <dataValidation type="list" allowBlank="1" showInputMessage="1" showErrorMessage="1" sqref="QKE131077:QKE131100">
      <formula1>項目!C17:$QJY$131073</formula1>
    </dataValidation>
    <dataValidation type="list" allowBlank="1" showInputMessage="1" showErrorMessage="1" sqref="QUA131077:QUA131100">
      <formula1>項目!C17:$QTU$131073</formula1>
    </dataValidation>
    <dataValidation type="list" allowBlank="1" showInputMessage="1" showErrorMessage="1" sqref="RDW131077:RDW131100">
      <formula1>項目!C17:$RDQ$131073</formula1>
    </dataValidation>
    <dataValidation type="list" allowBlank="1" showInputMessage="1" showErrorMessage="1" sqref="RNS131077:RNS131100">
      <formula1>項目!C17:$RNM$131073</formula1>
    </dataValidation>
    <dataValidation type="list" allowBlank="1" showInputMessage="1" showErrorMessage="1" sqref="RXO131077:RXO131100">
      <formula1>項目!C17:$RXI$131073</formula1>
    </dataValidation>
    <dataValidation type="list" allowBlank="1" showInputMessage="1" showErrorMessage="1" sqref="SHK131077:SHK131100">
      <formula1>項目!C17:$SHE$131073</formula1>
    </dataValidation>
    <dataValidation type="list" allowBlank="1" showInputMessage="1" showErrorMessage="1" sqref="SRG131077:SRG131100">
      <formula1>項目!C17:$SRA$131073</formula1>
    </dataValidation>
    <dataValidation type="list" allowBlank="1" showInputMessage="1" showErrorMessage="1" sqref="TBC131077:TBC131100">
      <formula1>項目!C17:$TAW$131073</formula1>
    </dataValidation>
    <dataValidation type="list" allowBlank="1" showInputMessage="1" showErrorMessage="1" sqref="TKY131077:TKY131100">
      <formula1>項目!C17:$TKS$131073</formula1>
    </dataValidation>
    <dataValidation type="list" allowBlank="1" showInputMessage="1" showErrorMessage="1" sqref="TUU131077:TUU131100">
      <formula1>項目!C17:$TUO$131073</formula1>
    </dataValidation>
    <dataValidation type="list" allowBlank="1" showInputMessage="1" showErrorMessage="1" sqref="UEQ131077:UEQ131100">
      <formula1>項目!C17:$UEK$131073</formula1>
    </dataValidation>
    <dataValidation type="list" allowBlank="1" showInputMessage="1" showErrorMessage="1" sqref="UOM131077:UOM131100">
      <formula1>項目!C17:$UOG$131073</formula1>
    </dataValidation>
    <dataValidation type="list" allowBlank="1" showInputMessage="1" showErrorMessage="1" sqref="UYI131077:UYI131100">
      <formula1>項目!C17:$UYC$131073</formula1>
    </dataValidation>
    <dataValidation type="list" allowBlank="1" showInputMessage="1" showErrorMessage="1" sqref="VIE131077:VIE131100">
      <formula1>項目!C17:$VHY$131073</formula1>
    </dataValidation>
    <dataValidation type="list" allowBlank="1" showInputMessage="1" showErrorMessage="1" sqref="VSA131077:VSA131100">
      <formula1>項目!C17:$VRU$131073</formula1>
    </dataValidation>
    <dataValidation type="list" allowBlank="1" showInputMessage="1" showErrorMessage="1" sqref="WBW131077:WBW131100">
      <formula1>項目!C17:$WBQ$131073</formula1>
    </dataValidation>
    <dataValidation type="list" allowBlank="1" showInputMessage="1" showErrorMessage="1" sqref="WLS131077:WLS131100">
      <formula1>項目!C17:$WLM$131073</formula1>
    </dataValidation>
    <dataValidation type="list" allowBlank="1" showInputMessage="1" showErrorMessage="1" sqref="WVO131077:WVO131100">
      <formula1>項目!C17:$WVI$131073</formula1>
    </dataValidation>
    <dataValidation type="list" allowBlank="1" showInputMessage="1" showErrorMessage="1" sqref="JC196613:JC196636">
      <formula1>項目!C17:$IW$196609</formula1>
    </dataValidation>
    <dataValidation type="list" allowBlank="1" showInputMessage="1" showErrorMessage="1" sqref="SY196613:SY196636">
      <formula1>項目!C17:$SS$196609</formula1>
    </dataValidation>
    <dataValidation type="list" allowBlank="1" showInputMessage="1" showErrorMessage="1" sqref="ACU196613:ACU196636">
      <formula1>項目!C17:$ACO$196609</formula1>
    </dataValidation>
    <dataValidation type="list" allowBlank="1" showInputMessage="1" showErrorMessage="1" sqref="AMQ196613:AMQ196636">
      <formula1>項目!C17:$AMK$196609</formula1>
    </dataValidation>
    <dataValidation type="list" allowBlank="1" showInputMessage="1" showErrorMessage="1" sqref="AWM196613:AWM196636">
      <formula1>項目!C17:$AWG$196609</formula1>
    </dataValidation>
    <dataValidation type="list" allowBlank="1" showInputMessage="1" showErrorMessage="1" sqref="BGI196613:BGI196636">
      <formula1>項目!C17:$BGC$196609</formula1>
    </dataValidation>
    <dataValidation type="list" allowBlank="1" showInputMessage="1" showErrorMessage="1" sqref="BQE196613:BQE196636">
      <formula1>項目!C17:$BPY$196609</formula1>
    </dataValidation>
    <dataValidation type="list" allowBlank="1" showInputMessage="1" showErrorMessage="1" sqref="CAA196613:CAA196636">
      <formula1>項目!C17:$BZU$196609</formula1>
    </dataValidation>
    <dataValidation type="list" allowBlank="1" showInputMessage="1" showErrorMessage="1" sqref="CJW196613:CJW196636">
      <formula1>項目!C17:$CJQ$196609</formula1>
    </dataValidation>
    <dataValidation type="list" allowBlank="1" showInputMessage="1" showErrorMessage="1" sqref="CTS196613:CTS196636">
      <formula1>項目!C17:$CTM$196609</formula1>
    </dataValidation>
    <dataValidation type="list" allowBlank="1" showInputMessage="1" showErrorMessage="1" sqref="DDO196613:DDO196636">
      <formula1>項目!C17:$DDI$196609</formula1>
    </dataValidation>
    <dataValidation type="list" allowBlank="1" showInputMessage="1" showErrorMessage="1" sqref="DNK196613:DNK196636">
      <formula1>項目!C17:$DNE$196609</formula1>
    </dataValidation>
    <dataValidation type="list" allowBlank="1" showInputMessage="1" showErrorMessage="1" sqref="DXG196613:DXG196636">
      <formula1>項目!C17:$DXA$196609</formula1>
    </dataValidation>
    <dataValidation type="list" allowBlank="1" showInputMessage="1" showErrorMessage="1" sqref="EHC196613:EHC196636">
      <formula1>項目!C17:$EGW$196609</formula1>
    </dataValidation>
    <dataValidation type="list" allowBlank="1" showInputMessage="1" showErrorMessage="1" sqref="EQY196613:EQY196636">
      <formula1>項目!C17:$EQS$196609</formula1>
    </dataValidation>
    <dataValidation type="list" allowBlank="1" showInputMessage="1" showErrorMessage="1" sqref="FAU196613:FAU196636">
      <formula1>項目!C17:$FAO$196609</formula1>
    </dataValidation>
    <dataValidation type="list" allowBlank="1" showInputMessage="1" showErrorMessage="1" sqref="FKQ196613:FKQ196636">
      <formula1>項目!C17:$FKK$196609</formula1>
    </dataValidation>
    <dataValidation type="list" allowBlank="1" showInputMessage="1" showErrorMessage="1" sqref="FUM196613:FUM196636">
      <formula1>項目!C17:$FUG$196609</formula1>
    </dataValidation>
    <dataValidation type="list" allowBlank="1" showInputMessage="1" showErrorMessage="1" sqref="GEI196613:GEI196636">
      <formula1>項目!C17:$GEC$196609</formula1>
    </dataValidation>
    <dataValidation type="list" allowBlank="1" showInputMessage="1" showErrorMessage="1" sqref="GOE196613:GOE196636">
      <formula1>項目!C17:$GNY$196609</formula1>
    </dataValidation>
    <dataValidation type="list" allowBlank="1" showInputMessage="1" showErrorMessage="1" sqref="GYA196613:GYA196636">
      <formula1>項目!C17:$GXU$196609</formula1>
    </dataValidation>
    <dataValidation type="list" allowBlank="1" showInputMessage="1" showErrorMessage="1" sqref="HHW196613:HHW196636">
      <formula1>項目!C17:$HHQ$196609</formula1>
    </dataValidation>
    <dataValidation type="list" allowBlank="1" showInputMessage="1" showErrorMessage="1" sqref="HRS196613:HRS196636">
      <formula1>項目!C17:$HRM$196609</formula1>
    </dataValidation>
    <dataValidation type="list" allowBlank="1" showInputMessage="1" showErrorMessage="1" sqref="IBO196613:IBO196636">
      <formula1>項目!C17:$IBI$196609</formula1>
    </dataValidation>
    <dataValidation type="list" allowBlank="1" showInputMessage="1" showErrorMessage="1" sqref="ILK196613:ILK196636">
      <formula1>項目!C17:$ILE$196609</formula1>
    </dataValidation>
    <dataValidation type="list" allowBlank="1" showInputMessage="1" showErrorMessage="1" sqref="IVG196613:IVG196636">
      <formula1>項目!C17:$IVA$196609</formula1>
    </dataValidation>
    <dataValidation type="list" allowBlank="1" showInputMessage="1" showErrorMessage="1" sqref="JFC196613:JFC196636">
      <formula1>項目!C17:$JEW$196609</formula1>
    </dataValidation>
    <dataValidation type="list" allowBlank="1" showInputMessage="1" showErrorMessage="1" sqref="JOY196613:JOY196636">
      <formula1>項目!C17:$JOS$196609</formula1>
    </dataValidation>
    <dataValidation type="list" allowBlank="1" showInputMessage="1" showErrorMessage="1" sqref="JYU196613:JYU196636">
      <formula1>項目!C17:$JYO$196609</formula1>
    </dataValidation>
    <dataValidation type="list" allowBlank="1" showInputMessage="1" showErrorMessage="1" sqref="KIQ196613:KIQ196636">
      <formula1>項目!C17:$KIK$196609</formula1>
    </dataValidation>
    <dataValidation type="list" allowBlank="1" showInputMessage="1" showErrorMessage="1" sqref="KSM196613:KSM196636">
      <formula1>項目!C17:$KSG$196609</formula1>
    </dataValidation>
    <dataValidation type="list" allowBlank="1" showInputMessage="1" showErrorMessage="1" sqref="LCI196613:LCI196636">
      <formula1>項目!C17:$LCC$196609</formula1>
    </dataValidation>
    <dataValidation type="list" allowBlank="1" showInputMessage="1" showErrorMessage="1" sqref="LME196613:LME196636">
      <formula1>項目!C17:$LLY$196609</formula1>
    </dataValidation>
    <dataValidation type="list" allowBlank="1" showInputMessage="1" showErrorMessage="1" sqref="LWA196613:LWA196636">
      <formula1>項目!C17:$LVU$196609</formula1>
    </dataValidation>
    <dataValidation type="list" allowBlank="1" showInputMessage="1" showErrorMessage="1" sqref="MFW196613:MFW196636">
      <formula1>項目!C17:$MFQ$196609</formula1>
    </dataValidation>
    <dataValidation type="list" allowBlank="1" showInputMessage="1" showErrorMessage="1" sqref="MPS196613:MPS196636">
      <formula1>項目!C17:$MPM$196609</formula1>
    </dataValidation>
    <dataValidation type="list" allowBlank="1" showInputMessage="1" showErrorMessage="1" sqref="MZO196613:MZO196636">
      <formula1>項目!C17:$MZI$196609</formula1>
    </dataValidation>
    <dataValidation type="list" allowBlank="1" showInputMessage="1" showErrorMessage="1" sqref="NJK196613:NJK196636">
      <formula1>項目!C17:$NJE$196609</formula1>
    </dataValidation>
    <dataValidation type="list" allowBlank="1" showInputMessage="1" showErrorMessage="1" sqref="NTG196613:NTG196636">
      <formula1>項目!C17:$NTA$196609</formula1>
    </dataValidation>
    <dataValidation type="list" allowBlank="1" showInputMessage="1" showErrorMessage="1" sqref="ODC196613:ODC196636">
      <formula1>項目!C17:$OCW$196609</formula1>
    </dataValidation>
    <dataValidation type="list" allowBlank="1" showInputMessage="1" showErrorMessage="1" sqref="OMY196613:OMY196636">
      <formula1>項目!C17:$OMS$196609</formula1>
    </dataValidation>
    <dataValidation type="list" allowBlank="1" showInputMessage="1" showErrorMessage="1" sqref="OWU196613:OWU196636">
      <formula1>項目!C17:$OWO$196609</formula1>
    </dataValidation>
    <dataValidation type="list" allowBlank="1" showInputMessage="1" showErrorMessage="1" sqref="PGQ196613:PGQ196636">
      <formula1>項目!C17:$PGK$196609</formula1>
    </dataValidation>
    <dataValidation type="list" allowBlank="1" showInputMessage="1" showErrorMessage="1" sqref="PQM196613:PQM196636">
      <formula1>項目!C17:$PQG$196609</formula1>
    </dataValidation>
    <dataValidation type="list" allowBlank="1" showInputMessage="1" showErrorMessage="1" sqref="QAI196613:QAI196636">
      <formula1>項目!C17:$QAC$196609</formula1>
    </dataValidation>
    <dataValidation type="list" allowBlank="1" showInputMessage="1" showErrorMessage="1" sqref="QKE196613:QKE196636">
      <formula1>項目!C17:$QJY$196609</formula1>
    </dataValidation>
    <dataValidation type="list" allowBlank="1" showInputMessage="1" showErrorMessage="1" sqref="QUA196613:QUA196636">
      <formula1>項目!C17:$QTU$196609</formula1>
    </dataValidation>
    <dataValidation type="list" allowBlank="1" showInputMessage="1" showErrorMessage="1" sqref="RDW196613:RDW196636">
      <formula1>項目!C17:$RDQ$196609</formula1>
    </dataValidation>
    <dataValidation type="list" allowBlank="1" showInputMessage="1" showErrorMessage="1" sqref="RNS196613:RNS196636">
      <formula1>項目!C17:$RNM$196609</formula1>
    </dataValidation>
    <dataValidation type="list" allowBlank="1" showInputMessage="1" showErrorMessage="1" sqref="RXO196613:RXO196636">
      <formula1>項目!C17:$RXI$196609</formula1>
    </dataValidation>
    <dataValidation type="list" allowBlank="1" showInputMessage="1" showErrorMessage="1" sqref="SHK196613:SHK196636">
      <formula1>項目!C17:$SHE$196609</formula1>
    </dataValidation>
    <dataValidation type="list" allowBlank="1" showInputMessage="1" showErrorMessage="1" sqref="SRG196613:SRG196636">
      <formula1>項目!C17:$SRA$196609</formula1>
    </dataValidation>
    <dataValidation type="list" allowBlank="1" showInputMessage="1" showErrorMessage="1" sqref="TBC196613:TBC196636">
      <formula1>項目!C17:$TAW$196609</formula1>
    </dataValidation>
    <dataValidation type="list" allowBlank="1" showInputMessage="1" showErrorMessage="1" sqref="TKY196613:TKY196636">
      <formula1>項目!C17:$TKS$196609</formula1>
    </dataValidation>
    <dataValidation type="list" allowBlank="1" showInputMessage="1" showErrorMessage="1" sqref="TUU196613:TUU196636">
      <formula1>項目!C17:$TUO$196609</formula1>
    </dataValidation>
    <dataValidation type="list" allowBlank="1" showInputMessage="1" showErrorMessage="1" sqref="UEQ196613:UEQ196636">
      <formula1>項目!C17:$UEK$196609</formula1>
    </dataValidation>
    <dataValidation type="list" allowBlank="1" showInputMessage="1" showErrorMessage="1" sqref="UOM196613:UOM196636">
      <formula1>項目!C17:$UOG$196609</formula1>
    </dataValidation>
    <dataValidation type="list" allowBlank="1" showInputMessage="1" showErrorMessage="1" sqref="UYI196613:UYI196636">
      <formula1>項目!C17:$UYC$196609</formula1>
    </dataValidation>
    <dataValidation type="list" allowBlank="1" showInputMessage="1" showErrorMessage="1" sqref="VIE196613:VIE196636">
      <formula1>項目!C17:$VHY$196609</formula1>
    </dataValidation>
    <dataValidation type="list" allowBlank="1" showInputMessage="1" showErrorMessage="1" sqref="VSA196613:VSA196636">
      <formula1>項目!C17:$VRU$196609</formula1>
    </dataValidation>
    <dataValidation type="list" allowBlank="1" showInputMessage="1" showErrorMessage="1" sqref="WBW196613:WBW196636">
      <formula1>項目!C17:$WBQ$196609</formula1>
    </dataValidation>
    <dataValidation type="list" allowBlank="1" showInputMessage="1" showErrorMessage="1" sqref="WLS196613:WLS196636">
      <formula1>項目!C17:$WLM$196609</formula1>
    </dataValidation>
    <dataValidation type="list" allowBlank="1" showInputMessage="1" showErrorMessage="1" sqref="WVO196613:WVO196636">
      <formula1>項目!C17:$WVI$196609</formula1>
    </dataValidation>
    <dataValidation type="list" allowBlank="1" showInputMessage="1" showErrorMessage="1" sqref="JC262149:JC262172">
      <formula1>項目!C17:$IW$262145</formula1>
    </dataValidation>
    <dataValidation type="list" allowBlank="1" showInputMessage="1" showErrorMessage="1" sqref="SY262149:SY262172">
      <formula1>項目!C17:$SS$262145</formula1>
    </dataValidation>
    <dataValidation type="list" allowBlank="1" showInputMessage="1" showErrorMessage="1" sqref="ACU262149:ACU262172">
      <formula1>項目!C17:$ACO$262145</formula1>
    </dataValidation>
    <dataValidation type="list" allowBlank="1" showInputMessage="1" showErrorMessage="1" sqref="AMQ262149:AMQ262172">
      <formula1>項目!C17:$AMK$262145</formula1>
    </dataValidation>
    <dataValidation type="list" allowBlank="1" showInputMessage="1" showErrorMessage="1" sqref="AWM262149:AWM262172">
      <formula1>項目!C17:$AWG$262145</formula1>
    </dataValidation>
    <dataValidation type="list" allowBlank="1" showInputMessage="1" showErrorMessage="1" sqref="BGI262149:BGI262172">
      <formula1>項目!C17:$BGC$262145</formula1>
    </dataValidation>
    <dataValidation type="list" allowBlank="1" showInputMessage="1" showErrorMessage="1" sqref="BQE262149:BQE262172">
      <formula1>項目!C17:$BPY$262145</formula1>
    </dataValidation>
    <dataValidation type="list" allowBlank="1" showInputMessage="1" showErrorMessage="1" sqref="CAA262149:CAA262172">
      <formula1>項目!C17:$BZU$262145</formula1>
    </dataValidation>
    <dataValidation type="list" allowBlank="1" showInputMessage="1" showErrorMessage="1" sqref="CJW262149:CJW262172">
      <formula1>項目!C17:$CJQ$262145</formula1>
    </dataValidation>
    <dataValidation type="list" allowBlank="1" showInputMessage="1" showErrorMessage="1" sqref="CTS262149:CTS262172">
      <formula1>項目!C17:$CTM$262145</formula1>
    </dataValidation>
    <dataValidation type="list" allowBlank="1" showInputMessage="1" showErrorMessage="1" sqref="DDO262149:DDO262172">
      <formula1>項目!C17:$DDI$262145</formula1>
    </dataValidation>
    <dataValidation type="list" allowBlank="1" showInputMessage="1" showErrorMessage="1" sqref="DNK262149:DNK262172">
      <formula1>項目!C17:$DNE$262145</formula1>
    </dataValidation>
    <dataValidation type="list" allowBlank="1" showInputMessage="1" showErrorMessage="1" sqref="DXG262149:DXG262172">
      <formula1>項目!C17:$DXA$262145</formula1>
    </dataValidation>
    <dataValidation type="list" allowBlank="1" showInputMessage="1" showErrorMessage="1" sqref="EHC262149:EHC262172">
      <formula1>項目!C17:$EGW$262145</formula1>
    </dataValidation>
    <dataValidation type="list" allowBlank="1" showInputMessage="1" showErrorMessage="1" sqref="EQY262149:EQY262172">
      <formula1>項目!C17:$EQS$262145</formula1>
    </dataValidation>
    <dataValidation type="list" allowBlank="1" showInputMessage="1" showErrorMessage="1" sqref="FAU262149:FAU262172">
      <formula1>項目!C17:$FAO$262145</formula1>
    </dataValidation>
    <dataValidation type="list" allowBlank="1" showInputMessage="1" showErrorMessage="1" sqref="FKQ262149:FKQ262172">
      <formula1>項目!C17:$FKK$262145</formula1>
    </dataValidation>
    <dataValidation type="list" allowBlank="1" showInputMessage="1" showErrorMessage="1" sqref="FUM262149:FUM262172">
      <formula1>項目!C17:$FUG$262145</formula1>
    </dataValidation>
    <dataValidation type="list" allowBlank="1" showInputMessage="1" showErrorMessage="1" sqref="GEI262149:GEI262172">
      <formula1>項目!C17:$GEC$262145</formula1>
    </dataValidation>
    <dataValidation type="list" allowBlank="1" showInputMessage="1" showErrorMessage="1" sqref="GOE262149:GOE262172">
      <formula1>項目!C17:$GNY$262145</formula1>
    </dataValidation>
    <dataValidation type="list" allowBlank="1" showInputMessage="1" showErrorMessage="1" sqref="GYA262149:GYA262172">
      <formula1>項目!C17:$GXU$262145</formula1>
    </dataValidation>
    <dataValidation type="list" allowBlank="1" showInputMessage="1" showErrorMessage="1" sqref="HHW262149:HHW262172">
      <formula1>項目!C17:$HHQ$262145</formula1>
    </dataValidation>
    <dataValidation type="list" allowBlank="1" showInputMessage="1" showErrorMessage="1" sqref="HRS262149:HRS262172">
      <formula1>項目!C17:$HRM$262145</formula1>
    </dataValidation>
    <dataValidation type="list" allowBlank="1" showInputMessage="1" showErrorMessage="1" sqref="IBO262149:IBO262172">
      <formula1>項目!C17:$IBI$262145</formula1>
    </dataValidation>
    <dataValidation type="list" allowBlank="1" showInputMessage="1" showErrorMessage="1" sqref="ILK262149:ILK262172">
      <formula1>項目!C17:$ILE$262145</formula1>
    </dataValidation>
    <dataValidation type="list" allowBlank="1" showInputMessage="1" showErrorMessage="1" sqref="IVG262149:IVG262172">
      <formula1>項目!C17:$IVA$262145</formula1>
    </dataValidation>
    <dataValidation type="list" allowBlank="1" showInputMessage="1" showErrorMessage="1" sqref="JFC262149:JFC262172">
      <formula1>項目!C17:$JEW$262145</formula1>
    </dataValidation>
    <dataValidation type="list" allowBlank="1" showInputMessage="1" showErrorMessage="1" sqref="JOY262149:JOY262172">
      <formula1>項目!C17:$JOS$262145</formula1>
    </dataValidation>
    <dataValidation type="list" allowBlank="1" showInputMessage="1" showErrorMessage="1" sqref="JYU262149:JYU262172">
      <formula1>項目!C17:$JYO$262145</formula1>
    </dataValidation>
    <dataValidation type="list" allowBlank="1" showInputMessage="1" showErrorMessage="1" sqref="KIQ262149:KIQ262172">
      <formula1>項目!C17:$KIK$262145</formula1>
    </dataValidation>
    <dataValidation type="list" allowBlank="1" showInputMessage="1" showErrorMessage="1" sqref="KSM262149:KSM262172">
      <formula1>項目!C17:$KSG$262145</formula1>
    </dataValidation>
    <dataValidation type="list" allowBlank="1" showInputMessage="1" showErrorMessage="1" sqref="LCI262149:LCI262172">
      <formula1>項目!C17:$LCC$262145</formula1>
    </dataValidation>
    <dataValidation type="list" allowBlank="1" showInputMessage="1" showErrorMessage="1" sqref="LME262149:LME262172">
      <formula1>項目!C17:$LLY$262145</formula1>
    </dataValidation>
    <dataValidation type="list" allowBlank="1" showInputMessage="1" showErrorMessage="1" sqref="LWA262149:LWA262172">
      <formula1>項目!C17:$LVU$262145</formula1>
    </dataValidation>
    <dataValidation type="list" allowBlank="1" showInputMessage="1" showErrorMessage="1" sqref="MFW262149:MFW262172">
      <formula1>項目!C17:$MFQ$262145</formula1>
    </dataValidation>
    <dataValidation type="list" allowBlank="1" showInputMessage="1" showErrorMessage="1" sqref="MPS262149:MPS262172">
      <formula1>項目!C17:$MPM$262145</formula1>
    </dataValidation>
    <dataValidation type="list" allowBlank="1" showInputMessage="1" showErrorMessage="1" sqref="MZO262149:MZO262172">
      <formula1>項目!C17:$MZI$262145</formula1>
    </dataValidation>
    <dataValidation type="list" allowBlank="1" showInputMessage="1" showErrorMessage="1" sqref="NJK262149:NJK262172">
      <formula1>項目!C17:$NJE$262145</formula1>
    </dataValidation>
    <dataValidation type="list" allowBlank="1" showInputMessage="1" showErrorMessage="1" sqref="NTG262149:NTG262172">
      <formula1>項目!C17:$NTA$262145</formula1>
    </dataValidation>
    <dataValidation type="list" allowBlank="1" showInputMessage="1" showErrorMessage="1" sqref="ODC262149:ODC262172">
      <formula1>項目!C17:$OCW$262145</formula1>
    </dataValidation>
    <dataValidation type="list" allowBlank="1" showInputMessage="1" showErrorMessage="1" sqref="OMY262149:OMY262172">
      <formula1>項目!C17:$OMS$262145</formula1>
    </dataValidation>
    <dataValidation type="list" allowBlank="1" showInputMessage="1" showErrorMessage="1" sqref="OWU262149:OWU262172">
      <formula1>項目!C17:$OWO$262145</formula1>
    </dataValidation>
    <dataValidation type="list" allowBlank="1" showInputMessage="1" showErrorMessage="1" sqref="PGQ262149:PGQ262172">
      <formula1>項目!C17:$PGK$262145</formula1>
    </dataValidation>
    <dataValidation type="list" allowBlank="1" showInputMessage="1" showErrorMessage="1" sqref="PQM262149:PQM262172">
      <formula1>項目!C17:$PQG$262145</formula1>
    </dataValidation>
    <dataValidation type="list" allowBlank="1" showInputMessage="1" showErrorMessage="1" sqref="QAI262149:QAI262172">
      <formula1>項目!C17:$QAC$262145</formula1>
    </dataValidation>
    <dataValidation type="list" allowBlank="1" showInputMessage="1" showErrorMessage="1" sqref="QKE262149:QKE262172">
      <formula1>項目!C17:$QJY$262145</formula1>
    </dataValidation>
    <dataValidation type="list" allowBlank="1" showInputMessage="1" showErrorMessage="1" sqref="QUA262149:QUA262172">
      <formula1>項目!C17:$QTU$262145</formula1>
    </dataValidation>
    <dataValidation type="list" allowBlank="1" showInputMessage="1" showErrorMessage="1" sqref="RDW262149:RDW262172">
      <formula1>項目!C17:$RDQ$262145</formula1>
    </dataValidation>
    <dataValidation type="list" allowBlank="1" showInputMessage="1" showErrorMessage="1" sqref="RNS262149:RNS262172">
      <formula1>項目!C17:$RNM$262145</formula1>
    </dataValidation>
    <dataValidation type="list" allowBlank="1" showInputMessage="1" showErrorMessage="1" sqref="RXO262149:RXO262172">
      <formula1>項目!C17:$RXI$262145</formula1>
    </dataValidation>
    <dataValidation type="list" allowBlank="1" showInputMessage="1" showErrorMessage="1" sqref="SHK262149:SHK262172">
      <formula1>項目!C17:$SHE$262145</formula1>
    </dataValidation>
    <dataValidation type="list" allowBlank="1" showInputMessage="1" showErrorMessage="1" sqref="SRG262149:SRG262172">
      <formula1>項目!C17:$SRA$262145</formula1>
    </dataValidation>
    <dataValidation type="list" allowBlank="1" showInputMessage="1" showErrorMessage="1" sqref="TBC262149:TBC262172">
      <formula1>項目!C17:$TAW$262145</formula1>
    </dataValidation>
    <dataValidation type="list" allowBlank="1" showInputMessage="1" showErrorMessage="1" sqref="TKY262149:TKY262172">
      <formula1>項目!C17:$TKS$262145</formula1>
    </dataValidation>
    <dataValidation type="list" allowBlank="1" showInputMessage="1" showErrorMessage="1" sqref="TUU262149:TUU262172">
      <formula1>項目!C17:$TUO$262145</formula1>
    </dataValidation>
    <dataValidation type="list" allowBlank="1" showInputMessage="1" showErrorMessage="1" sqref="UEQ262149:UEQ262172">
      <formula1>項目!C17:$UEK$262145</formula1>
    </dataValidation>
    <dataValidation type="list" allowBlank="1" showInputMessage="1" showErrorMessage="1" sqref="UOM262149:UOM262172">
      <formula1>項目!C17:$UOG$262145</formula1>
    </dataValidation>
    <dataValidation type="list" allowBlank="1" showInputMessage="1" showErrorMessage="1" sqref="UYI262149:UYI262172">
      <formula1>項目!C17:$UYC$262145</formula1>
    </dataValidation>
    <dataValidation type="list" allowBlank="1" showInputMessage="1" showErrorMessage="1" sqref="VIE262149:VIE262172">
      <formula1>項目!C17:$VHY$262145</formula1>
    </dataValidation>
    <dataValidation type="list" allowBlank="1" showInputMessage="1" showErrorMessage="1" sqref="VSA262149:VSA262172">
      <formula1>項目!C17:$VRU$262145</formula1>
    </dataValidation>
    <dataValidation type="list" allowBlank="1" showInputMessage="1" showErrorMessage="1" sqref="WBW262149:WBW262172">
      <formula1>項目!C17:$WBQ$262145</formula1>
    </dataValidation>
    <dataValidation type="list" allowBlank="1" showInputMessage="1" showErrorMessage="1" sqref="WLS262149:WLS262172">
      <formula1>項目!C17:$WLM$262145</formula1>
    </dataValidation>
    <dataValidation type="list" allowBlank="1" showInputMessage="1" showErrorMessage="1" sqref="WVO262149:WVO262172">
      <formula1>項目!C17:$WVI$262145</formula1>
    </dataValidation>
    <dataValidation type="list" allowBlank="1" showInputMessage="1" showErrorMessage="1" sqref="JC327685:JC327708">
      <formula1>項目!C17:$IW$327681</formula1>
    </dataValidation>
    <dataValidation type="list" allowBlank="1" showInputMessage="1" showErrorMessage="1" sqref="SY327685:SY327708">
      <formula1>項目!C17:$SS$327681</formula1>
    </dataValidation>
    <dataValidation type="list" allowBlank="1" showInputMessage="1" showErrorMessage="1" sqref="ACU327685:ACU327708">
      <formula1>項目!C17:$ACO$327681</formula1>
    </dataValidation>
    <dataValidation type="list" allowBlank="1" showInputMessage="1" showErrorMessage="1" sqref="AMQ327685:AMQ327708">
      <formula1>項目!C17:$AMK$327681</formula1>
    </dataValidation>
    <dataValidation type="list" allowBlank="1" showInputMessage="1" showErrorMessage="1" sqref="AWM327685:AWM327708">
      <formula1>項目!C17:$AWG$327681</formula1>
    </dataValidation>
    <dataValidation type="list" allowBlank="1" showInputMessage="1" showErrorMessage="1" sqref="BGI327685:BGI327708">
      <formula1>項目!C17:$BGC$327681</formula1>
    </dataValidation>
    <dataValidation type="list" allowBlank="1" showInputMessage="1" showErrorMessage="1" sqref="BQE327685:BQE327708">
      <formula1>項目!C17:$BPY$327681</formula1>
    </dataValidation>
    <dataValidation type="list" allowBlank="1" showInputMessage="1" showErrorMessage="1" sqref="CAA327685:CAA327708">
      <formula1>項目!C17:$BZU$327681</formula1>
    </dataValidation>
    <dataValidation type="list" allowBlank="1" showInputMessage="1" showErrorMessage="1" sqref="CJW327685:CJW327708">
      <formula1>項目!C17:$CJQ$327681</formula1>
    </dataValidation>
    <dataValidation type="list" allowBlank="1" showInputMessage="1" showErrorMessage="1" sqref="CTS327685:CTS327708">
      <formula1>項目!C17:$CTM$327681</formula1>
    </dataValidation>
    <dataValidation type="list" allowBlank="1" showInputMessage="1" showErrorMessage="1" sqref="DDO327685:DDO327708">
      <formula1>項目!C17:$DDI$327681</formula1>
    </dataValidation>
    <dataValidation type="list" allowBlank="1" showInputMessage="1" showErrorMessage="1" sqref="DNK327685:DNK327708">
      <formula1>項目!C17:$DNE$327681</formula1>
    </dataValidation>
    <dataValidation type="list" allowBlank="1" showInputMessage="1" showErrorMessage="1" sqref="DXG327685:DXG327708">
      <formula1>項目!C17:$DXA$327681</formula1>
    </dataValidation>
    <dataValidation type="list" allowBlank="1" showInputMessage="1" showErrorMessage="1" sqref="EHC327685:EHC327708">
      <formula1>項目!C17:$EGW$327681</formula1>
    </dataValidation>
    <dataValidation type="list" allowBlank="1" showInputMessage="1" showErrorMessage="1" sqref="EQY327685:EQY327708">
      <formula1>項目!C17:$EQS$327681</formula1>
    </dataValidation>
    <dataValidation type="list" allowBlank="1" showInputMessage="1" showErrorMessage="1" sqref="FAU327685:FAU327708">
      <formula1>項目!C17:$FAO$327681</formula1>
    </dataValidation>
    <dataValidation type="list" allowBlank="1" showInputMessage="1" showErrorMessage="1" sqref="FKQ327685:FKQ327708">
      <formula1>項目!C17:$FKK$327681</formula1>
    </dataValidation>
    <dataValidation type="list" allowBlank="1" showInputMessage="1" showErrorMessage="1" sqref="FUM327685:FUM327708">
      <formula1>項目!C17:$FUG$327681</formula1>
    </dataValidation>
    <dataValidation type="list" allowBlank="1" showInputMessage="1" showErrorMessage="1" sqref="GEI327685:GEI327708">
      <formula1>項目!C17:$GEC$327681</formula1>
    </dataValidation>
    <dataValidation type="list" allowBlank="1" showInputMessage="1" showErrorMessage="1" sqref="GOE327685:GOE327708">
      <formula1>項目!C17:$GNY$327681</formula1>
    </dataValidation>
    <dataValidation type="list" allowBlank="1" showInputMessage="1" showErrorMessage="1" sqref="GYA327685:GYA327708">
      <formula1>項目!C17:$GXU$327681</formula1>
    </dataValidation>
    <dataValidation type="list" allowBlank="1" showInputMessage="1" showErrorMessage="1" sqref="HHW327685:HHW327708">
      <formula1>項目!C17:$HHQ$327681</formula1>
    </dataValidation>
    <dataValidation type="list" allowBlank="1" showInputMessage="1" showErrorMessage="1" sqref="HRS327685:HRS327708">
      <formula1>項目!C17:$HRM$327681</formula1>
    </dataValidation>
    <dataValidation type="list" allowBlank="1" showInputMessage="1" showErrorMessage="1" sqref="IBO327685:IBO327708">
      <formula1>項目!C17:$IBI$327681</formula1>
    </dataValidation>
    <dataValidation type="list" allowBlank="1" showInputMessage="1" showErrorMessage="1" sqref="ILK327685:ILK327708">
      <formula1>項目!C17:$ILE$327681</formula1>
    </dataValidation>
    <dataValidation type="list" allowBlank="1" showInputMessage="1" showErrorMessage="1" sqref="IVG327685:IVG327708">
      <formula1>項目!C17:$IVA$327681</formula1>
    </dataValidation>
    <dataValidation type="list" allowBlank="1" showInputMessage="1" showErrorMessage="1" sqref="JFC327685:JFC327708">
      <formula1>項目!C17:$JEW$327681</formula1>
    </dataValidation>
    <dataValidation type="list" allowBlank="1" showInputMessage="1" showErrorMessage="1" sqref="JOY327685:JOY327708">
      <formula1>項目!C17:$JOS$327681</formula1>
    </dataValidation>
    <dataValidation type="list" allowBlank="1" showInputMessage="1" showErrorMessage="1" sqref="JYU327685:JYU327708">
      <formula1>項目!C17:$JYO$327681</formula1>
    </dataValidation>
    <dataValidation type="list" allowBlank="1" showInputMessage="1" showErrorMessage="1" sqref="KIQ327685:KIQ327708">
      <formula1>項目!C17:$KIK$327681</formula1>
    </dataValidation>
    <dataValidation type="list" allowBlank="1" showInputMessage="1" showErrorMessage="1" sqref="KSM327685:KSM327708">
      <formula1>項目!C17:$KSG$327681</formula1>
    </dataValidation>
    <dataValidation type="list" allowBlank="1" showInputMessage="1" showErrorMessage="1" sqref="LCI327685:LCI327708">
      <formula1>項目!C17:$LCC$327681</formula1>
    </dataValidation>
    <dataValidation type="list" allowBlank="1" showInputMessage="1" showErrorMessage="1" sqref="LME327685:LME327708">
      <formula1>項目!C17:$LLY$327681</formula1>
    </dataValidation>
    <dataValidation type="list" allowBlank="1" showInputMessage="1" showErrorMessage="1" sqref="LWA327685:LWA327708">
      <formula1>項目!C17:$LVU$327681</formula1>
    </dataValidation>
    <dataValidation type="list" allowBlank="1" showInputMessage="1" showErrorMessage="1" sqref="MFW327685:MFW327708">
      <formula1>項目!C17:$MFQ$327681</formula1>
    </dataValidation>
    <dataValidation type="list" allowBlank="1" showInputMessage="1" showErrorMessage="1" sqref="MPS327685:MPS327708">
      <formula1>項目!C17:$MPM$327681</formula1>
    </dataValidation>
    <dataValidation type="list" allowBlank="1" showInputMessage="1" showErrorMessage="1" sqref="MZO327685:MZO327708">
      <formula1>項目!C17:$MZI$327681</formula1>
    </dataValidation>
    <dataValidation type="list" allowBlank="1" showInputMessage="1" showErrorMessage="1" sqref="NJK327685:NJK327708">
      <formula1>項目!C17:$NJE$327681</formula1>
    </dataValidation>
    <dataValidation type="list" allowBlank="1" showInputMessage="1" showErrorMessage="1" sqref="NTG327685:NTG327708">
      <formula1>項目!C17:$NTA$327681</formula1>
    </dataValidation>
    <dataValidation type="list" allowBlank="1" showInputMessage="1" showErrorMessage="1" sqref="ODC327685:ODC327708">
      <formula1>項目!C17:$OCW$327681</formula1>
    </dataValidation>
    <dataValidation type="list" allowBlank="1" showInputMessage="1" showErrorMessage="1" sqref="OMY327685:OMY327708">
      <formula1>項目!C17:$OMS$327681</formula1>
    </dataValidation>
    <dataValidation type="list" allowBlank="1" showInputMessage="1" showErrorMessage="1" sqref="OWU327685:OWU327708">
      <formula1>項目!C17:$OWO$327681</formula1>
    </dataValidation>
    <dataValidation type="list" allowBlank="1" showInputMessage="1" showErrorMessage="1" sqref="PGQ327685:PGQ327708">
      <formula1>項目!C17:$PGK$327681</formula1>
    </dataValidation>
    <dataValidation type="list" allowBlank="1" showInputMessage="1" showErrorMessage="1" sqref="PQM327685:PQM327708">
      <formula1>項目!C17:$PQG$327681</formula1>
    </dataValidation>
    <dataValidation type="list" allowBlank="1" showInputMessage="1" showErrorMessage="1" sqref="QAI327685:QAI327708">
      <formula1>項目!C17:$QAC$327681</formula1>
    </dataValidation>
    <dataValidation type="list" allowBlank="1" showInputMessage="1" showErrorMessage="1" sqref="QKE327685:QKE327708">
      <formula1>項目!C17:$QJY$327681</formula1>
    </dataValidation>
    <dataValidation type="list" allowBlank="1" showInputMessage="1" showErrorMessage="1" sqref="QUA327685:QUA327708">
      <formula1>項目!C17:$QTU$327681</formula1>
    </dataValidation>
    <dataValidation type="list" allowBlank="1" showInputMessage="1" showErrorMessage="1" sqref="RDW327685:RDW327708">
      <formula1>項目!C17:$RDQ$327681</formula1>
    </dataValidation>
    <dataValidation type="list" allowBlank="1" showInputMessage="1" showErrorMessage="1" sqref="RNS327685:RNS327708">
      <formula1>項目!C17:$RNM$327681</formula1>
    </dataValidation>
    <dataValidation type="list" allowBlank="1" showInputMessage="1" showErrorMessage="1" sqref="RXO327685:RXO327708">
      <formula1>項目!C17:$RXI$327681</formula1>
    </dataValidation>
    <dataValidation type="list" allowBlank="1" showInputMessage="1" showErrorMessage="1" sqref="SHK327685:SHK327708">
      <formula1>項目!C17:$SHE$327681</formula1>
    </dataValidation>
    <dataValidation type="list" allowBlank="1" showInputMessage="1" showErrorMessage="1" sqref="SRG327685:SRG327708">
      <formula1>項目!C17:$SRA$327681</formula1>
    </dataValidation>
    <dataValidation type="list" allowBlank="1" showInputMessage="1" showErrorMessage="1" sqref="TBC327685:TBC327708">
      <formula1>項目!C17:$TAW$327681</formula1>
    </dataValidation>
    <dataValidation type="list" allowBlank="1" showInputMessage="1" showErrorMessage="1" sqref="TKY327685:TKY327708">
      <formula1>項目!C17:$TKS$327681</formula1>
    </dataValidation>
    <dataValidation type="list" allowBlank="1" showInputMessage="1" showErrorMessage="1" sqref="TUU327685:TUU327708">
      <formula1>項目!C17:$TUO$327681</formula1>
    </dataValidation>
    <dataValidation type="list" allowBlank="1" showInputMessage="1" showErrorMessage="1" sqref="UEQ327685:UEQ327708">
      <formula1>項目!C17:$UEK$327681</formula1>
    </dataValidation>
    <dataValidation type="list" allowBlank="1" showInputMessage="1" showErrorMessage="1" sqref="UOM327685:UOM327708">
      <formula1>項目!C17:$UOG$327681</formula1>
    </dataValidation>
    <dataValidation type="list" allowBlank="1" showInputMessage="1" showErrorMessage="1" sqref="UYI327685:UYI327708">
      <formula1>項目!C17:$UYC$327681</formula1>
    </dataValidation>
    <dataValidation type="list" allowBlank="1" showInputMessage="1" showErrorMessage="1" sqref="VIE327685:VIE327708">
      <formula1>項目!C17:$VHY$327681</formula1>
    </dataValidation>
    <dataValidation type="list" allowBlank="1" showInputMessage="1" showErrorMessage="1" sqref="VSA327685:VSA327708">
      <formula1>項目!C17:$VRU$327681</formula1>
    </dataValidation>
    <dataValidation type="list" allowBlank="1" showInputMessage="1" showErrorMessage="1" sqref="WBW327685:WBW327708">
      <formula1>項目!C17:$WBQ$327681</formula1>
    </dataValidation>
    <dataValidation type="list" allowBlank="1" showInputMessage="1" showErrorMessage="1" sqref="WLS327685:WLS327708">
      <formula1>項目!C17:$WLM$327681</formula1>
    </dataValidation>
    <dataValidation type="list" allowBlank="1" showInputMessage="1" showErrorMessage="1" sqref="WVO327685:WVO327708">
      <formula1>項目!C17:$WVI$327681</formula1>
    </dataValidation>
    <dataValidation type="list" allowBlank="1" showInputMessage="1" showErrorMessage="1" sqref="JC393221:JC393244">
      <formula1>項目!C17:$IW$393217</formula1>
    </dataValidation>
    <dataValidation type="list" allowBlank="1" showInputMessage="1" showErrorMessage="1" sqref="SY393221:SY393244">
      <formula1>項目!C17:$SS$393217</formula1>
    </dataValidation>
    <dataValidation type="list" allowBlank="1" showInputMessage="1" showErrorMessage="1" sqref="ACU393221:ACU393244">
      <formula1>項目!C17:$ACO$393217</formula1>
    </dataValidation>
    <dataValidation type="list" allowBlank="1" showInputMessage="1" showErrorMessage="1" sqref="AMQ393221:AMQ393244">
      <formula1>項目!C17:$AMK$393217</formula1>
    </dataValidation>
    <dataValidation type="list" allowBlank="1" showInputMessage="1" showErrorMessage="1" sqref="AWM393221:AWM393244">
      <formula1>項目!C17:$AWG$393217</formula1>
    </dataValidation>
    <dataValidation type="list" allowBlank="1" showInputMessage="1" showErrorMessage="1" sqref="BGI393221:BGI393244">
      <formula1>項目!C17:$BGC$393217</formula1>
    </dataValidation>
    <dataValidation type="list" allowBlank="1" showInputMessage="1" showErrorMessage="1" sqref="BQE393221:BQE393244">
      <formula1>項目!C17:$BPY$393217</formula1>
    </dataValidation>
    <dataValidation type="list" allowBlank="1" showInputMessage="1" showErrorMessage="1" sqref="CAA393221:CAA393244">
      <formula1>項目!C17:$BZU$393217</formula1>
    </dataValidation>
    <dataValidation type="list" allowBlank="1" showInputMessage="1" showErrorMessage="1" sqref="CJW393221:CJW393244">
      <formula1>項目!C17:$CJQ$393217</formula1>
    </dataValidation>
    <dataValidation type="list" allowBlank="1" showInputMessage="1" showErrorMessage="1" sqref="CTS393221:CTS393244">
      <formula1>項目!C17:$CTM$393217</formula1>
    </dataValidation>
    <dataValidation type="list" allowBlank="1" showInputMessage="1" showErrorMessage="1" sqref="DDO393221:DDO393244">
      <formula1>項目!C17:$DDI$393217</formula1>
    </dataValidation>
    <dataValidation type="list" allowBlank="1" showInputMessage="1" showErrorMessage="1" sqref="DNK393221:DNK393244">
      <formula1>項目!C17:$DNE$393217</formula1>
    </dataValidation>
    <dataValidation type="list" allowBlank="1" showInputMessage="1" showErrorMessage="1" sqref="DXG393221:DXG393244">
      <formula1>項目!C17:$DXA$393217</formula1>
    </dataValidation>
    <dataValidation type="list" allowBlank="1" showInputMessage="1" showErrorMessage="1" sqref="EHC393221:EHC393244">
      <formula1>項目!C17:$EGW$393217</formula1>
    </dataValidation>
    <dataValidation type="list" allowBlank="1" showInputMessage="1" showErrorMessage="1" sqref="EQY393221:EQY393244">
      <formula1>項目!C17:$EQS$393217</formula1>
    </dataValidation>
    <dataValidation type="list" allowBlank="1" showInputMessage="1" showErrorMessage="1" sqref="FAU393221:FAU393244">
      <formula1>項目!C17:$FAO$393217</formula1>
    </dataValidation>
    <dataValidation type="list" allowBlank="1" showInputMessage="1" showErrorMessage="1" sqref="FKQ393221:FKQ393244">
      <formula1>項目!C17:$FKK$393217</formula1>
    </dataValidation>
    <dataValidation type="list" allowBlank="1" showInputMessage="1" showErrorMessage="1" sqref="FUM393221:FUM393244">
      <formula1>項目!C17:$FUG$393217</formula1>
    </dataValidation>
    <dataValidation type="list" allowBlank="1" showInputMessage="1" showErrorMessage="1" sqref="GEI393221:GEI393244">
      <formula1>項目!C17:$GEC$393217</formula1>
    </dataValidation>
    <dataValidation type="list" allowBlank="1" showInputMessage="1" showErrorMessage="1" sqref="GOE393221:GOE393244">
      <formula1>項目!C17:$GNY$393217</formula1>
    </dataValidation>
    <dataValidation type="list" allowBlank="1" showInputMessage="1" showErrorMessage="1" sqref="GYA393221:GYA393244">
      <formula1>項目!C17:$GXU$393217</formula1>
    </dataValidation>
    <dataValidation type="list" allowBlank="1" showInputMessage="1" showErrorMessage="1" sqref="HHW393221:HHW393244">
      <formula1>項目!C17:$HHQ$393217</formula1>
    </dataValidation>
    <dataValidation type="list" allowBlank="1" showInputMessage="1" showErrorMessage="1" sqref="HRS393221:HRS393244">
      <formula1>項目!C17:$HRM$393217</formula1>
    </dataValidation>
    <dataValidation type="list" allowBlank="1" showInputMessage="1" showErrorMessage="1" sqref="IBO393221:IBO393244">
      <formula1>項目!C17:$IBI$393217</formula1>
    </dataValidation>
    <dataValidation type="list" allowBlank="1" showInputMessage="1" showErrorMessage="1" sqref="ILK393221:ILK393244">
      <formula1>項目!C17:$ILE$393217</formula1>
    </dataValidation>
    <dataValidation type="list" allowBlank="1" showInputMessage="1" showErrorMessage="1" sqref="IVG393221:IVG393244">
      <formula1>項目!C17:$IVA$393217</formula1>
    </dataValidation>
    <dataValidation type="list" allowBlank="1" showInputMessage="1" showErrorMessage="1" sqref="JFC393221:JFC393244">
      <formula1>項目!C17:$JEW$393217</formula1>
    </dataValidation>
    <dataValidation type="list" allowBlank="1" showInputMessage="1" showErrorMessage="1" sqref="JOY393221:JOY393244">
      <formula1>項目!C17:$JOS$393217</formula1>
    </dataValidation>
    <dataValidation type="list" allowBlank="1" showInputMessage="1" showErrorMessage="1" sqref="JYU393221:JYU393244">
      <formula1>項目!C17:$JYO$393217</formula1>
    </dataValidation>
    <dataValidation type="list" allowBlank="1" showInputMessage="1" showErrorMessage="1" sqref="KIQ393221:KIQ393244">
      <formula1>項目!C17:$KIK$393217</formula1>
    </dataValidation>
    <dataValidation type="list" allowBlank="1" showInputMessage="1" showErrorMessage="1" sqref="KSM393221:KSM393244">
      <formula1>項目!C17:$KSG$393217</formula1>
    </dataValidation>
    <dataValidation type="list" allowBlank="1" showInputMessage="1" showErrorMessage="1" sqref="LCI393221:LCI393244">
      <formula1>項目!C17:$LCC$393217</formula1>
    </dataValidation>
    <dataValidation type="list" allowBlank="1" showInputMessage="1" showErrorMessage="1" sqref="LME393221:LME393244">
      <formula1>項目!C17:$LLY$393217</formula1>
    </dataValidation>
    <dataValidation type="list" allowBlank="1" showInputMessage="1" showErrorMessage="1" sqref="LWA393221:LWA393244">
      <formula1>項目!C17:$LVU$393217</formula1>
    </dataValidation>
    <dataValidation type="list" allowBlank="1" showInputMessage="1" showErrorMessage="1" sqref="MFW393221:MFW393244">
      <formula1>項目!C17:$MFQ$393217</formula1>
    </dataValidation>
    <dataValidation type="list" allowBlank="1" showInputMessage="1" showErrorMessage="1" sqref="MPS393221:MPS393244">
      <formula1>項目!C17:$MPM$393217</formula1>
    </dataValidation>
    <dataValidation type="list" allowBlank="1" showInputMessage="1" showErrorMessage="1" sqref="MZO393221:MZO393244">
      <formula1>項目!C17:$MZI$393217</formula1>
    </dataValidation>
    <dataValidation type="list" allowBlank="1" showInputMessage="1" showErrorMessage="1" sqref="NJK393221:NJK393244">
      <formula1>項目!C17:$NJE$393217</formula1>
    </dataValidation>
    <dataValidation type="list" allowBlank="1" showInputMessage="1" showErrorMessage="1" sqref="NTG393221:NTG393244">
      <formula1>項目!C17:$NTA$393217</formula1>
    </dataValidation>
    <dataValidation type="list" allowBlank="1" showInputMessage="1" showErrorMessage="1" sqref="ODC393221:ODC393244">
      <formula1>項目!C17:$OCW$393217</formula1>
    </dataValidation>
    <dataValidation type="list" allowBlank="1" showInputMessage="1" showErrorMessage="1" sqref="OMY393221:OMY393244">
      <formula1>項目!C17:$OMS$393217</formula1>
    </dataValidation>
    <dataValidation type="list" allowBlank="1" showInputMessage="1" showErrorMessage="1" sqref="OWU393221:OWU393244">
      <formula1>項目!C17:$OWO$393217</formula1>
    </dataValidation>
    <dataValidation type="list" allowBlank="1" showInputMessage="1" showErrorMessage="1" sqref="PGQ393221:PGQ393244">
      <formula1>項目!C17:$PGK$393217</formula1>
    </dataValidation>
    <dataValidation type="list" allowBlank="1" showInputMessage="1" showErrorMessage="1" sqref="PQM393221:PQM393244">
      <formula1>項目!C17:$PQG$393217</formula1>
    </dataValidation>
    <dataValidation type="list" allowBlank="1" showInputMessage="1" showErrorMessage="1" sqref="QAI393221:QAI393244">
      <formula1>項目!C17:$QAC$393217</formula1>
    </dataValidation>
    <dataValidation type="list" allowBlank="1" showInputMessage="1" showErrorMessage="1" sqref="QKE393221:QKE393244">
      <formula1>項目!C17:$QJY$393217</formula1>
    </dataValidation>
    <dataValidation type="list" allowBlank="1" showInputMessage="1" showErrorMessage="1" sqref="QUA393221:QUA393244">
      <formula1>項目!C17:$QTU$393217</formula1>
    </dataValidation>
    <dataValidation type="list" allowBlank="1" showInputMessage="1" showErrorMessage="1" sqref="RDW393221:RDW393244">
      <formula1>項目!C17:$RDQ$393217</formula1>
    </dataValidation>
    <dataValidation type="list" allowBlank="1" showInputMessage="1" showErrorMessage="1" sqref="RNS393221:RNS393244">
      <formula1>項目!C17:$RNM$393217</formula1>
    </dataValidation>
    <dataValidation type="list" allowBlank="1" showInputMessage="1" showErrorMessage="1" sqref="RXO393221:RXO393244">
      <formula1>項目!C17:$RXI$393217</formula1>
    </dataValidation>
    <dataValidation type="list" allowBlank="1" showInputMessage="1" showErrorMessage="1" sqref="SHK393221:SHK393244">
      <formula1>項目!C17:$SHE$393217</formula1>
    </dataValidation>
    <dataValidation type="list" allowBlank="1" showInputMessage="1" showErrorMessage="1" sqref="SRG393221:SRG393244">
      <formula1>項目!C17:$SRA$393217</formula1>
    </dataValidation>
    <dataValidation type="list" allowBlank="1" showInputMessage="1" showErrorMessage="1" sqref="TBC393221:TBC393244">
      <formula1>項目!C17:$TAW$393217</formula1>
    </dataValidation>
    <dataValidation type="list" allowBlank="1" showInputMessage="1" showErrorMessage="1" sqref="TKY393221:TKY393244">
      <formula1>項目!C17:$TKS$393217</formula1>
    </dataValidation>
    <dataValidation type="list" allowBlank="1" showInputMessage="1" showErrorMessage="1" sqref="TUU393221:TUU393244">
      <formula1>項目!C17:$TUO$393217</formula1>
    </dataValidation>
    <dataValidation type="list" allowBlank="1" showInputMessage="1" showErrorMessage="1" sqref="UEQ393221:UEQ393244">
      <formula1>項目!C17:$UEK$393217</formula1>
    </dataValidation>
    <dataValidation type="list" allowBlank="1" showInputMessage="1" showErrorMessage="1" sqref="UOM393221:UOM393244">
      <formula1>項目!C17:$UOG$393217</formula1>
    </dataValidation>
    <dataValidation type="list" allowBlank="1" showInputMessage="1" showErrorMessage="1" sqref="UYI393221:UYI393244">
      <formula1>項目!C17:$UYC$393217</formula1>
    </dataValidation>
    <dataValidation type="list" allowBlank="1" showInputMessage="1" showErrorMessage="1" sqref="VIE393221:VIE393244">
      <formula1>項目!C17:$VHY$393217</formula1>
    </dataValidation>
    <dataValidation type="list" allowBlank="1" showInputMessage="1" showErrorMessage="1" sqref="VSA393221:VSA393244">
      <formula1>項目!C17:$VRU$393217</formula1>
    </dataValidation>
    <dataValidation type="list" allowBlank="1" showInputMessage="1" showErrorMessage="1" sqref="WBW393221:WBW393244">
      <formula1>項目!C17:$WBQ$393217</formula1>
    </dataValidation>
    <dataValidation type="list" allowBlank="1" showInputMessage="1" showErrorMessage="1" sqref="WLS393221:WLS393244">
      <formula1>項目!C17:$WLM$393217</formula1>
    </dataValidation>
    <dataValidation type="list" allowBlank="1" showInputMessage="1" showErrorMessage="1" sqref="WVO393221:WVO393244">
      <formula1>項目!C17:$WVI$393217</formula1>
    </dataValidation>
    <dataValidation type="list" allowBlank="1" showInputMessage="1" showErrorMessage="1" sqref="JC458757:JC458780">
      <formula1>項目!C17:$IW$458753</formula1>
    </dataValidation>
    <dataValidation type="list" allowBlank="1" showInputMessage="1" showErrorMessage="1" sqref="SY458757:SY458780">
      <formula1>項目!C17:$SS$458753</formula1>
    </dataValidation>
    <dataValidation type="list" allowBlank="1" showInputMessage="1" showErrorMessage="1" sqref="ACU458757:ACU458780">
      <formula1>項目!C17:$ACO$458753</formula1>
    </dataValidation>
    <dataValidation type="list" allowBlank="1" showInputMessage="1" showErrorMessage="1" sqref="AMQ458757:AMQ458780">
      <formula1>項目!C17:$AMK$458753</formula1>
    </dataValidation>
    <dataValidation type="list" allowBlank="1" showInputMessage="1" showErrorMessage="1" sqref="AWM458757:AWM458780">
      <formula1>項目!C17:$AWG$458753</formula1>
    </dataValidation>
    <dataValidation type="list" allowBlank="1" showInputMessage="1" showErrorMessage="1" sqref="BGI458757:BGI458780">
      <formula1>項目!C17:$BGC$458753</formula1>
    </dataValidation>
    <dataValidation type="list" allowBlank="1" showInputMessage="1" showErrorMessage="1" sqref="BQE458757:BQE458780">
      <formula1>項目!C17:$BPY$458753</formula1>
    </dataValidation>
    <dataValidation type="list" allowBlank="1" showInputMessage="1" showErrorMessage="1" sqref="CAA458757:CAA458780">
      <formula1>項目!C17:$BZU$458753</formula1>
    </dataValidation>
    <dataValidation type="list" allowBlank="1" showInputMessage="1" showErrorMessage="1" sqref="CJW458757:CJW458780">
      <formula1>項目!C17:$CJQ$458753</formula1>
    </dataValidation>
    <dataValidation type="list" allowBlank="1" showInputMessage="1" showErrorMessage="1" sqref="CTS458757:CTS458780">
      <formula1>項目!C17:$CTM$458753</formula1>
    </dataValidation>
    <dataValidation type="list" allowBlank="1" showInputMessage="1" showErrorMessage="1" sqref="DDO458757:DDO458780">
      <formula1>項目!C17:$DDI$458753</formula1>
    </dataValidation>
    <dataValidation type="list" allowBlank="1" showInputMessage="1" showErrorMessage="1" sqref="DNK458757:DNK458780">
      <formula1>項目!C17:$DNE$458753</formula1>
    </dataValidation>
    <dataValidation type="list" allowBlank="1" showInputMessage="1" showErrorMessage="1" sqref="DXG458757:DXG458780">
      <formula1>項目!C17:$DXA$458753</formula1>
    </dataValidation>
    <dataValidation type="list" allowBlank="1" showInputMessage="1" showErrorMessage="1" sqref="EHC458757:EHC458780">
      <formula1>項目!C17:$EGW$458753</formula1>
    </dataValidation>
    <dataValidation type="list" allowBlank="1" showInputMessage="1" showErrorMessage="1" sqref="EQY458757:EQY458780">
      <formula1>項目!C17:$EQS$458753</formula1>
    </dataValidation>
    <dataValidation type="list" allowBlank="1" showInputMessage="1" showErrorMessage="1" sqref="FAU458757:FAU458780">
      <formula1>項目!C17:$FAO$458753</formula1>
    </dataValidation>
    <dataValidation type="list" allowBlank="1" showInputMessage="1" showErrorMessage="1" sqref="FKQ458757:FKQ458780">
      <formula1>項目!C17:$FKK$458753</formula1>
    </dataValidation>
    <dataValidation type="list" allowBlank="1" showInputMessage="1" showErrorMessage="1" sqref="FUM458757:FUM458780">
      <formula1>項目!C17:$FUG$458753</formula1>
    </dataValidation>
    <dataValidation type="list" allowBlank="1" showInputMessage="1" showErrorMessage="1" sqref="GEI458757:GEI458780">
      <formula1>項目!C17:$GEC$458753</formula1>
    </dataValidation>
    <dataValidation type="list" allowBlank="1" showInputMessage="1" showErrorMessage="1" sqref="GOE458757:GOE458780">
      <formula1>項目!C17:$GNY$458753</formula1>
    </dataValidation>
    <dataValidation type="list" allowBlank="1" showInputMessage="1" showErrorMessage="1" sqref="GYA458757:GYA458780">
      <formula1>項目!C17:$GXU$458753</formula1>
    </dataValidation>
    <dataValidation type="list" allowBlank="1" showInputMessage="1" showErrorMessage="1" sqref="HHW458757:HHW458780">
      <formula1>項目!C17:$HHQ$458753</formula1>
    </dataValidation>
    <dataValidation type="list" allowBlank="1" showInputMessage="1" showErrorMessage="1" sqref="HRS458757:HRS458780">
      <formula1>項目!C17:$HRM$458753</formula1>
    </dataValidation>
    <dataValidation type="list" allowBlank="1" showInputMessage="1" showErrorMessage="1" sqref="IBO458757:IBO458780">
      <formula1>項目!C17:$IBI$458753</formula1>
    </dataValidation>
    <dataValidation type="list" allowBlank="1" showInputMessage="1" showErrorMessage="1" sqref="ILK458757:ILK458780">
      <formula1>項目!C17:$ILE$458753</formula1>
    </dataValidation>
    <dataValidation type="list" allowBlank="1" showInputMessage="1" showErrorMessage="1" sqref="IVG458757:IVG458780">
      <formula1>項目!C17:$IVA$458753</formula1>
    </dataValidation>
    <dataValidation type="list" allowBlank="1" showInputMessage="1" showErrorMessage="1" sqref="JFC458757:JFC458780">
      <formula1>項目!C17:$JEW$458753</formula1>
    </dataValidation>
    <dataValidation type="list" allowBlank="1" showInputMessage="1" showErrorMessage="1" sqref="JOY458757:JOY458780">
      <formula1>項目!C17:$JOS$458753</formula1>
    </dataValidation>
    <dataValidation type="list" allowBlank="1" showInputMessage="1" showErrorMessage="1" sqref="JYU458757:JYU458780">
      <formula1>項目!C17:$JYO$458753</formula1>
    </dataValidation>
    <dataValidation type="list" allowBlank="1" showInputMessage="1" showErrorMessage="1" sqref="KIQ458757:KIQ458780">
      <formula1>項目!C17:$KIK$458753</formula1>
    </dataValidation>
    <dataValidation type="list" allowBlank="1" showInputMessage="1" showErrorMessage="1" sqref="KSM458757:KSM458780">
      <formula1>項目!C17:$KSG$458753</formula1>
    </dataValidation>
    <dataValidation type="list" allowBlank="1" showInputMessage="1" showErrorMessage="1" sqref="LCI458757:LCI458780">
      <formula1>項目!C17:$LCC$458753</formula1>
    </dataValidation>
    <dataValidation type="list" allowBlank="1" showInputMessage="1" showErrorMessage="1" sqref="LME458757:LME458780">
      <formula1>項目!C17:$LLY$458753</formula1>
    </dataValidation>
    <dataValidation type="list" allowBlank="1" showInputMessage="1" showErrorMessage="1" sqref="LWA458757:LWA458780">
      <formula1>項目!C17:$LVU$458753</formula1>
    </dataValidation>
    <dataValidation type="list" allowBlank="1" showInputMessage="1" showErrorMessage="1" sqref="MFW458757:MFW458780">
      <formula1>項目!C17:$MFQ$458753</formula1>
    </dataValidation>
    <dataValidation type="list" allowBlank="1" showInputMessage="1" showErrorMessage="1" sqref="MPS458757:MPS458780">
      <formula1>項目!C17:$MPM$458753</formula1>
    </dataValidation>
    <dataValidation type="list" allowBlank="1" showInputMessage="1" showErrorMessage="1" sqref="MZO458757:MZO458780">
      <formula1>項目!C17:$MZI$458753</formula1>
    </dataValidation>
    <dataValidation type="list" allowBlank="1" showInputMessage="1" showErrorMessage="1" sqref="NJK458757:NJK458780">
      <formula1>項目!C17:$NJE$458753</formula1>
    </dataValidation>
    <dataValidation type="list" allowBlank="1" showInputMessage="1" showErrorMessage="1" sqref="NTG458757:NTG458780">
      <formula1>項目!C17:$NTA$458753</formula1>
    </dataValidation>
    <dataValidation type="list" allowBlank="1" showInputMessage="1" showErrorMessage="1" sqref="ODC458757:ODC458780">
      <formula1>項目!C17:$OCW$458753</formula1>
    </dataValidation>
    <dataValidation type="list" allowBlank="1" showInputMessage="1" showErrorMessage="1" sqref="OMY458757:OMY458780">
      <formula1>項目!C17:$OMS$458753</formula1>
    </dataValidation>
    <dataValidation type="list" allowBlank="1" showInputMessage="1" showErrorMessage="1" sqref="OWU458757:OWU458780">
      <formula1>項目!C17:$OWO$458753</formula1>
    </dataValidation>
    <dataValidation type="list" allowBlank="1" showInputMessage="1" showErrorMessage="1" sqref="PGQ458757:PGQ458780">
      <formula1>項目!C17:$PGK$458753</formula1>
    </dataValidation>
    <dataValidation type="list" allowBlank="1" showInputMessage="1" showErrorMessage="1" sqref="PQM458757:PQM458780">
      <formula1>項目!C17:$PQG$458753</formula1>
    </dataValidation>
    <dataValidation type="list" allowBlank="1" showInputMessage="1" showErrorMessage="1" sqref="QAI458757:QAI458780">
      <formula1>項目!C17:$QAC$458753</formula1>
    </dataValidation>
    <dataValidation type="list" allowBlank="1" showInputMessage="1" showErrorMessage="1" sqref="QKE458757:QKE458780">
      <formula1>項目!C17:$QJY$458753</formula1>
    </dataValidation>
    <dataValidation type="list" allowBlank="1" showInputMessage="1" showErrorMessage="1" sqref="QUA458757:QUA458780">
      <formula1>項目!C17:$QTU$458753</formula1>
    </dataValidation>
    <dataValidation type="list" allowBlank="1" showInputMessage="1" showErrorMessage="1" sqref="RDW458757:RDW458780">
      <formula1>項目!C17:$RDQ$458753</formula1>
    </dataValidation>
    <dataValidation type="list" allowBlank="1" showInputMessage="1" showErrorMessage="1" sqref="RNS458757:RNS458780">
      <formula1>項目!C17:$RNM$458753</formula1>
    </dataValidation>
    <dataValidation type="list" allowBlank="1" showInputMessage="1" showErrorMessage="1" sqref="RXO458757:RXO458780">
      <formula1>項目!C17:$RXI$458753</formula1>
    </dataValidation>
    <dataValidation type="list" allowBlank="1" showInputMessage="1" showErrorMessage="1" sqref="SHK458757:SHK458780">
      <formula1>項目!C17:$SHE$458753</formula1>
    </dataValidation>
    <dataValidation type="list" allowBlank="1" showInputMessage="1" showErrorMessage="1" sqref="SRG458757:SRG458780">
      <formula1>項目!C17:$SRA$458753</formula1>
    </dataValidation>
    <dataValidation type="list" allowBlank="1" showInputMessage="1" showErrorMessage="1" sqref="TBC458757:TBC458780">
      <formula1>項目!C17:$TAW$458753</formula1>
    </dataValidation>
    <dataValidation type="list" allowBlank="1" showInputMessage="1" showErrorMessage="1" sqref="TKY458757:TKY458780">
      <formula1>項目!C17:$TKS$458753</formula1>
    </dataValidation>
    <dataValidation type="list" allowBlank="1" showInputMessage="1" showErrorMessage="1" sqref="TUU458757:TUU458780">
      <formula1>項目!C17:$TUO$458753</formula1>
    </dataValidation>
    <dataValidation type="list" allowBlank="1" showInputMessage="1" showErrorMessage="1" sqref="UEQ458757:UEQ458780">
      <formula1>項目!C17:$UEK$458753</formula1>
    </dataValidation>
    <dataValidation type="list" allowBlank="1" showInputMessage="1" showErrorMessage="1" sqref="UOM458757:UOM458780">
      <formula1>項目!C17:$UOG$458753</formula1>
    </dataValidation>
    <dataValidation type="list" allowBlank="1" showInputMessage="1" showErrorMessage="1" sqref="UYI458757:UYI458780">
      <formula1>項目!C17:$UYC$458753</formula1>
    </dataValidation>
    <dataValidation type="list" allowBlank="1" showInputMessage="1" showErrorMessage="1" sqref="VIE458757:VIE458780">
      <formula1>項目!C17:$VHY$458753</formula1>
    </dataValidation>
    <dataValidation type="list" allowBlank="1" showInputMessage="1" showErrorMessage="1" sqref="VSA458757:VSA458780">
      <formula1>項目!C17:$VRU$458753</formula1>
    </dataValidation>
    <dataValidation type="list" allowBlank="1" showInputMessage="1" showErrorMessage="1" sqref="WBW458757:WBW458780">
      <formula1>項目!C17:$WBQ$458753</formula1>
    </dataValidation>
    <dataValidation type="list" allowBlank="1" showInputMessage="1" showErrorMessage="1" sqref="WLS458757:WLS458780">
      <formula1>項目!C17:$WLM$458753</formula1>
    </dataValidation>
    <dataValidation type="list" allowBlank="1" showInputMessage="1" showErrorMessage="1" sqref="WVO458757:WVO458780">
      <formula1>項目!C17:$WVI$458753</formula1>
    </dataValidation>
    <dataValidation type="list" allowBlank="1" showInputMessage="1" showErrorMessage="1" sqref="JC524293:JC524316">
      <formula1>項目!C17:$IW$524289</formula1>
    </dataValidation>
    <dataValidation type="list" allowBlank="1" showInputMessage="1" showErrorMessage="1" sqref="SY524293:SY524316">
      <formula1>項目!C17:$SS$524289</formula1>
    </dataValidation>
    <dataValidation type="list" allowBlank="1" showInputMessage="1" showErrorMessage="1" sqref="ACU524293:ACU524316">
      <formula1>項目!C17:$ACO$524289</formula1>
    </dataValidation>
    <dataValidation type="list" allowBlank="1" showInputMessage="1" showErrorMessage="1" sqref="AMQ524293:AMQ524316">
      <formula1>項目!C17:$AMK$524289</formula1>
    </dataValidation>
    <dataValidation type="list" allowBlank="1" showInputMessage="1" showErrorMessage="1" sqref="AWM524293:AWM524316">
      <formula1>項目!C17:$AWG$524289</formula1>
    </dataValidation>
    <dataValidation type="list" allowBlank="1" showInputMessage="1" showErrorMessage="1" sqref="BGI524293:BGI524316">
      <formula1>項目!C17:$BGC$524289</formula1>
    </dataValidation>
    <dataValidation type="list" allowBlank="1" showInputMessage="1" showErrorMessage="1" sqref="BQE524293:BQE524316">
      <formula1>項目!C17:$BPY$524289</formula1>
    </dataValidation>
    <dataValidation type="list" allowBlank="1" showInputMessage="1" showErrorMessage="1" sqref="CAA524293:CAA524316">
      <formula1>項目!C17:$BZU$524289</formula1>
    </dataValidation>
    <dataValidation type="list" allowBlank="1" showInputMessage="1" showErrorMessage="1" sqref="CJW524293:CJW524316">
      <formula1>項目!C17:$CJQ$524289</formula1>
    </dataValidation>
    <dataValidation type="list" allowBlank="1" showInputMessage="1" showErrorMessage="1" sqref="CTS524293:CTS524316">
      <formula1>項目!C17:$CTM$524289</formula1>
    </dataValidation>
    <dataValidation type="list" allowBlank="1" showInputMessage="1" showErrorMessage="1" sqref="DDO524293:DDO524316">
      <formula1>項目!C17:$DDI$524289</formula1>
    </dataValidation>
    <dataValidation type="list" allowBlank="1" showInputMessage="1" showErrorMessage="1" sqref="DNK524293:DNK524316">
      <formula1>項目!C17:$DNE$524289</formula1>
    </dataValidation>
    <dataValidation type="list" allowBlank="1" showInputMessage="1" showErrorMessage="1" sqref="DXG524293:DXG524316">
      <formula1>項目!C17:$DXA$524289</formula1>
    </dataValidation>
    <dataValidation type="list" allowBlank="1" showInputMessage="1" showErrorMessage="1" sqref="EHC524293:EHC524316">
      <formula1>項目!C17:$EGW$524289</formula1>
    </dataValidation>
    <dataValidation type="list" allowBlank="1" showInputMessage="1" showErrorMessage="1" sqref="EQY524293:EQY524316">
      <formula1>項目!C17:$EQS$524289</formula1>
    </dataValidation>
    <dataValidation type="list" allowBlank="1" showInputMessage="1" showErrorMessage="1" sqref="FAU524293:FAU524316">
      <formula1>項目!C17:$FAO$524289</formula1>
    </dataValidation>
    <dataValidation type="list" allowBlank="1" showInputMessage="1" showErrorMessage="1" sqref="FKQ524293:FKQ524316">
      <formula1>項目!C17:$FKK$524289</formula1>
    </dataValidation>
    <dataValidation type="list" allowBlank="1" showInputMessage="1" showErrorMessage="1" sqref="FUM524293:FUM524316">
      <formula1>項目!C17:$FUG$524289</formula1>
    </dataValidation>
    <dataValidation type="list" allowBlank="1" showInputMessage="1" showErrorMessage="1" sqref="GEI524293:GEI524316">
      <formula1>項目!C17:$GEC$524289</formula1>
    </dataValidation>
    <dataValidation type="list" allowBlank="1" showInputMessage="1" showErrorMessage="1" sqref="GOE524293:GOE524316">
      <formula1>項目!C17:$GNY$524289</formula1>
    </dataValidation>
    <dataValidation type="list" allowBlank="1" showInputMessage="1" showErrorMessage="1" sqref="GYA524293:GYA524316">
      <formula1>項目!C17:$GXU$524289</formula1>
    </dataValidation>
    <dataValidation type="list" allowBlank="1" showInputMessage="1" showErrorMessage="1" sqref="HHW524293:HHW524316">
      <formula1>項目!C17:$HHQ$524289</formula1>
    </dataValidation>
    <dataValidation type="list" allowBlank="1" showInputMessage="1" showErrorMessage="1" sqref="HRS524293:HRS524316">
      <formula1>項目!C17:$HRM$524289</formula1>
    </dataValidation>
    <dataValidation type="list" allowBlank="1" showInputMessage="1" showErrorMessage="1" sqref="IBO524293:IBO524316">
      <formula1>項目!C17:$IBI$524289</formula1>
    </dataValidation>
    <dataValidation type="list" allowBlank="1" showInputMessage="1" showErrorMessage="1" sqref="ILK524293:ILK524316">
      <formula1>項目!C17:$ILE$524289</formula1>
    </dataValidation>
    <dataValidation type="list" allowBlank="1" showInputMessage="1" showErrorMessage="1" sqref="IVG524293:IVG524316">
      <formula1>項目!C17:$IVA$524289</formula1>
    </dataValidation>
    <dataValidation type="list" allowBlank="1" showInputMessage="1" showErrorMessage="1" sqref="JFC524293:JFC524316">
      <formula1>項目!C17:$JEW$524289</formula1>
    </dataValidation>
    <dataValidation type="list" allowBlank="1" showInputMessage="1" showErrorMessage="1" sqref="JOY524293:JOY524316">
      <formula1>項目!C17:$JOS$524289</formula1>
    </dataValidation>
    <dataValidation type="list" allowBlank="1" showInputMessage="1" showErrorMessage="1" sqref="JYU524293:JYU524316">
      <formula1>項目!C17:$JYO$524289</formula1>
    </dataValidation>
    <dataValidation type="list" allowBlank="1" showInputMessage="1" showErrorMessage="1" sqref="KIQ524293:KIQ524316">
      <formula1>項目!C17:$KIK$524289</formula1>
    </dataValidation>
    <dataValidation type="list" allowBlank="1" showInputMessage="1" showErrorMessage="1" sqref="KSM524293:KSM524316">
      <formula1>項目!C17:$KSG$524289</formula1>
    </dataValidation>
    <dataValidation type="list" allowBlank="1" showInputMessage="1" showErrorMessage="1" sqref="LCI524293:LCI524316">
      <formula1>項目!C17:$LCC$524289</formula1>
    </dataValidation>
    <dataValidation type="list" allowBlank="1" showInputMessage="1" showErrorMessage="1" sqref="LME524293:LME524316">
      <formula1>項目!C17:$LLY$524289</formula1>
    </dataValidation>
    <dataValidation type="list" allowBlank="1" showInputMessage="1" showErrorMessage="1" sqref="LWA524293:LWA524316">
      <formula1>項目!C17:$LVU$524289</formula1>
    </dataValidation>
    <dataValidation type="list" allowBlank="1" showInputMessage="1" showErrorMessage="1" sqref="MFW524293:MFW524316">
      <formula1>項目!C17:$MFQ$524289</formula1>
    </dataValidation>
    <dataValidation type="list" allowBlank="1" showInputMessage="1" showErrorMessage="1" sqref="MPS524293:MPS524316">
      <formula1>項目!C17:$MPM$524289</formula1>
    </dataValidation>
    <dataValidation type="list" allowBlank="1" showInputMessage="1" showErrorMessage="1" sqref="MZO524293:MZO524316">
      <formula1>項目!C17:$MZI$524289</formula1>
    </dataValidation>
    <dataValidation type="list" allowBlank="1" showInputMessage="1" showErrorMessage="1" sqref="NJK524293:NJK524316">
      <formula1>項目!C17:$NJE$524289</formula1>
    </dataValidation>
    <dataValidation type="list" allowBlank="1" showInputMessage="1" showErrorMessage="1" sqref="NTG524293:NTG524316">
      <formula1>項目!C17:$NTA$524289</formula1>
    </dataValidation>
    <dataValidation type="list" allowBlank="1" showInputMessage="1" showErrorMessage="1" sqref="ODC524293:ODC524316">
      <formula1>項目!C17:$OCW$524289</formula1>
    </dataValidation>
    <dataValidation type="list" allowBlank="1" showInputMessage="1" showErrorMessage="1" sqref="OMY524293:OMY524316">
      <formula1>項目!C17:$OMS$524289</formula1>
    </dataValidation>
    <dataValidation type="list" allowBlank="1" showInputMessage="1" showErrorMessage="1" sqref="OWU524293:OWU524316">
      <formula1>項目!C17:$OWO$524289</formula1>
    </dataValidation>
    <dataValidation type="list" allowBlank="1" showInputMessage="1" showErrorMessage="1" sqref="PGQ524293:PGQ524316">
      <formula1>項目!C17:$PGK$524289</formula1>
    </dataValidation>
    <dataValidation type="list" allowBlank="1" showInputMessage="1" showErrorMessage="1" sqref="PQM524293:PQM524316">
      <formula1>項目!C17:$PQG$524289</formula1>
    </dataValidation>
    <dataValidation type="list" allowBlank="1" showInputMessage="1" showErrorMessage="1" sqref="QAI524293:QAI524316">
      <formula1>項目!C17:$QAC$524289</formula1>
    </dataValidation>
    <dataValidation type="list" allowBlank="1" showInputMessage="1" showErrorMessage="1" sqref="QKE524293:QKE524316">
      <formula1>項目!C17:$QJY$524289</formula1>
    </dataValidation>
    <dataValidation type="list" allowBlank="1" showInputMessage="1" showErrorMessage="1" sqref="QUA524293:QUA524316">
      <formula1>項目!C17:$QTU$524289</formula1>
    </dataValidation>
    <dataValidation type="list" allowBlank="1" showInputMessage="1" showErrorMessage="1" sqref="RDW524293:RDW524316">
      <formula1>項目!C17:$RDQ$524289</formula1>
    </dataValidation>
    <dataValidation type="list" allowBlank="1" showInputMessage="1" showErrorMessage="1" sqref="RNS524293:RNS524316">
      <formula1>項目!C17:$RNM$524289</formula1>
    </dataValidation>
    <dataValidation type="list" allowBlank="1" showInputMessage="1" showErrorMessage="1" sqref="RXO524293:RXO524316">
      <formula1>項目!C17:$RXI$524289</formula1>
    </dataValidation>
    <dataValidation type="list" allowBlank="1" showInputMessage="1" showErrorMessage="1" sqref="SHK524293:SHK524316">
      <formula1>項目!C17:$SHE$524289</formula1>
    </dataValidation>
    <dataValidation type="list" allowBlank="1" showInputMessage="1" showErrorMessage="1" sqref="SRG524293:SRG524316">
      <formula1>項目!C17:$SRA$524289</formula1>
    </dataValidation>
    <dataValidation type="list" allowBlank="1" showInputMessage="1" showErrorMessage="1" sqref="TBC524293:TBC524316">
      <formula1>項目!C17:$TAW$524289</formula1>
    </dataValidation>
    <dataValidation type="list" allowBlank="1" showInputMessage="1" showErrorMessage="1" sqref="TKY524293:TKY524316">
      <formula1>項目!C17:$TKS$524289</formula1>
    </dataValidation>
    <dataValidation type="list" allowBlank="1" showInputMessage="1" showErrorMessage="1" sqref="TUU524293:TUU524316">
      <formula1>項目!C17:$TUO$524289</formula1>
    </dataValidation>
    <dataValidation type="list" allowBlank="1" showInputMessage="1" showErrorMessage="1" sqref="UEQ524293:UEQ524316">
      <formula1>項目!C17:$UEK$524289</formula1>
    </dataValidation>
    <dataValidation type="list" allowBlank="1" showInputMessage="1" showErrorMessage="1" sqref="UOM524293:UOM524316">
      <formula1>項目!C17:$UOG$524289</formula1>
    </dataValidation>
    <dataValidation type="list" allowBlank="1" showInputMessage="1" showErrorMessage="1" sqref="UYI524293:UYI524316">
      <formula1>項目!C17:$UYC$524289</formula1>
    </dataValidation>
    <dataValidation type="list" allowBlank="1" showInputMessage="1" showErrorMessage="1" sqref="VIE524293:VIE524316">
      <formula1>項目!C17:$VHY$524289</formula1>
    </dataValidation>
    <dataValidation type="list" allowBlank="1" showInputMessage="1" showErrorMessage="1" sqref="VSA524293:VSA524316">
      <formula1>項目!C17:$VRU$524289</formula1>
    </dataValidation>
    <dataValidation type="list" allowBlank="1" showInputMessage="1" showErrorMessage="1" sqref="WBW524293:WBW524316">
      <formula1>項目!C17:$WBQ$524289</formula1>
    </dataValidation>
    <dataValidation type="list" allowBlank="1" showInputMessage="1" showErrorMessage="1" sqref="WLS524293:WLS524316">
      <formula1>項目!C17:$WLM$524289</formula1>
    </dataValidation>
    <dataValidation type="list" allowBlank="1" showInputMessage="1" showErrorMessage="1" sqref="WVO524293:WVO524316">
      <formula1>項目!C17:$WVI$524289</formula1>
    </dataValidation>
    <dataValidation type="list" allowBlank="1" showInputMessage="1" showErrorMessage="1" sqref="JC589829:JC589852">
      <formula1>項目!C17:$IW$589825</formula1>
    </dataValidation>
    <dataValidation type="list" allowBlank="1" showInputMessage="1" showErrorMessage="1" sqref="SY589829:SY589852">
      <formula1>項目!C17:$SS$589825</formula1>
    </dataValidation>
    <dataValidation type="list" allowBlank="1" showInputMessage="1" showErrorMessage="1" sqref="ACU589829:ACU589852">
      <formula1>項目!C17:$ACO$589825</formula1>
    </dataValidation>
    <dataValidation type="list" allowBlank="1" showInputMessage="1" showErrorMessage="1" sqref="AMQ589829:AMQ589852">
      <formula1>項目!C17:$AMK$589825</formula1>
    </dataValidation>
    <dataValidation type="list" allowBlank="1" showInputMessage="1" showErrorMessage="1" sqref="AWM589829:AWM589852">
      <formula1>項目!C17:$AWG$589825</formula1>
    </dataValidation>
    <dataValidation type="list" allowBlank="1" showInputMessage="1" showErrorMessage="1" sqref="BGI589829:BGI589852">
      <formula1>項目!C17:$BGC$589825</formula1>
    </dataValidation>
    <dataValidation type="list" allowBlank="1" showInputMessage="1" showErrorMessage="1" sqref="BQE589829:BQE589852">
      <formula1>項目!C17:$BPY$589825</formula1>
    </dataValidation>
    <dataValidation type="list" allowBlank="1" showInputMessage="1" showErrorMessage="1" sqref="CAA589829:CAA589852">
      <formula1>項目!C17:$BZU$589825</formula1>
    </dataValidation>
    <dataValidation type="list" allowBlank="1" showInputMessage="1" showErrorMessage="1" sqref="CJW589829:CJW589852">
      <formula1>項目!C17:$CJQ$589825</formula1>
    </dataValidation>
    <dataValidation type="list" allowBlank="1" showInputMessage="1" showErrorMessage="1" sqref="CTS589829:CTS589852">
      <formula1>項目!C17:$CTM$589825</formula1>
    </dataValidation>
    <dataValidation type="list" allowBlank="1" showInputMessage="1" showErrorMessage="1" sqref="DDO589829:DDO589852">
      <formula1>項目!C17:$DDI$589825</formula1>
    </dataValidation>
    <dataValidation type="list" allowBlank="1" showInputMessage="1" showErrorMessage="1" sqref="DNK589829:DNK589852">
      <formula1>項目!C17:$DNE$589825</formula1>
    </dataValidation>
    <dataValidation type="list" allowBlank="1" showInputMessage="1" showErrorMessage="1" sqref="DXG589829:DXG589852">
      <formula1>項目!C17:$DXA$589825</formula1>
    </dataValidation>
    <dataValidation type="list" allowBlank="1" showInputMessage="1" showErrorMessage="1" sqref="EHC589829:EHC589852">
      <formula1>項目!C17:$EGW$589825</formula1>
    </dataValidation>
    <dataValidation type="list" allowBlank="1" showInputMessage="1" showErrorMessage="1" sqref="EQY589829:EQY589852">
      <formula1>項目!C17:$EQS$589825</formula1>
    </dataValidation>
    <dataValidation type="list" allowBlank="1" showInputMessage="1" showErrorMessage="1" sqref="FAU589829:FAU589852">
      <formula1>項目!C17:$FAO$589825</formula1>
    </dataValidation>
    <dataValidation type="list" allowBlank="1" showInputMessage="1" showErrorMessage="1" sqref="FKQ589829:FKQ589852">
      <formula1>項目!C17:$FKK$589825</formula1>
    </dataValidation>
    <dataValidation type="list" allowBlank="1" showInputMessage="1" showErrorMessage="1" sqref="FUM589829:FUM589852">
      <formula1>項目!C17:$FUG$589825</formula1>
    </dataValidation>
    <dataValidation type="list" allowBlank="1" showInputMessage="1" showErrorMessage="1" sqref="GEI589829:GEI589852">
      <formula1>項目!C17:$GEC$589825</formula1>
    </dataValidation>
    <dataValidation type="list" allowBlank="1" showInputMessage="1" showErrorMessage="1" sqref="GOE589829:GOE589852">
      <formula1>項目!C17:$GNY$589825</formula1>
    </dataValidation>
    <dataValidation type="list" allowBlank="1" showInputMessage="1" showErrorMessage="1" sqref="GYA589829:GYA589852">
      <formula1>項目!C17:$GXU$589825</formula1>
    </dataValidation>
    <dataValidation type="list" allowBlank="1" showInputMessage="1" showErrorMessage="1" sqref="HHW589829:HHW589852">
      <formula1>項目!C17:$HHQ$589825</formula1>
    </dataValidation>
    <dataValidation type="list" allowBlank="1" showInputMessage="1" showErrorMessage="1" sqref="HRS589829:HRS589852">
      <formula1>項目!C17:$HRM$589825</formula1>
    </dataValidation>
    <dataValidation type="list" allowBlank="1" showInputMessage="1" showErrorMessage="1" sqref="IBO589829:IBO589852">
      <formula1>項目!C17:$IBI$589825</formula1>
    </dataValidation>
    <dataValidation type="list" allowBlank="1" showInputMessage="1" showErrorMessage="1" sqref="ILK589829:ILK589852">
      <formula1>項目!C17:$ILE$589825</formula1>
    </dataValidation>
    <dataValidation type="list" allowBlank="1" showInputMessage="1" showErrorMessage="1" sqref="IVG589829:IVG589852">
      <formula1>項目!C17:$IVA$589825</formula1>
    </dataValidation>
    <dataValidation type="list" allowBlank="1" showInputMessage="1" showErrorMessage="1" sqref="JFC589829:JFC589852">
      <formula1>項目!C17:$JEW$589825</formula1>
    </dataValidation>
    <dataValidation type="list" allowBlank="1" showInputMessage="1" showErrorMessage="1" sqref="JOY589829:JOY589852">
      <formula1>項目!C17:$JOS$589825</formula1>
    </dataValidation>
    <dataValidation type="list" allowBlank="1" showInputMessage="1" showErrorMessage="1" sqref="JYU589829:JYU589852">
      <formula1>項目!C17:$JYO$589825</formula1>
    </dataValidation>
    <dataValidation type="list" allowBlank="1" showInputMessage="1" showErrorMessage="1" sqref="KIQ589829:KIQ589852">
      <formula1>項目!C17:$KIK$589825</formula1>
    </dataValidation>
    <dataValidation type="list" allowBlank="1" showInputMessage="1" showErrorMessage="1" sqref="KSM589829:KSM589852">
      <formula1>項目!C17:$KSG$589825</formula1>
    </dataValidation>
    <dataValidation type="list" allowBlank="1" showInputMessage="1" showErrorMessage="1" sqref="LCI589829:LCI589852">
      <formula1>項目!C17:$LCC$589825</formula1>
    </dataValidation>
    <dataValidation type="list" allowBlank="1" showInputMessage="1" showErrorMessage="1" sqref="LME589829:LME589852">
      <formula1>項目!C17:$LLY$589825</formula1>
    </dataValidation>
    <dataValidation type="list" allowBlank="1" showInputMessage="1" showErrorMessage="1" sqref="LWA589829:LWA589852">
      <formula1>項目!C17:$LVU$589825</formula1>
    </dataValidation>
    <dataValidation type="list" allowBlank="1" showInputMessage="1" showErrorMessage="1" sqref="MFW589829:MFW589852">
      <formula1>項目!C17:$MFQ$589825</formula1>
    </dataValidation>
    <dataValidation type="list" allowBlank="1" showInputMessage="1" showErrorMessage="1" sqref="MPS589829:MPS589852">
      <formula1>項目!C17:$MPM$589825</formula1>
    </dataValidation>
    <dataValidation type="list" allowBlank="1" showInputMessage="1" showErrorMessage="1" sqref="MZO589829:MZO589852">
      <formula1>項目!C17:$MZI$589825</formula1>
    </dataValidation>
    <dataValidation type="list" allowBlank="1" showInputMessage="1" showErrorMessage="1" sqref="NJK589829:NJK589852">
      <formula1>項目!C17:$NJE$589825</formula1>
    </dataValidation>
    <dataValidation type="list" allowBlank="1" showInputMessage="1" showErrorMessage="1" sqref="NTG589829:NTG589852">
      <formula1>項目!C17:$NTA$589825</formula1>
    </dataValidation>
    <dataValidation type="list" allowBlank="1" showInputMessage="1" showErrorMessage="1" sqref="ODC589829:ODC589852">
      <formula1>項目!C17:$OCW$589825</formula1>
    </dataValidation>
    <dataValidation type="list" allowBlank="1" showInputMessage="1" showErrorMessage="1" sqref="OMY589829:OMY589852">
      <formula1>項目!C17:$OMS$589825</formula1>
    </dataValidation>
    <dataValidation type="list" allowBlank="1" showInputMessage="1" showErrorMessage="1" sqref="OWU589829:OWU589852">
      <formula1>項目!C17:$OWO$589825</formula1>
    </dataValidation>
    <dataValidation type="list" allowBlank="1" showInputMessage="1" showErrorMessage="1" sqref="PGQ589829:PGQ589852">
      <formula1>項目!C17:$PGK$589825</formula1>
    </dataValidation>
    <dataValidation type="list" allowBlank="1" showInputMessage="1" showErrorMessage="1" sqref="PQM589829:PQM589852">
      <formula1>項目!C17:$PQG$589825</formula1>
    </dataValidation>
    <dataValidation type="list" allowBlank="1" showInputMessage="1" showErrorMessage="1" sqref="QAI589829:QAI589852">
      <formula1>項目!C17:$QAC$589825</formula1>
    </dataValidation>
    <dataValidation type="list" allowBlank="1" showInputMessage="1" showErrorMessage="1" sqref="QKE589829:QKE589852">
      <formula1>項目!C17:$QJY$589825</formula1>
    </dataValidation>
    <dataValidation type="list" allowBlank="1" showInputMessage="1" showErrorMessage="1" sqref="QUA589829:QUA589852">
      <formula1>項目!C17:$QTU$589825</formula1>
    </dataValidation>
    <dataValidation type="list" allowBlank="1" showInputMessage="1" showErrorMessage="1" sqref="RDW589829:RDW589852">
      <formula1>項目!C17:$RDQ$589825</formula1>
    </dataValidation>
    <dataValidation type="list" allowBlank="1" showInputMessage="1" showErrorMessage="1" sqref="RNS589829:RNS589852">
      <formula1>項目!C17:$RNM$589825</formula1>
    </dataValidation>
    <dataValidation type="list" allowBlank="1" showInputMessage="1" showErrorMessage="1" sqref="RXO589829:RXO589852">
      <formula1>項目!C17:$RXI$589825</formula1>
    </dataValidation>
    <dataValidation type="list" allowBlank="1" showInputMessage="1" showErrorMessage="1" sqref="SHK589829:SHK589852">
      <formula1>項目!C17:$SHE$589825</formula1>
    </dataValidation>
    <dataValidation type="list" allowBlank="1" showInputMessage="1" showErrorMessage="1" sqref="SRG589829:SRG589852">
      <formula1>項目!C17:$SRA$589825</formula1>
    </dataValidation>
    <dataValidation type="list" allowBlank="1" showInputMessage="1" showErrorMessage="1" sqref="TBC589829:TBC589852">
      <formula1>項目!C17:$TAW$589825</formula1>
    </dataValidation>
    <dataValidation type="list" allowBlank="1" showInputMessage="1" showErrorMessage="1" sqref="TKY589829:TKY589852">
      <formula1>項目!C17:$TKS$589825</formula1>
    </dataValidation>
    <dataValidation type="list" allowBlank="1" showInputMessage="1" showErrorMessage="1" sqref="TUU589829:TUU589852">
      <formula1>項目!C17:$TUO$589825</formula1>
    </dataValidation>
    <dataValidation type="list" allowBlank="1" showInputMessage="1" showErrorMessage="1" sqref="UEQ589829:UEQ589852">
      <formula1>項目!C17:$UEK$589825</formula1>
    </dataValidation>
    <dataValidation type="list" allowBlank="1" showInputMessage="1" showErrorMessage="1" sqref="UOM589829:UOM589852">
      <formula1>項目!C17:$UOG$589825</formula1>
    </dataValidation>
    <dataValidation type="list" allowBlank="1" showInputMessage="1" showErrorMessage="1" sqref="UYI589829:UYI589852">
      <formula1>項目!C17:$UYC$589825</formula1>
    </dataValidation>
    <dataValidation type="list" allowBlank="1" showInputMessage="1" showErrorMessage="1" sqref="VIE589829:VIE589852">
      <formula1>項目!C17:$VHY$589825</formula1>
    </dataValidation>
    <dataValidation type="list" allowBlank="1" showInputMessage="1" showErrorMessage="1" sqref="VSA589829:VSA589852">
      <formula1>項目!C17:$VRU$589825</formula1>
    </dataValidation>
    <dataValidation type="list" allowBlank="1" showInputMessage="1" showErrorMessage="1" sqref="WBW589829:WBW589852">
      <formula1>項目!C17:$WBQ$589825</formula1>
    </dataValidation>
    <dataValidation type="list" allowBlank="1" showInputMessage="1" showErrorMessage="1" sqref="WLS589829:WLS589852">
      <formula1>項目!C17:$WLM$589825</formula1>
    </dataValidation>
    <dataValidation type="list" allowBlank="1" showInputMessage="1" showErrorMessage="1" sqref="WVO589829:WVO589852">
      <formula1>項目!C17:$WVI$589825</formula1>
    </dataValidation>
    <dataValidation type="list" allowBlank="1" showInputMessage="1" showErrorMessage="1" sqref="JC655365:JC655388">
      <formula1>項目!C17:$IW$655361</formula1>
    </dataValidation>
    <dataValidation type="list" allowBlank="1" showInputMessage="1" showErrorMessage="1" sqref="SY655365:SY655388">
      <formula1>項目!C17:$SS$655361</formula1>
    </dataValidation>
    <dataValidation type="list" allowBlank="1" showInputMessage="1" showErrorMessage="1" sqref="ACU655365:ACU655388">
      <formula1>項目!C17:$ACO$655361</formula1>
    </dataValidation>
    <dataValidation type="list" allowBlank="1" showInputMessage="1" showErrorMessage="1" sqref="AMQ655365:AMQ655388">
      <formula1>項目!C17:$AMK$655361</formula1>
    </dataValidation>
    <dataValidation type="list" allowBlank="1" showInputMessage="1" showErrorMessage="1" sqref="AWM655365:AWM655388">
      <formula1>項目!C17:$AWG$655361</formula1>
    </dataValidation>
    <dataValidation type="list" allowBlank="1" showInputMessage="1" showErrorMessage="1" sqref="BGI655365:BGI655388">
      <formula1>項目!C17:$BGC$655361</formula1>
    </dataValidation>
    <dataValidation type="list" allowBlank="1" showInputMessage="1" showErrorMessage="1" sqref="BQE655365:BQE655388">
      <formula1>項目!C17:$BPY$655361</formula1>
    </dataValidation>
    <dataValidation type="list" allowBlank="1" showInputMessage="1" showErrorMessage="1" sqref="CAA655365:CAA655388">
      <formula1>項目!C17:$BZU$655361</formula1>
    </dataValidation>
    <dataValidation type="list" allowBlank="1" showInputMessage="1" showErrorMessage="1" sqref="CJW655365:CJW655388">
      <formula1>項目!C17:$CJQ$655361</formula1>
    </dataValidation>
    <dataValidation type="list" allowBlank="1" showInputMessage="1" showErrorMessage="1" sqref="CTS655365:CTS655388">
      <formula1>項目!C17:$CTM$655361</formula1>
    </dataValidation>
    <dataValidation type="list" allowBlank="1" showInputMessage="1" showErrorMessage="1" sqref="DDO655365:DDO655388">
      <formula1>項目!C17:$DDI$655361</formula1>
    </dataValidation>
    <dataValidation type="list" allowBlank="1" showInputMessage="1" showErrorMessage="1" sqref="DNK655365:DNK655388">
      <formula1>項目!C17:$DNE$655361</formula1>
    </dataValidation>
    <dataValidation type="list" allowBlank="1" showInputMessage="1" showErrorMessage="1" sqref="DXG655365:DXG655388">
      <formula1>項目!C17:$DXA$655361</formula1>
    </dataValidation>
    <dataValidation type="list" allowBlank="1" showInputMessage="1" showErrorMessage="1" sqref="EHC655365:EHC655388">
      <formula1>項目!C17:$EGW$655361</formula1>
    </dataValidation>
    <dataValidation type="list" allowBlank="1" showInputMessage="1" showErrorMessage="1" sqref="EQY655365:EQY655388">
      <formula1>項目!C17:$EQS$655361</formula1>
    </dataValidation>
    <dataValidation type="list" allowBlank="1" showInputMessage="1" showErrorMessage="1" sqref="FAU655365:FAU655388">
      <formula1>項目!C17:$FAO$655361</formula1>
    </dataValidation>
    <dataValidation type="list" allowBlank="1" showInputMessage="1" showErrorMessage="1" sqref="FKQ655365:FKQ655388">
      <formula1>項目!C17:$FKK$655361</formula1>
    </dataValidation>
    <dataValidation type="list" allowBlank="1" showInputMessage="1" showErrorMessage="1" sqref="FUM655365:FUM655388">
      <formula1>項目!C17:$FUG$655361</formula1>
    </dataValidation>
    <dataValidation type="list" allowBlank="1" showInputMessage="1" showErrorMessage="1" sqref="GEI655365:GEI655388">
      <formula1>項目!C17:$GEC$655361</formula1>
    </dataValidation>
    <dataValidation type="list" allowBlank="1" showInputMessage="1" showErrorMessage="1" sqref="GOE655365:GOE655388">
      <formula1>項目!C17:$GNY$655361</formula1>
    </dataValidation>
    <dataValidation type="list" allowBlank="1" showInputMessage="1" showErrorMessage="1" sqref="GYA655365:GYA655388">
      <formula1>項目!C17:$GXU$655361</formula1>
    </dataValidation>
    <dataValidation type="list" allowBlank="1" showInputMessage="1" showErrorMessage="1" sqref="HHW655365:HHW655388">
      <formula1>項目!C17:$HHQ$655361</formula1>
    </dataValidation>
    <dataValidation type="list" allowBlank="1" showInputMessage="1" showErrorMessage="1" sqref="HRS655365:HRS655388">
      <formula1>項目!C17:$HRM$655361</formula1>
    </dataValidation>
    <dataValidation type="list" allowBlank="1" showInputMessage="1" showErrorMessage="1" sqref="IBO655365:IBO655388">
      <formula1>項目!C17:$IBI$655361</formula1>
    </dataValidation>
    <dataValidation type="list" allowBlank="1" showInputMessage="1" showErrorMessage="1" sqref="ILK655365:ILK655388">
      <formula1>項目!C17:$ILE$655361</formula1>
    </dataValidation>
    <dataValidation type="list" allowBlank="1" showInputMessage="1" showErrorMessage="1" sqref="IVG655365:IVG655388">
      <formula1>項目!C17:$IVA$655361</formula1>
    </dataValidation>
    <dataValidation type="list" allowBlank="1" showInputMessage="1" showErrorMessage="1" sqref="JFC655365:JFC655388">
      <formula1>項目!C17:$JEW$655361</formula1>
    </dataValidation>
    <dataValidation type="list" allowBlank="1" showInputMessage="1" showErrorMessage="1" sqref="JOY655365:JOY655388">
      <formula1>項目!C17:$JOS$655361</formula1>
    </dataValidation>
    <dataValidation type="list" allowBlank="1" showInputMessage="1" showErrorMessage="1" sqref="JYU655365:JYU655388">
      <formula1>項目!C17:$JYO$655361</formula1>
    </dataValidation>
    <dataValidation type="list" allowBlank="1" showInputMessage="1" showErrorMessage="1" sqref="KIQ655365:KIQ655388">
      <formula1>項目!C17:$KIK$655361</formula1>
    </dataValidation>
    <dataValidation type="list" allowBlank="1" showInputMessage="1" showErrorMessage="1" sqref="KSM655365:KSM655388">
      <formula1>項目!C17:$KSG$655361</formula1>
    </dataValidation>
    <dataValidation type="list" allowBlank="1" showInputMessage="1" showErrorMessage="1" sqref="LCI655365:LCI655388">
      <formula1>項目!C17:$LCC$655361</formula1>
    </dataValidation>
    <dataValidation type="list" allowBlank="1" showInputMessage="1" showErrorMessage="1" sqref="LME655365:LME655388">
      <formula1>項目!C17:$LLY$655361</formula1>
    </dataValidation>
    <dataValidation type="list" allowBlank="1" showInputMessage="1" showErrorMessage="1" sqref="LWA655365:LWA655388">
      <formula1>項目!C17:$LVU$655361</formula1>
    </dataValidation>
    <dataValidation type="list" allowBlank="1" showInputMessage="1" showErrorMessage="1" sqref="MFW655365:MFW655388">
      <formula1>項目!C17:$MFQ$655361</formula1>
    </dataValidation>
    <dataValidation type="list" allowBlank="1" showInputMessage="1" showErrorMessage="1" sqref="MPS655365:MPS655388">
      <formula1>項目!C17:$MPM$655361</formula1>
    </dataValidation>
    <dataValidation type="list" allowBlank="1" showInputMessage="1" showErrorMessage="1" sqref="MZO655365:MZO655388">
      <formula1>項目!C17:$MZI$655361</formula1>
    </dataValidation>
    <dataValidation type="list" allowBlank="1" showInputMessage="1" showErrorMessage="1" sqref="NJK655365:NJK655388">
      <formula1>項目!C17:$NJE$655361</formula1>
    </dataValidation>
    <dataValidation type="list" allowBlank="1" showInputMessage="1" showErrorMessage="1" sqref="NTG655365:NTG655388">
      <formula1>項目!C17:$NTA$655361</formula1>
    </dataValidation>
    <dataValidation type="list" allowBlank="1" showInputMessage="1" showErrorMessage="1" sqref="ODC655365:ODC655388">
      <formula1>項目!C17:$OCW$655361</formula1>
    </dataValidation>
    <dataValidation type="list" allowBlank="1" showInputMessage="1" showErrorMessage="1" sqref="OMY655365:OMY655388">
      <formula1>項目!C17:$OMS$655361</formula1>
    </dataValidation>
    <dataValidation type="list" allowBlank="1" showInputMessage="1" showErrorMessage="1" sqref="OWU655365:OWU655388">
      <formula1>項目!C17:$OWO$655361</formula1>
    </dataValidation>
    <dataValidation type="list" allowBlank="1" showInputMessage="1" showErrorMessage="1" sqref="PGQ655365:PGQ655388">
      <formula1>項目!C17:$PGK$655361</formula1>
    </dataValidation>
    <dataValidation type="list" allowBlank="1" showInputMessage="1" showErrorMessage="1" sqref="PQM655365:PQM655388">
      <formula1>項目!C17:$PQG$655361</formula1>
    </dataValidation>
    <dataValidation type="list" allowBlank="1" showInputMessage="1" showErrorMessage="1" sqref="QAI655365:QAI655388">
      <formula1>項目!C17:$QAC$655361</formula1>
    </dataValidation>
    <dataValidation type="list" allowBlank="1" showInputMessage="1" showErrorMessage="1" sqref="QKE655365:QKE655388">
      <formula1>項目!C17:$QJY$655361</formula1>
    </dataValidation>
    <dataValidation type="list" allowBlank="1" showInputMessage="1" showErrorMessage="1" sqref="QUA655365:QUA655388">
      <formula1>項目!C17:$QTU$655361</formula1>
    </dataValidation>
    <dataValidation type="list" allowBlank="1" showInputMessage="1" showErrorMessage="1" sqref="RDW655365:RDW655388">
      <formula1>項目!C17:$RDQ$655361</formula1>
    </dataValidation>
    <dataValidation type="list" allowBlank="1" showInputMessage="1" showErrorMessage="1" sqref="RNS655365:RNS655388">
      <formula1>項目!C17:$RNM$655361</formula1>
    </dataValidation>
    <dataValidation type="list" allowBlank="1" showInputMessage="1" showErrorMessage="1" sqref="RXO655365:RXO655388">
      <formula1>項目!C17:$RXI$655361</formula1>
    </dataValidation>
    <dataValidation type="list" allowBlank="1" showInputMessage="1" showErrorMessage="1" sqref="SHK655365:SHK655388">
      <formula1>項目!C17:$SHE$655361</formula1>
    </dataValidation>
    <dataValidation type="list" allowBlank="1" showInputMessage="1" showErrorMessage="1" sqref="SRG655365:SRG655388">
      <formula1>項目!C17:$SRA$655361</formula1>
    </dataValidation>
    <dataValidation type="list" allowBlank="1" showInputMessage="1" showErrorMessage="1" sqref="TBC655365:TBC655388">
      <formula1>項目!C17:$TAW$655361</formula1>
    </dataValidation>
    <dataValidation type="list" allowBlank="1" showInputMessage="1" showErrorMessage="1" sqref="TKY655365:TKY655388">
      <formula1>項目!C17:$TKS$655361</formula1>
    </dataValidation>
    <dataValidation type="list" allowBlank="1" showInputMessage="1" showErrorMessage="1" sqref="TUU655365:TUU655388">
      <formula1>項目!C17:$TUO$655361</formula1>
    </dataValidation>
    <dataValidation type="list" allowBlank="1" showInputMessage="1" showErrorMessage="1" sqref="UEQ655365:UEQ655388">
      <formula1>項目!C17:$UEK$655361</formula1>
    </dataValidation>
    <dataValidation type="list" allowBlank="1" showInputMessage="1" showErrorMessage="1" sqref="UOM655365:UOM655388">
      <formula1>項目!C17:$UOG$655361</formula1>
    </dataValidation>
    <dataValidation type="list" allowBlank="1" showInputMessage="1" showErrorMessage="1" sqref="UYI655365:UYI655388">
      <formula1>項目!C17:$UYC$655361</formula1>
    </dataValidation>
    <dataValidation type="list" allowBlank="1" showInputMessage="1" showErrorMessage="1" sqref="VIE655365:VIE655388">
      <formula1>項目!C17:$VHY$655361</formula1>
    </dataValidation>
    <dataValidation type="list" allowBlank="1" showInputMessage="1" showErrorMessage="1" sqref="VSA655365:VSA655388">
      <formula1>項目!C17:$VRU$655361</formula1>
    </dataValidation>
    <dataValidation type="list" allowBlank="1" showInputMessage="1" showErrorMessage="1" sqref="WBW655365:WBW655388">
      <formula1>項目!C17:$WBQ$655361</formula1>
    </dataValidation>
    <dataValidation type="list" allowBlank="1" showInputMessage="1" showErrorMessage="1" sqref="WLS655365:WLS655388">
      <formula1>項目!C17:$WLM$655361</formula1>
    </dataValidation>
    <dataValidation type="list" allowBlank="1" showInputMessage="1" showErrorMessage="1" sqref="WVO655365:WVO655388">
      <formula1>項目!C17:$WVI$655361</formula1>
    </dataValidation>
    <dataValidation type="list" allowBlank="1" showInputMessage="1" showErrorMessage="1" sqref="JC720901:JC720924">
      <formula1>項目!C17:$IW$720897</formula1>
    </dataValidation>
    <dataValidation type="list" allowBlank="1" showInputMessage="1" showErrorMessage="1" sqref="SY720901:SY720924">
      <formula1>項目!C17:$SS$720897</formula1>
    </dataValidation>
    <dataValidation type="list" allowBlank="1" showInputMessage="1" showErrorMessage="1" sqref="ACU720901:ACU720924">
      <formula1>項目!C17:$ACO$720897</formula1>
    </dataValidation>
    <dataValidation type="list" allowBlank="1" showInputMessage="1" showErrorMessage="1" sqref="AMQ720901:AMQ720924">
      <formula1>項目!C17:$AMK$720897</formula1>
    </dataValidation>
    <dataValidation type="list" allowBlank="1" showInputMessage="1" showErrorMessage="1" sqref="AWM720901:AWM720924">
      <formula1>項目!C17:$AWG$720897</formula1>
    </dataValidation>
    <dataValidation type="list" allowBlank="1" showInputMessage="1" showErrorMessage="1" sqref="BGI720901:BGI720924">
      <formula1>項目!C17:$BGC$720897</formula1>
    </dataValidation>
    <dataValidation type="list" allowBlank="1" showInputMessage="1" showErrorMessage="1" sqref="BQE720901:BQE720924">
      <formula1>項目!C17:$BPY$720897</formula1>
    </dataValidation>
    <dataValidation type="list" allowBlank="1" showInputMessage="1" showErrorMessage="1" sqref="CAA720901:CAA720924">
      <formula1>項目!C17:$BZU$720897</formula1>
    </dataValidation>
    <dataValidation type="list" allowBlank="1" showInputMessage="1" showErrorMessage="1" sqref="CJW720901:CJW720924">
      <formula1>項目!C17:$CJQ$720897</formula1>
    </dataValidation>
    <dataValidation type="list" allowBlank="1" showInputMessage="1" showErrorMessage="1" sqref="CTS720901:CTS720924">
      <formula1>項目!C17:$CTM$720897</formula1>
    </dataValidation>
    <dataValidation type="list" allowBlank="1" showInputMessage="1" showErrorMessage="1" sqref="DDO720901:DDO720924">
      <formula1>項目!C17:$DDI$720897</formula1>
    </dataValidation>
    <dataValidation type="list" allowBlank="1" showInputMessage="1" showErrorMessage="1" sqref="DNK720901:DNK720924">
      <formula1>項目!C17:$DNE$720897</formula1>
    </dataValidation>
    <dataValidation type="list" allowBlank="1" showInputMessage="1" showErrorMessage="1" sqref="DXG720901:DXG720924">
      <formula1>項目!C17:$DXA$720897</formula1>
    </dataValidation>
    <dataValidation type="list" allowBlank="1" showInputMessage="1" showErrorMessage="1" sqref="EHC720901:EHC720924">
      <formula1>項目!C17:$EGW$720897</formula1>
    </dataValidation>
    <dataValidation type="list" allowBlank="1" showInputMessage="1" showErrorMessage="1" sqref="EQY720901:EQY720924">
      <formula1>項目!C17:$EQS$720897</formula1>
    </dataValidation>
    <dataValidation type="list" allowBlank="1" showInputMessage="1" showErrorMessage="1" sqref="FAU720901:FAU720924">
      <formula1>項目!C17:$FAO$720897</formula1>
    </dataValidation>
    <dataValidation type="list" allowBlank="1" showInputMessage="1" showErrorMessage="1" sqref="FKQ720901:FKQ720924">
      <formula1>項目!C17:$FKK$720897</formula1>
    </dataValidation>
    <dataValidation type="list" allowBlank="1" showInputMessage="1" showErrorMessage="1" sqref="FUM720901:FUM720924">
      <formula1>項目!C17:$FUG$720897</formula1>
    </dataValidation>
    <dataValidation type="list" allowBlank="1" showInputMessage="1" showErrorMessage="1" sqref="GEI720901:GEI720924">
      <formula1>項目!C17:$GEC$720897</formula1>
    </dataValidation>
    <dataValidation type="list" allowBlank="1" showInputMessage="1" showErrorMessage="1" sqref="GOE720901:GOE720924">
      <formula1>項目!C17:$GNY$720897</formula1>
    </dataValidation>
    <dataValidation type="list" allowBlank="1" showInputMessage="1" showErrorMessage="1" sqref="GYA720901:GYA720924">
      <formula1>項目!C17:$GXU$720897</formula1>
    </dataValidation>
    <dataValidation type="list" allowBlank="1" showInputMessage="1" showErrorMessage="1" sqref="HHW720901:HHW720924">
      <formula1>項目!C17:$HHQ$720897</formula1>
    </dataValidation>
    <dataValidation type="list" allowBlank="1" showInputMessage="1" showErrorMessage="1" sqref="HRS720901:HRS720924">
      <formula1>項目!C17:$HRM$720897</formula1>
    </dataValidation>
    <dataValidation type="list" allowBlank="1" showInputMessage="1" showErrorMessage="1" sqref="IBO720901:IBO720924">
      <formula1>項目!C17:$IBI$720897</formula1>
    </dataValidation>
    <dataValidation type="list" allowBlank="1" showInputMessage="1" showErrorMessage="1" sqref="ILK720901:ILK720924">
      <formula1>項目!C17:$ILE$720897</formula1>
    </dataValidation>
    <dataValidation type="list" allowBlank="1" showInputMessage="1" showErrorMessage="1" sqref="IVG720901:IVG720924">
      <formula1>項目!C17:$IVA$720897</formula1>
    </dataValidation>
    <dataValidation type="list" allowBlank="1" showInputMessage="1" showErrorMessage="1" sqref="JFC720901:JFC720924">
      <formula1>項目!C17:$JEW$720897</formula1>
    </dataValidation>
    <dataValidation type="list" allowBlank="1" showInputMessage="1" showErrorMessage="1" sqref="JOY720901:JOY720924">
      <formula1>項目!C17:$JOS$720897</formula1>
    </dataValidation>
    <dataValidation type="list" allowBlank="1" showInputMessage="1" showErrorMessage="1" sqref="JYU720901:JYU720924">
      <formula1>項目!C17:$JYO$720897</formula1>
    </dataValidation>
    <dataValidation type="list" allowBlank="1" showInputMessage="1" showErrorMessage="1" sqref="KIQ720901:KIQ720924">
      <formula1>項目!C17:$KIK$720897</formula1>
    </dataValidation>
    <dataValidation type="list" allowBlank="1" showInputMessage="1" showErrorMessage="1" sqref="KSM720901:KSM720924">
      <formula1>項目!C17:$KSG$720897</formula1>
    </dataValidation>
    <dataValidation type="list" allowBlank="1" showInputMessage="1" showErrorMessage="1" sqref="LCI720901:LCI720924">
      <formula1>項目!C17:$LCC$720897</formula1>
    </dataValidation>
    <dataValidation type="list" allowBlank="1" showInputMessage="1" showErrorMessage="1" sqref="LME720901:LME720924">
      <formula1>項目!C17:$LLY$720897</formula1>
    </dataValidation>
    <dataValidation type="list" allowBlank="1" showInputMessage="1" showErrorMessage="1" sqref="LWA720901:LWA720924">
      <formula1>項目!C17:$LVU$720897</formula1>
    </dataValidation>
    <dataValidation type="list" allowBlank="1" showInputMessage="1" showErrorMessage="1" sqref="MFW720901:MFW720924">
      <formula1>項目!C17:$MFQ$720897</formula1>
    </dataValidation>
    <dataValidation type="list" allowBlank="1" showInputMessage="1" showErrorMessage="1" sqref="MPS720901:MPS720924">
      <formula1>項目!C17:$MPM$720897</formula1>
    </dataValidation>
    <dataValidation type="list" allowBlank="1" showInputMessage="1" showErrorMessage="1" sqref="MZO720901:MZO720924">
      <formula1>項目!C17:$MZI$720897</formula1>
    </dataValidation>
    <dataValidation type="list" allowBlank="1" showInputMessage="1" showErrorMessage="1" sqref="NJK720901:NJK720924">
      <formula1>項目!C17:$NJE$720897</formula1>
    </dataValidation>
    <dataValidation type="list" allowBlank="1" showInputMessage="1" showErrorMessage="1" sqref="NTG720901:NTG720924">
      <formula1>項目!C17:$NTA$720897</formula1>
    </dataValidation>
    <dataValidation type="list" allowBlank="1" showInputMessage="1" showErrorMessage="1" sqref="ODC720901:ODC720924">
      <formula1>項目!C17:$OCW$720897</formula1>
    </dataValidation>
    <dataValidation type="list" allowBlank="1" showInputMessage="1" showErrorMessage="1" sqref="OMY720901:OMY720924">
      <formula1>項目!C17:$OMS$720897</formula1>
    </dataValidation>
    <dataValidation type="list" allowBlank="1" showInputMessage="1" showErrorMessage="1" sqref="OWU720901:OWU720924">
      <formula1>項目!C17:$OWO$720897</formula1>
    </dataValidation>
    <dataValidation type="list" allowBlank="1" showInputMessage="1" showErrorMessage="1" sqref="PGQ720901:PGQ720924">
      <formula1>項目!C17:$PGK$720897</formula1>
    </dataValidation>
    <dataValidation type="list" allowBlank="1" showInputMessage="1" showErrorMessage="1" sqref="PQM720901:PQM720924">
      <formula1>項目!C17:$PQG$720897</formula1>
    </dataValidation>
    <dataValidation type="list" allowBlank="1" showInputMessage="1" showErrorMessage="1" sqref="QAI720901:QAI720924">
      <formula1>項目!C17:$QAC$720897</formula1>
    </dataValidation>
    <dataValidation type="list" allowBlank="1" showInputMessage="1" showErrorMessage="1" sqref="QKE720901:QKE720924">
      <formula1>項目!C17:$QJY$720897</formula1>
    </dataValidation>
    <dataValidation type="list" allowBlank="1" showInputMessage="1" showErrorMessage="1" sqref="QUA720901:QUA720924">
      <formula1>項目!C17:$QTU$720897</formula1>
    </dataValidation>
    <dataValidation type="list" allowBlank="1" showInputMessage="1" showErrorMessage="1" sqref="RDW720901:RDW720924">
      <formula1>項目!C17:$RDQ$720897</formula1>
    </dataValidation>
    <dataValidation type="list" allowBlank="1" showInputMessage="1" showErrorMessage="1" sqref="RNS720901:RNS720924">
      <formula1>項目!C17:$RNM$720897</formula1>
    </dataValidation>
    <dataValidation type="list" allowBlank="1" showInputMessage="1" showErrorMessage="1" sqref="RXO720901:RXO720924">
      <formula1>項目!C17:$RXI$720897</formula1>
    </dataValidation>
    <dataValidation type="list" allowBlank="1" showInputMessage="1" showErrorMessage="1" sqref="SHK720901:SHK720924">
      <formula1>項目!C17:$SHE$720897</formula1>
    </dataValidation>
    <dataValidation type="list" allowBlank="1" showInputMessage="1" showErrorMessage="1" sqref="SRG720901:SRG720924">
      <formula1>項目!C17:$SRA$720897</formula1>
    </dataValidation>
    <dataValidation type="list" allowBlank="1" showInputMessage="1" showErrorMessage="1" sqref="TBC720901:TBC720924">
      <formula1>項目!C17:$TAW$720897</formula1>
    </dataValidation>
    <dataValidation type="list" allowBlank="1" showInputMessage="1" showErrorMessage="1" sqref="TKY720901:TKY720924">
      <formula1>項目!C17:$TKS$720897</formula1>
    </dataValidation>
    <dataValidation type="list" allowBlank="1" showInputMessage="1" showErrorMessage="1" sqref="TUU720901:TUU720924">
      <formula1>項目!C17:$TUO$720897</formula1>
    </dataValidation>
    <dataValidation type="list" allowBlank="1" showInputMessage="1" showErrorMessage="1" sqref="UEQ720901:UEQ720924">
      <formula1>項目!C17:$UEK$720897</formula1>
    </dataValidation>
    <dataValidation type="list" allowBlank="1" showInputMessage="1" showErrorMessage="1" sqref="UOM720901:UOM720924">
      <formula1>項目!C17:$UOG$720897</formula1>
    </dataValidation>
    <dataValidation type="list" allowBlank="1" showInputMessage="1" showErrorMessage="1" sqref="UYI720901:UYI720924">
      <formula1>項目!C17:$UYC$720897</formula1>
    </dataValidation>
    <dataValidation type="list" allowBlank="1" showInputMessage="1" showErrorMessage="1" sqref="VIE720901:VIE720924">
      <formula1>項目!C17:$VHY$720897</formula1>
    </dataValidation>
    <dataValidation type="list" allowBlank="1" showInputMessage="1" showErrorMessage="1" sqref="VSA720901:VSA720924">
      <formula1>項目!C17:$VRU$720897</formula1>
    </dataValidation>
    <dataValidation type="list" allowBlank="1" showInputMessage="1" showErrorMessage="1" sqref="WBW720901:WBW720924">
      <formula1>項目!C17:$WBQ$720897</formula1>
    </dataValidation>
    <dataValidation type="list" allowBlank="1" showInputMessage="1" showErrorMessage="1" sqref="WLS720901:WLS720924">
      <formula1>項目!C17:$WLM$720897</formula1>
    </dataValidation>
    <dataValidation type="list" allowBlank="1" showInputMessage="1" showErrorMessage="1" sqref="WVO720901:WVO720924">
      <formula1>項目!C17:$WVI$720897</formula1>
    </dataValidation>
    <dataValidation type="list" allowBlank="1" showInputMessage="1" showErrorMessage="1" sqref="JC786437:JC786460">
      <formula1>項目!C17:$IW$786433</formula1>
    </dataValidation>
    <dataValidation type="list" allowBlank="1" showInputMessage="1" showErrorMessage="1" sqref="SY786437:SY786460">
      <formula1>項目!C17:$SS$786433</formula1>
    </dataValidation>
    <dataValidation type="list" allowBlank="1" showInputMessage="1" showErrorMessage="1" sqref="ACU786437:ACU786460">
      <formula1>項目!C17:$ACO$786433</formula1>
    </dataValidation>
    <dataValidation type="list" allowBlank="1" showInputMessage="1" showErrorMessage="1" sqref="AMQ786437:AMQ786460">
      <formula1>項目!C17:$AMK$786433</formula1>
    </dataValidation>
    <dataValidation type="list" allowBlank="1" showInputMessage="1" showErrorMessage="1" sqref="AWM786437:AWM786460">
      <formula1>項目!C17:$AWG$786433</formula1>
    </dataValidation>
    <dataValidation type="list" allowBlank="1" showInputMessage="1" showErrorMessage="1" sqref="BGI786437:BGI786460">
      <formula1>項目!C17:$BGC$786433</formula1>
    </dataValidation>
    <dataValidation type="list" allowBlank="1" showInputMessage="1" showErrorMessage="1" sqref="BQE786437:BQE786460">
      <formula1>項目!C17:$BPY$786433</formula1>
    </dataValidation>
    <dataValidation type="list" allowBlank="1" showInputMessage="1" showErrorMessage="1" sqref="CAA786437:CAA786460">
      <formula1>項目!C17:$BZU$786433</formula1>
    </dataValidation>
    <dataValidation type="list" allowBlank="1" showInputMessage="1" showErrorMessage="1" sqref="CJW786437:CJW786460">
      <formula1>項目!C17:$CJQ$786433</formula1>
    </dataValidation>
    <dataValidation type="list" allowBlank="1" showInputMessage="1" showErrorMessage="1" sqref="CTS786437:CTS786460">
      <formula1>項目!C17:$CTM$786433</formula1>
    </dataValidation>
    <dataValidation type="list" allowBlank="1" showInputMessage="1" showErrorMessage="1" sqref="DDO786437:DDO786460">
      <formula1>項目!C17:$DDI$786433</formula1>
    </dataValidation>
    <dataValidation type="list" allowBlank="1" showInputMessage="1" showErrorMessage="1" sqref="DNK786437:DNK786460">
      <formula1>項目!C17:$DNE$786433</formula1>
    </dataValidation>
    <dataValidation type="list" allowBlank="1" showInputMessage="1" showErrorMessage="1" sqref="DXG786437:DXG786460">
      <formula1>項目!C17:$DXA$786433</formula1>
    </dataValidation>
    <dataValidation type="list" allowBlank="1" showInputMessage="1" showErrorMessage="1" sqref="EHC786437:EHC786460">
      <formula1>項目!C17:$EGW$786433</formula1>
    </dataValidation>
    <dataValidation type="list" allowBlank="1" showInputMessage="1" showErrorMessage="1" sqref="EQY786437:EQY786460">
      <formula1>項目!C17:$EQS$786433</formula1>
    </dataValidation>
    <dataValidation type="list" allowBlank="1" showInputMessage="1" showErrorMessage="1" sqref="FAU786437:FAU786460">
      <formula1>項目!C17:$FAO$786433</formula1>
    </dataValidation>
    <dataValidation type="list" allowBlank="1" showInputMessage="1" showErrorMessage="1" sqref="FKQ786437:FKQ786460">
      <formula1>項目!C17:$FKK$786433</formula1>
    </dataValidation>
    <dataValidation type="list" allowBlank="1" showInputMessage="1" showErrorMessage="1" sqref="FUM786437:FUM786460">
      <formula1>項目!C17:$FUG$786433</formula1>
    </dataValidation>
    <dataValidation type="list" allowBlank="1" showInputMessage="1" showErrorMessage="1" sqref="GEI786437:GEI786460">
      <formula1>項目!C17:$GEC$786433</formula1>
    </dataValidation>
    <dataValidation type="list" allowBlank="1" showInputMessage="1" showErrorMessage="1" sqref="GOE786437:GOE786460">
      <formula1>項目!C17:$GNY$786433</formula1>
    </dataValidation>
    <dataValidation type="list" allowBlank="1" showInputMessage="1" showErrorMessage="1" sqref="GYA786437:GYA786460">
      <formula1>項目!C17:$GXU$786433</formula1>
    </dataValidation>
    <dataValidation type="list" allowBlank="1" showInputMessage="1" showErrorMessage="1" sqref="HHW786437:HHW786460">
      <formula1>項目!C17:$HHQ$786433</formula1>
    </dataValidation>
    <dataValidation type="list" allowBlank="1" showInputMessage="1" showErrorMessage="1" sqref="HRS786437:HRS786460">
      <formula1>項目!C17:$HRM$786433</formula1>
    </dataValidation>
    <dataValidation type="list" allowBlank="1" showInputMessage="1" showErrorMessage="1" sqref="IBO786437:IBO786460">
      <formula1>項目!C17:$IBI$786433</formula1>
    </dataValidation>
    <dataValidation type="list" allowBlank="1" showInputMessage="1" showErrorMessage="1" sqref="ILK786437:ILK786460">
      <formula1>項目!C17:$ILE$786433</formula1>
    </dataValidation>
    <dataValidation type="list" allowBlank="1" showInputMessage="1" showErrorMessage="1" sqref="IVG786437:IVG786460">
      <formula1>項目!C17:$IVA$786433</formula1>
    </dataValidation>
    <dataValidation type="list" allowBlank="1" showInputMessage="1" showErrorMessage="1" sqref="JFC786437:JFC786460">
      <formula1>項目!C17:$JEW$786433</formula1>
    </dataValidation>
    <dataValidation type="list" allowBlank="1" showInputMessage="1" showErrorMessage="1" sqref="JOY786437:JOY786460">
      <formula1>項目!C17:$JOS$786433</formula1>
    </dataValidation>
    <dataValidation type="list" allowBlank="1" showInputMessage="1" showErrorMessage="1" sqref="JYU786437:JYU786460">
      <formula1>項目!C17:$JYO$786433</formula1>
    </dataValidation>
    <dataValidation type="list" allowBlank="1" showInputMessage="1" showErrorMessage="1" sqref="KIQ786437:KIQ786460">
      <formula1>項目!C17:$KIK$786433</formula1>
    </dataValidation>
    <dataValidation type="list" allowBlank="1" showInputMessage="1" showErrorMessage="1" sqref="KSM786437:KSM786460">
      <formula1>項目!C17:$KSG$786433</formula1>
    </dataValidation>
    <dataValidation type="list" allowBlank="1" showInputMessage="1" showErrorMessage="1" sqref="LCI786437:LCI786460">
      <formula1>項目!C17:$LCC$786433</formula1>
    </dataValidation>
    <dataValidation type="list" allowBlank="1" showInputMessage="1" showErrorMessage="1" sqref="LME786437:LME786460">
      <formula1>項目!C17:$LLY$786433</formula1>
    </dataValidation>
    <dataValidation type="list" allowBlank="1" showInputMessage="1" showErrorMessage="1" sqref="LWA786437:LWA786460">
      <formula1>項目!C17:$LVU$786433</formula1>
    </dataValidation>
    <dataValidation type="list" allowBlank="1" showInputMessage="1" showErrorMessage="1" sqref="MFW786437:MFW786460">
      <formula1>項目!C17:$MFQ$786433</formula1>
    </dataValidation>
    <dataValidation type="list" allowBlank="1" showInputMessage="1" showErrorMessage="1" sqref="MPS786437:MPS786460">
      <formula1>項目!C17:$MPM$786433</formula1>
    </dataValidation>
    <dataValidation type="list" allowBlank="1" showInputMessage="1" showErrorMessage="1" sqref="MZO786437:MZO786460">
      <formula1>項目!C17:$MZI$786433</formula1>
    </dataValidation>
    <dataValidation type="list" allowBlank="1" showInputMessage="1" showErrorMessage="1" sqref="NJK786437:NJK786460">
      <formula1>項目!C17:$NJE$786433</formula1>
    </dataValidation>
    <dataValidation type="list" allowBlank="1" showInputMessage="1" showErrorMessage="1" sqref="NTG786437:NTG786460">
      <formula1>項目!C17:$NTA$786433</formula1>
    </dataValidation>
    <dataValidation type="list" allowBlank="1" showInputMessage="1" showErrorMessage="1" sqref="ODC786437:ODC786460">
      <formula1>項目!C17:$OCW$786433</formula1>
    </dataValidation>
    <dataValidation type="list" allowBlank="1" showInputMessage="1" showErrorMessage="1" sqref="OMY786437:OMY786460">
      <formula1>項目!C17:$OMS$786433</formula1>
    </dataValidation>
    <dataValidation type="list" allowBlank="1" showInputMessage="1" showErrorMessage="1" sqref="OWU786437:OWU786460">
      <formula1>項目!C17:$OWO$786433</formula1>
    </dataValidation>
    <dataValidation type="list" allowBlank="1" showInputMessage="1" showErrorMessage="1" sqref="PGQ786437:PGQ786460">
      <formula1>項目!C17:$PGK$786433</formula1>
    </dataValidation>
    <dataValidation type="list" allowBlank="1" showInputMessage="1" showErrorMessage="1" sqref="PQM786437:PQM786460">
      <formula1>項目!C17:$PQG$786433</formula1>
    </dataValidation>
    <dataValidation type="list" allowBlank="1" showInputMessage="1" showErrorMessage="1" sqref="QAI786437:QAI786460">
      <formula1>項目!C17:$QAC$786433</formula1>
    </dataValidation>
    <dataValidation type="list" allowBlank="1" showInputMessage="1" showErrorMessage="1" sqref="QKE786437:QKE786460">
      <formula1>項目!C17:$QJY$786433</formula1>
    </dataValidation>
    <dataValidation type="list" allowBlank="1" showInputMessage="1" showErrorMessage="1" sqref="QUA786437:QUA786460">
      <formula1>項目!C17:$QTU$786433</formula1>
    </dataValidation>
    <dataValidation type="list" allowBlank="1" showInputMessage="1" showErrorMessage="1" sqref="RDW786437:RDW786460">
      <formula1>項目!C17:$RDQ$786433</formula1>
    </dataValidation>
    <dataValidation type="list" allowBlank="1" showInputMessage="1" showErrorMessage="1" sqref="RNS786437:RNS786460">
      <formula1>項目!C17:$RNM$786433</formula1>
    </dataValidation>
    <dataValidation type="list" allowBlank="1" showInputMessage="1" showErrorMessage="1" sqref="RXO786437:RXO786460">
      <formula1>項目!C17:$RXI$786433</formula1>
    </dataValidation>
    <dataValidation type="list" allowBlank="1" showInputMessage="1" showErrorMessage="1" sqref="SHK786437:SHK786460">
      <formula1>項目!C17:$SHE$786433</formula1>
    </dataValidation>
    <dataValidation type="list" allowBlank="1" showInputMessage="1" showErrorMessage="1" sqref="SRG786437:SRG786460">
      <formula1>項目!C17:$SRA$786433</formula1>
    </dataValidation>
    <dataValidation type="list" allowBlank="1" showInputMessage="1" showErrorMessage="1" sqref="TBC786437:TBC786460">
      <formula1>項目!C17:$TAW$786433</formula1>
    </dataValidation>
    <dataValidation type="list" allowBlank="1" showInputMessage="1" showErrorMessage="1" sqref="TKY786437:TKY786460">
      <formula1>項目!C17:$TKS$786433</formula1>
    </dataValidation>
    <dataValidation type="list" allowBlank="1" showInputMessage="1" showErrorMessage="1" sqref="TUU786437:TUU786460">
      <formula1>項目!C17:$TUO$786433</formula1>
    </dataValidation>
    <dataValidation type="list" allowBlank="1" showInputMessage="1" showErrorMessage="1" sqref="UEQ786437:UEQ786460">
      <formula1>項目!C17:$UEK$786433</formula1>
    </dataValidation>
    <dataValidation type="list" allowBlank="1" showInputMessage="1" showErrorMessage="1" sqref="UOM786437:UOM786460">
      <formula1>項目!C17:$UOG$786433</formula1>
    </dataValidation>
    <dataValidation type="list" allowBlank="1" showInputMessage="1" showErrorMessage="1" sqref="UYI786437:UYI786460">
      <formula1>項目!C17:$UYC$786433</formula1>
    </dataValidation>
    <dataValidation type="list" allowBlank="1" showInputMessage="1" showErrorMessage="1" sqref="VIE786437:VIE786460">
      <formula1>項目!C17:$VHY$786433</formula1>
    </dataValidation>
    <dataValidation type="list" allowBlank="1" showInputMessage="1" showErrorMessage="1" sqref="VSA786437:VSA786460">
      <formula1>項目!C17:$VRU$786433</formula1>
    </dataValidation>
    <dataValidation type="list" allowBlank="1" showInputMessage="1" showErrorMessage="1" sqref="WBW786437:WBW786460">
      <formula1>項目!C17:$WBQ$786433</formula1>
    </dataValidation>
    <dataValidation type="list" allowBlank="1" showInputMessage="1" showErrorMessage="1" sqref="WLS786437:WLS786460">
      <formula1>項目!C17:$WLM$786433</formula1>
    </dataValidation>
    <dataValidation type="list" allowBlank="1" showInputMessage="1" showErrorMessage="1" sqref="WVO786437:WVO786460">
      <formula1>項目!C17:$WVI$786433</formula1>
    </dataValidation>
    <dataValidation type="list" allowBlank="1" showInputMessage="1" showErrorMessage="1" sqref="JC851973:JC851996">
      <formula1>項目!C17:$IW$851969</formula1>
    </dataValidation>
    <dataValidation type="list" allowBlank="1" showInputMessage="1" showErrorMessage="1" sqref="SY851973:SY851996">
      <formula1>項目!C17:$SS$851969</formula1>
    </dataValidation>
    <dataValidation type="list" allowBlank="1" showInputMessage="1" showErrorMessage="1" sqref="ACU851973:ACU851996">
      <formula1>項目!C17:$ACO$851969</formula1>
    </dataValidation>
    <dataValidation type="list" allowBlank="1" showInputMessage="1" showErrorMessage="1" sqref="AMQ851973:AMQ851996">
      <formula1>項目!C17:$AMK$851969</formula1>
    </dataValidation>
    <dataValidation type="list" allowBlank="1" showInputMessage="1" showErrorMessage="1" sqref="AWM851973:AWM851996">
      <formula1>項目!C17:$AWG$851969</formula1>
    </dataValidation>
    <dataValidation type="list" allowBlank="1" showInputMessage="1" showErrorMessage="1" sqref="BGI851973:BGI851996">
      <formula1>項目!C17:$BGC$851969</formula1>
    </dataValidation>
    <dataValidation type="list" allowBlank="1" showInputMessage="1" showErrorMessage="1" sqref="BQE851973:BQE851996">
      <formula1>項目!C17:$BPY$851969</formula1>
    </dataValidation>
    <dataValidation type="list" allowBlank="1" showInputMessage="1" showErrorMessage="1" sqref="CAA851973:CAA851996">
      <formula1>項目!C17:$BZU$851969</formula1>
    </dataValidation>
    <dataValidation type="list" allowBlank="1" showInputMessage="1" showErrorMessage="1" sqref="CJW851973:CJW851996">
      <formula1>項目!C17:$CJQ$851969</formula1>
    </dataValidation>
    <dataValidation type="list" allowBlank="1" showInputMessage="1" showErrorMessage="1" sqref="CTS851973:CTS851996">
      <formula1>項目!C17:$CTM$851969</formula1>
    </dataValidation>
    <dataValidation type="list" allowBlank="1" showInputMessage="1" showErrorMessage="1" sqref="DDO851973:DDO851996">
      <formula1>項目!C17:$DDI$851969</formula1>
    </dataValidation>
    <dataValidation type="list" allowBlank="1" showInputMessage="1" showErrorMessage="1" sqref="DNK851973:DNK851996">
      <formula1>項目!C17:$DNE$851969</formula1>
    </dataValidation>
    <dataValidation type="list" allowBlank="1" showInputMessage="1" showErrorMessage="1" sqref="DXG851973:DXG851996">
      <formula1>項目!C17:$DXA$851969</formula1>
    </dataValidation>
    <dataValidation type="list" allowBlank="1" showInputMessage="1" showErrorMessage="1" sqref="EHC851973:EHC851996">
      <formula1>項目!C17:$EGW$851969</formula1>
    </dataValidation>
    <dataValidation type="list" allowBlank="1" showInputMessage="1" showErrorMessage="1" sqref="EQY851973:EQY851996">
      <formula1>項目!C17:$EQS$851969</formula1>
    </dataValidation>
    <dataValidation type="list" allowBlank="1" showInputMessage="1" showErrorMessage="1" sqref="FAU851973:FAU851996">
      <formula1>項目!C17:$FAO$851969</formula1>
    </dataValidation>
    <dataValidation type="list" allowBlank="1" showInputMessage="1" showErrorMessage="1" sqref="FKQ851973:FKQ851996">
      <formula1>項目!C17:$FKK$851969</formula1>
    </dataValidation>
    <dataValidation type="list" allowBlank="1" showInputMessage="1" showErrorMessage="1" sqref="FUM851973:FUM851996">
      <formula1>項目!C17:$FUG$851969</formula1>
    </dataValidation>
    <dataValidation type="list" allowBlank="1" showInputMessage="1" showErrorMessage="1" sqref="GEI851973:GEI851996">
      <formula1>項目!C17:$GEC$851969</formula1>
    </dataValidation>
    <dataValidation type="list" allowBlank="1" showInputMessage="1" showErrorMessage="1" sqref="GOE851973:GOE851996">
      <formula1>項目!C17:$GNY$851969</formula1>
    </dataValidation>
    <dataValidation type="list" allowBlank="1" showInputMessage="1" showErrorMessage="1" sqref="GYA851973:GYA851996">
      <formula1>項目!C17:$GXU$851969</formula1>
    </dataValidation>
    <dataValidation type="list" allowBlank="1" showInputMessage="1" showErrorMessage="1" sqref="HHW851973:HHW851996">
      <formula1>項目!C17:$HHQ$851969</formula1>
    </dataValidation>
    <dataValidation type="list" allowBlank="1" showInputMessage="1" showErrorMessage="1" sqref="HRS851973:HRS851996">
      <formula1>項目!C17:$HRM$851969</formula1>
    </dataValidation>
    <dataValidation type="list" allowBlank="1" showInputMessage="1" showErrorMessage="1" sqref="IBO851973:IBO851996">
      <formula1>項目!C17:$IBI$851969</formula1>
    </dataValidation>
    <dataValidation type="list" allowBlank="1" showInputMessage="1" showErrorMessage="1" sqref="ILK851973:ILK851996">
      <formula1>項目!C17:$ILE$851969</formula1>
    </dataValidation>
    <dataValidation type="list" allowBlank="1" showInputMessage="1" showErrorMessage="1" sqref="IVG851973:IVG851996">
      <formula1>項目!C17:$IVA$851969</formula1>
    </dataValidation>
    <dataValidation type="list" allowBlank="1" showInputMessage="1" showErrorMessage="1" sqref="JFC851973:JFC851996">
      <formula1>項目!C17:$JEW$851969</formula1>
    </dataValidation>
    <dataValidation type="list" allowBlank="1" showInputMessage="1" showErrorMessage="1" sqref="JOY851973:JOY851996">
      <formula1>項目!C17:$JOS$851969</formula1>
    </dataValidation>
    <dataValidation type="list" allowBlank="1" showInputMessage="1" showErrorMessage="1" sqref="JYU851973:JYU851996">
      <formula1>項目!C17:$JYO$851969</formula1>
    </dataValidation>
    <dataValidation type="list" allowBlank="1" showInputMessage="1" showErrorMessage="1" sqref="KIQ851973:KIQ851996">
      <formula1>項目!C17:$KIK$851969</formula1>
    </dataValidation>
    <dataValidation type="list" allowBlank="1" showInputMessage="1" showErrorMessage="1" sqref="KSM851973:KSM851996">
      <formula1>項目!C17:$KSG$851969</formula1>
    </dataValidation>
    <dataValidation type="list" allowBlank="1" showInputMessage="1" showErrorMessage="1" sqref="LCI851973:LCI851996">
      <formula1>項目!C17:$LCC$851969</formula1>
    </dataValidation>
    <dataValidation type="list" allowBlank="1" showInputMessage="1" showErrorMessage="1" sqref="LME851973:LME851996">
      <formula1>項目!C17:$LLY$851969</formula1>
    </dataValidation>
    <dataValidation type="list" allowBlank="1" showInputMessage="1" showErrorMessage="1" sqref="LWA851973:LWA851996">
      <formula1>項目!C17:$LVU$851969</formula1>
    </dataValidation>
    <dataValidation type="list" allowBlank="1" showInputMessage="1" showErrorMessage="1" sqref="MFW851973:MFW851996">
      <formula1>項目!C17:$MFQ$851969</formula1>
    </dataValidation>
    <dataValidation type="list" allowBlank="1" showInputMessage="1" showErrorMessage="1" sqref="MPS851973:MPS851996">
      <formula1>項目!C17:$MPM$851969</formula1>
    </dataValidation>
    <dataValidation type="list" allowBlank="1" showInputMessage="1" showErrorMessage="1" sqref="MZO851973:MZO851996">
      <formula1>項目!C17:$MZI$851969</formula1>
    </dataValidation>
    <dataValidation type="list" allowBlank="1" showInputMessage="1" showErrorMessage="1" sqref="NJK851973:NJK851996">
      <formula1>項目!C17:$NJE$851969</formula1>
    </dataValidation>
    <dataValidation type="list" allowBlank="1" showInputMessage="1" showErrorMessage="1" sqref="NTG851973:NTG851996">
      <formula1>項目!C17:$NTA$851969</formula1>
    </dataValidation>
    <dataValidation type="list" allowBlank="1" showInputMessage="1" showErrorMessage="1" sqref="ODC851973:ODC851996">
      <formula1>項目!C17:$OCW$851969</formula1>
    </dataValidation>
    <dataValidation type="list" allowBlank="1" showInputMessage="1" showErrorMessage="1" sqref="OMY851973:OMY851996">
      <formula1>項目!C17:$OMS$851969</formula1>
    </dataValidation>
    <dataValidation type="list" allowBlank="1" showInputMessage="1" showErrorMessage="1" sqref="OWU851973:OWU851996">
      <formula1>項目!C17:$OWO$851969</formula1>
    </dataValidation>
    <dataValidation type="list" allowBlank="1" showInputMessage="1" showErrorMessage="1" sqref="PGQ851973:PGQ851996">
      <formula1>項目!C17:$PGK$851969</formula1>
    </dataValidation>
    <dataValidation type="list" allowBlank="1" showInputMessage="1" showErrorMessage="1" sqref="PQM851973:PQM851996">
      <formula1>項目!C17:$PQG$851969</formula1>
    </dataValidation>
    <dataValidation type="list" allowBlank="1" showInputMessage="1" showErrorMessage="1" sqref="QAI851973:QAI851996">
      <formula1>項目!C17:$QAC$851969</formula1>
    </dataValidation>
    <dataValidation type="list" allowBlank="1" showInputMessage="1" showErrorMessage="1" sqref="QKE851973:QKE851996">
      <formula1>項目!C17:$QJY$851969</formula1>
    </dataValidation>
    <dataValidation type="list" allowBlank="1" showInputMessage="1" showErrorMessage="1" sqref="QUA851973:QUA851996">
      <formula1>項目!C17:$QTU$851969</formula1>
    </dataValidation>
    <dataValidation type="list" allowBlank="1" showInputMessage="1" showErrorMessage="1" sqref="RDW851973:RDW851996">
      <formula1>項目!C17:$RDQ$851969</formula1>
    </dataValidation>
    <dataValidation type="list" allowBlank="1" showInputMessage="1" showErrorMessage="1" sqref="RNS851973:RNS851996">
      <formula1>項目!C17:$RNM$851969</formula1>
    </dataValidation>
    <dataValidation type="list" allowBlank="1" showInputMessage="1" showErrorMessage="1" sqref="RXO851973:RXO851996">
      <formula1>項目!C17:$RXI$851969</formula1>
    </dataValidation>
    <dataValidation type="list" allowBlank="1" showInputMessage="1" showErrorMessage="1" sqref="SHK851973:SHK851996">
      <formula1>項目!C17:$SHE$851969</formula1>
    </dataValidation>
    <dataValidation type="list" allowBlank="1" showInputMessage="1" showErrorMessage="1" sqref="SRG851973:SRG851996">
      <formula1>項目!C17:$SRA$851969</formula1>
    </dataValidation>
    <dataValidation type="list" allowBlank="1" showInputMessage="1" showErrorMessage="1" sqref="TBC851973:TBC851996">
      <formula1>項目!C17:$TAW$851969</formula1>
    </dataValidation>
    <dataValidation type="list" allowBlank="1" showInputMessage="1" showErrorMessage="1" sqref="TKY851973:TKY851996">
      <formula1>項目!C17:$TKS$851969</formula1>
    </dataValidation>
    <dataValidation type="list" allowBlank="1" showInputMessage="1" showErrorMessage="1" sqref="TUU851973:TUU851996">
      <formula1>項目!C17:$TUO$851969</formula1>
    </dataValidation>
    <dataValidation type="list" allowBlank="1" showInputMessage="1" showErrorMessage="1" sqref="UEQ851973:UEQ851996">
      <formula1>項目!C17:$UEK$851969</formula1>
    </dataValidation>
    <dataValidation type="list" allowBlank="1" showInputMessage="1" showErrorMessage="1" sqref="UOM851973:UOM851996">
      <formula1>項目!C17:$UOG$851969</formula1>
    </dataValidation>
    <dataValidation type="list" allowBlank="1" showInputMessage="1" showErrorMessage="1" sqref="UYI851973:UYI851996">
      <formula1>項目!C17:$UYC$851969</formula1>
    </dataValidation>
    <dataValidation type="list" allowBlank="1" showInputMessage="1" showErrorMessage="1" sqref="VIE851973:VIE851996">
      <formula1>項目!C17:$VHY$851969</formula1>
    </dataValidation>
    <dataValidation type="list" allowBlank="1" showInputMessage="1" showErrorMessage="1" sqref="VSA851973:VSA851996">
      <formula1>項目!C17:$VRU$851969</formula1>
    </dataValidation>
    <dataValidation type="list" allowBlank="1" showInputMessage="1" showErrorMessage="1" sqref="WBW851973:WBW851996">
      <formula1>項目!C17:$WBQ$851969</formula1>
    </dataValidation>
    <dataValidation type="list" allowBlank="1" showInputMessage="1" showErrorMessage="1" sqref="WLS851973:WLS851996">
      <formula1>項目!C17:$WLM$851969</formula1>
    </dataValidation>
    <dataValidation type="list" allowBlank="1" showInputMessage="1" showErrorMessage="1" sqref="WVO851973:WVO851996">
      <formula1>項目!C17:$WVI$851969</formula1>
    </dataValidation>
    <dataValidation type="list" allowBlank="1" showInputMessage="1" showErrorMessage="1" sqref="JC917509:JC917532">
      <formula1>項目!C17:$IW$917505</formula1>
    </dataValidation>
    <dataValidation type="list" allowBlank="1" showInputMessage="1" showErrorMessage="1" sqref="SY917509:SY917532">
      <formula1>項目!C17:$SS$917505</formula1>
    </dataValidation>
    <dataValidation type="list" allowBlank="1" showInputMessage="1" showErrorMessage="1" sqref="ACU917509:ACU917532">
      <formula1>項目!C17:$ACO$917505</formula1>
    </dataValidation>
    <dataValidation type="list" allowBlank="1" showInputMessage="1" showErrorMessage="1" sqref="AMQ917509:AMQ917532">
      <formula1>項目!C17:$AMK$917505</formula1>
    </dataValidation>
    <dataValidation type="list" allowBlank="1" showInputMessage="1" showErrorMessage="1" sqref="AWM917509:AWM917532">
      <formula1>項目!C17:$AWG$917505</formula1>
    </dataValidation>
    <dataValidation type="list" allowBlank="1" showInputMessage="1" showErrorMessage="1" sqref="BGI917509:BGI917532">
      <formula1>項目!C17:$BGC$917505</formula1>
    </dataValidation>
    <dataValidation type="list" allowBlank="1" showInputMessage="1" showErrorMessage="1" sqref="BQE917509:BQE917532">
      <formula1>項目!C17:$BPY$917505</formula1>
    </dataValidation>
    <dataValidation type="list" allowBlank="1" showInputMessage="1" showErrorMessage="1" sqref="CAA917509:CAA917532">
      <formula1>項目!C17:$BZU$917505</formula1>
    </dataValidation>
    <dataValidation type="list" allowBlank="1" showInputMessage="1" showErrorMessage="1" sqref="CJW917509:CJW917532">
      <formula1>項目!C17:$CJQ$917505</formula1>
    </dataValidation>
    <dataValidation type="list" allowBlank="1" showInputMessage="1" showErrorMessage="1" sqref="CTS917509:CTS917532">
      <formula1>項目!C17:$CTM$917505</formula1>
    </dataValidation>
    <dataValidation type="list" allowBlank="1" showInputMessage="1" showErrorMessage="1" sqref="DDO917509:DDO917532">
      <formula1>項目!C17:$DDI$917505</formula1>
    </dataValidation>
    <dataValidation type="list" allowBlank="1" showInputMessage="1" showErrorMessage="1" sqref="DNK917509:DNK917532">
      <formula1>項目!C17:$DNE$917505</formula1>
    </dataValidation>
    <dataValidation type="list" allowBlank="1" showInputMessage="1" showErrorMessage="1" sqref="DXG917509:DXG917532">
      <formula1>項目!C17:$DXA$917505</formula1>
    </dataValidation>
    <dataValidation type="list" allowBlank="1" showInputMessage="1" showErrorMessage="1" sqref="EHC917509:EHC917532">
      <formula1>項目!C17:$EGW$917505</formula1>
    </dataValidation>
    <dataValidation type="list" allowBlank="1" showInputMessage="1" showErrorMessage="1" sqref="EQY917509:EQY917532">
      <formula1>項目!C17:$EQS$917505</formula1>
    </dataValidation>
    <dataValidation type="list" allowBlank="1" showInputMessage="1" showErrorMessage="1" sqref="FAU917509:FAU917532">
      <formula1>項目!C17:$FAO$917505</formula1>
    </dataValidation>
    <dataValidation type="list" allowBlank="1" showInputMessage="1" showErrorMessage="1" sqref="FKQ917509:FKQ917532">
      <formula1>項目!C17:$FKK$917505</formula1>
    </dataValidation>
    <dataValidation type="list" allowBlank="1" showInputMessage="1" showErrorMessage="1" sqref="FUM917509:FUM917532">
      <formula1>項目!C17:$FUG$917505</formula1>
    </dataValidation>
    <dataValidation type="list" allowBlank="1" showInputMessage="1" showErrorMessage="1" sqref="GEI917509:GEI917532">
      <formula1>項目!C17:$GEC$917505</formula1>
    </dataValidation>
    <dataValidation type="list" allowBlank="1" showInputMessage="1" showErrorMessage="1" sqref="GOE917509:GOE917532">
      <formula1>項目!C17:$GNY$917505</formula1>
    </dataValidation>
    <dataValidation type="list" allowBlank="1" showInputMessage="1" showErrorMessage="1" sqref="GYA917509:GYA917532">
      <formula1>項目!C17:$GXU$917505</formula1>
    </dataValidation>
    <dataValidation type="list" allowBlank="1" showInputMessage="1" showErrorMessage="1" sqref="HHW917509:HHW917532">
      <formula1>項目!C17:$HHQ$917505</formula1>
    </dataValidation>
    <dataValidation type="list" allowBlank="1" showInputMessage="1" showErrorMessage="1" sqref="HRS917509:HRS917532">
      <formula1>項目!C17:$HRM$917505</formula1>
    </dataValidation>
    <dataValidation type="list" allowBlank="1" showInputMessage="1" showErrorMessage="1" sqref="IBO917509:IBO917532">
      <formula1>項目!C17:$IBI$917505</formula1>
    </dataValidation>
    <dataValidation type="list" allowBlank="1" showInputMessage="1" showErrorMessage="1" sqref="ILK917509:ILK917532">
      <formula1>項目!C17:$ILE$917505</formula1>
    </dataValidation>
    <dataValidation type="list" allowBlank="1" showInputMessage="1" showErrorMessage="1" sqref="IVG917509:IVG917532">
      <formula1>項目!C17:$IVA$917505</formula1>
    </dataValidation>
    <dataValidation type="list" allowBlank="1" showInputMessage="1" showErrorMessage="1" sqref="JFC917509:JFC917532">
      <formula1>項目!C17:$JEW$917505</formula1>
    </dataValidation>
    <dataValidation type="list" allowBlank="1" showInputMessage="1" showErrorMessage="1" sqref="JOY917509:JOY917532">
      <formula1>項目!C17:$JOS$917505</formula1>
    </dataValidation>
    <dataValidation type="list" allowBlank="1" showInputMessage="1" showErrorMessage="1" sqref="JYU917509:JYU917532">
      <formula1>項目!C17:$JYO$917505</formula1>
    </dataValidation>
    <dataValidation type="list" allowBlank="1" showInputMessage="1" showErrorMessage="1" sqref="KIQ917509:KIQ917532">
      <formula1>項目!C17:$KIK$917505</formula1>
    </dataValidation>
    <dataValidation type="list" allowBlank="1" showInputMessage="1" showErrorMessage="1" sqref="KSM917509:KSM917532">
      <formula1>項目!C17:$KSG$917505</formula1>
    </dataValidation>
    <dataValidation type="list" allowBlank="1" showInputMessage="1" showErrorMessage="1" sqref="LCI917509:LCI917532">
      <formula1>項目!C17:$LCC$917505</formula1>
    </dataValidation>
    <dataValidation type="list" allowBlank="1" showInputMessage="1" showErrorMessage="1" sqref="LME917509:LME917532">
      <formula1>項目!C17:$LLY$917505</formula1>
    </dataValidation>
    <dataValidation type="list" allowBlank="1" showInputMessage="1" showErrorMessage="1" sqref="LWA917509:LWA917532">
      <formula1>項目!C17:$LVU$917505</formula1>
    </dataValidation>
    <dataValidation type="list" allowBlank="1" showInputMessage="1" showErrorMessage="1" sqref="MFW917509:MFW917532">
      <formula1>項目!C17:$MFQ$917505</formula1>
    </dataValidation>
    <dataValidation type="list" allowBlank="1" showInputMessage="1" showErrorMessage="1" sqref="MPS917509:MPS917532">
      <formula1>項目!C17:$MPM$917505</formula1>
    </dataValidation>
    <dataValidation type="list" allowBlank="1" showInputMessage="1" showErrorMessage="1" sqref="MZO917509:MZO917532">
      <formula1>項目!C17:$MZI$917505</formula1>
    </dataValidation>
    <dataValidation type="list" allowBlank="1" showInputMessage="1" showErrorMessage="1" sqref="NJK917509:NJK917532">
      <formula1>項目!C17:$NJE$917505</formula1>
    </dataValidation>
    <dataValidation type="list" allowBlank="1" showInputMessage="1" showErrorMessage="1" sqref="NTG917509:NTG917532">
      <formula1>項目!C17:$NTA$917505</formula1>
    </dataValidation>
    <dataValidation type="list" allowBlank="1" showInputMessage="1" showErrorMessage="1" sqref="ODC917509:ODC917532">
      <formula1>項目!C17:$OCW$917505</formula1>
    </dataValidation>
    <dataValidation type="list" allowBlank="1" showInputMessage="1" showErrorMessage="1" sqref="OMY917509:OMY917532">
      <formula1>項目!C17:$OMS$917505</formula1>
    </dataValidation>
    <dataValidation type="list" allowBlank="1" showInputMessage="1" showErrorMessage="1" sqref="OWU917509:OWU917532">
      <formula1>項目!C17:$OWO$917505</formula1>
    </dataValidation>
    <dataValidation type="list" allowBlank="1" showInputMessage="1" showErrorMessage="1" sqref="PGQ917509:PGQ917532">
      <formula1>項目!C17:$PGK$917505</formula1>
    </dataValidation>
    <dataValidation type="list" allowBlank="1" showInputMessage="1" showErrorMessage="1" sqref="PQM917509:PQM917532">
      <formula1>項目!C17:$PQG$917505</formula1>
    </dataValidation>
    <dataValidation type="list" allowBlank="1" showInputMessage="1" showErrorMessage="1" sqref="QAI917509:QAI917532">
      <formula1>項目!C17:$QAC$917505</formula1>
    </dataValidation>
    <dataValidation type="list" allowBlank="1" showInputMessage="1" showErrorMessage="1" sqref="QKE917509:QKE917532">
      <formula1>項目!C17:$QJY$917505</formula1>
    </dataValidation>
    <dataValidation type="list" allowBlank="1" showInputMessage="1" showErrorMessage="1" sqref="QUA917509:QUA917532">
      <formula1>項目!C17:$QTU$917505</formula1>
    </dataValidation>
    <dataValidation type="list" allowBlank="1" showInputMessage="1" showErrorMessage="1" sqref="RDW917509:RDW917532">
      <formula1>項目!C17:$RDQ$917505</formula1>
    </dataValidation>
    <dataValidation type="list" allowBlank="1" showInputMessage="1" showErrorMessage="1" sqref="RNS917509:RNS917532">
      <formula1>項目!C17:$RNM$917505</formula1>
    </dataValidation>
    <dataValidation type="list" allowBlank="1" showInputMessage="1" showErrorMessage="1" sqref="RXO917509:RXO917532">
      <formula1>項目!C17:$RXI$917505</formula1>
    </dataValidation>
    <dataValidation type="list" allowBlank="1" showInputMessage="1" showErrorMessage="1" sqref="SHK917509:SHK917532">
      <formula1>項目!C17:$SHE$917505</formula1>
    </dataValidation>
    <dataValidation type="list" allowBlank="1" showInputMessage="1" showErrorMessage="1" sqref="SRG917509:SRG917532">
      <formula1>項目!C17:$SRA$917505</formula1>
    </dataValidation>
    <dataValidation type="list" allowBlank="1" showInputMessage="1" showErrorMessage="1" sqref="TBC917509:TBC917532">
      <formula1>項目!C17:$TAW$917505</formula1>
    </dataValidation>
    <dataValidation type="list" allowBlank="1" showInputMessage="1" showErrorMessage="1" sqref="TKY917509:TKY917532">
      <formula1>項目!C17:$TKS$917505</formula1>
    </dataValidation>
    <dataValidation type="list" allowBlank="1" showInputMessage="1" showErrorMessage="1" sqref="TUU917509:TUU917532">
      <formula1>項目!C17:$TUO$917505</formula1>
    </dataValidation>
    <dataValidation type="list" allowBlank="1" showInputMessage="1" showErrorMessage="1" sqref="UEQ917509:UEQ917532">
      <formula1>項目!C17:$UEK$917505</formula1>
    </dataValidation>
    <dataValidation type="list" allowBlank="1" showInputMessage="1" showErrorMessage="1" sqref="UOM917509:UOM917532">
      <formula1>項目!C17:$UOG$917505</formula1>
    </dataValidation>
    <dataValidation type="list" allowBlank="1" showInputMessage="1" showErrorMessage="1" sqref="UYI917509:UYI917532">
      <formula1>項目!C17:$UYC$917505</formula1>
    </dataValidation>
    <dataValidation type="list" allowBlank="1" showInputMessage="1" showErrorMessage="1" sqref="VIE917509:VIE917532">
      <formula1>項目!C17:$VHY$917505</formula1>
    </dataValidation>
    <dataValidation type="list" allowBlank="1" showInputMessage="1" showErrorMessage="1" sqref="VSA917509:VSA917532">
      <formula1>項目!C17:$VRU$917505</formula1>
    </dataValidation>
    <dataValidation type="list" allowBlank="1" showInputMessage="1" showErrorMessage="1" sqref="WBW917509:WBW917532">
      <formula1>項目!C17:$WBQ$917505</formula1>
    </dataValidation>
    <dataValidation type="list" allowBlank="1" showInputMessage="1" showErrorMessage="1" sqref="WLS917509:WLS917532">
      <formula1>項目!C17:$WLM$917505</formula1>
    </dataValidation>
    <dataValidation type="list" allowBlank="1" showInputMessage="1" showErrorMessage="1" sqref="WVO917509:WVO917532">
      <formula1>項目!C17:$WVI$917505</formula1>
    </dataValidation>
    <dataValidation type="list" allowBlank="1" showInputMessage="1" showErrorMessage="1" sqref="JC983045:JC983068">
      <formula1>項目!C17:$IW$983041</formula1>
    </dataValidation>
    <dataValidation type="list" allowBlank="1" showInputMessage="1" showErrorMessage="1" sqref="SY983045:SY983068">
      <formula1>項目!C17:$SS$983041</formula1>
    </dataValidation>
    <dataValidation type="list" allowBlank="1" showInputMessage="1" showErrorMessage="1" sqref="ACU983045:ACU983068">
      <formula1>項目!C17:$ACO$983041</formula1>
    </dataValidation>
    <dataValidation type="list" allowBlank="1" showInputMessage="1" showErrorMessage="1" sqref="AMQ983045:AMQ983068">
      <formula1>項目!C17:$AMK$983041</formula1>
    </dataValidation>
    <dataValidation type="list" allowBlank="1" showInputMessage="1" showErrorMessage="1" sqref="AWM983045:AWM983068">
      <formula1>項目!C17:$AWG$983041</formula1>
    </dataValidation>
    <dataValidation type="list" allowBlank="1" showInputMessage="1" showErrorMessage="1" sqref="BGI983045:BGI983068">
      <formula1>項目!C17:$BGC$983041</formula1>
    </dataValidation>
    <dataValidation type="list" allowBlank="1" showInputMessage="1" showErrorMessage="1" sqref="BQE983045:BQE983068">
      <formula1>項目!C17:$BPY$983041</formula1>
    </dataValidation>
    <dataValidation type="list" allowBlank="1" showInputMessage="1" showErrorMessage="1" sqref="CAA983045:CAA983068">
      <formula1>項目!C17:$BZU$983041</formula1>
    </dataValidation>
    <dataValidation type="list" allowBlank="1" showInputMessage="1" showErrorMessage="1" sqref="CJW983045:CJW983068">
      <formula1>項目!C17:$CJQ$983041</formula1>
    </dataValidation>
    <dataValidation type="list" allowBlank="1" showInputMessage="1" showErrorMessage="1" sqref="CTS983045:CTS983068">
      <formula1>項目!C17:$CTM$983041</formula1>
    </dataValidation>
    <dataValidation type="list" allowBlank="1" showInputMessage="1" showErrorMessage="1" sqref="DDO983045:DDO983068">
      <formula1>項目!C17:$DDI$983041</formula1>
    </dataValidation>
    <dataValidation type="list" allowBlank="1" showInputMessage="1" showErrorMessage="1" sqref="DNK983045:DNK983068">
      <formula1>項目!C17:$DNE$983041</formula1>
    </dataValidation>
    <dataValidation type="list" allowBlank="1" showInputMessage="1" showErrorMessage="1" sqref="DXG983045:DXG983068">
      <formula1>項目!C17:$DXA$983041</formula1>
    </dataValidation>
    <dataValidation type="list" allowBlank="1" showInputMessage="1" showErrorMessage="1" sqref="EHC983045:EHC983068">
      <formula1>項目!C17:$EGW$983041</formula1>
    </dataValidation>
    <dataValidation type="list" allowBlank="1" showInputMessage="1" showErrorMessage="1" sqref="EQY983045:EQY983068">
      <formula1>項目!C17:$EQS$983041</formula1>
    </dataValidation>
    <dataValidation type="list" allowBlank="1" showInputMessage="1" showErrorMessage="1" sqref="FAU983045:FAU983068">
      <formula1>項目!C17:$FAO$983041</formula1>
    </dataValidation>
    <dataValidation type="list" allowBlank="1" showInputMessage="1" showErrorMessage="1" sqref="FKQ983045:FKQ983068">
      <formula1>項目!C17:$FKK$983041</formula1>
    </dataValidation>
    <dataValidation type="list" allowBlank="1" showInputMessage="1" showErrorMessage="1" sqref="FUM983045:FUM983068">
      <formula1>項目!C17:$FUG$983041</formula1>
    </dataValidation>
    <dataValidation type="list" allowBlank="1" showInputMessage="1" showErrorMessage="1" sqref="GEI983045:GEI983068">
      <formula1>項目!C17:$GEC$983041</formula1>
    </dataValidation>
    <dataValidation type="list" allowBlank="1" showInputMessage="1" showErrorMessage="1" sqref="GOE983045:GOE983068">
      <formula1>項目!C17:$GNY$983041</formula1>
    </dataValidation>
    <dataValidation type="list" allowBlank="1" showInputMessage="1" showErrorMessage="1" sqref="GYA983045:GYA983068">
      <formula1>項目!C17:$GXU$983041</formula1>
    </dataValidation>
    <dataValidation type="list" allowBlank="1" showInputMessage="1" showErrorMessage="1" sqref="HHW983045:HHW983068">
      <formula1>項目!C17:$HHQ$983041</formula1>
    </dataValidation>
    <dataValidation type="list" allowBlank="1" showInputMessage="1" showErrorMessage="1" sqref="HRS983045:HRS983068">
      <formula1>項目!C17:$HRM$983041</formula1>
    </dataValidation>
    <dataValidation type="list" allowBlank="1" showInputMessage="1" showErrorMessage="1" sqref="IBO983045:IBO983068">
      <formula1>項目!C17:$IBI$983041</formula1>
    </dataValidation>
    <dataValidation type="list" allowBlank="1" showInputMessage="1" showErrorMessage="1" sqref="ILK983045:ILK983068">
      <formula1>項目!C17:$ILE$983041</formula1>
    </dataValidation>
    <dataValidation type="list" allowBlank="1" showInputMessage="1" showErrorMessage="1" sqref="IVG983045:IVG983068">
      <formula1>項目!C17:$IVA$983041</formula1>
    </dataValidation>
    <dataValidation type="list" allowBlank="1" showInputMessage="1" showErrorMessage="1" sqref="JFC983045:JFC983068">
      <formula1>項目!C17:$JEW$983041</formula1>
    </dataValidation>
    <dataValidation type="list" allowBlank="1" showInputMessage="1" showErrorMessage="1" sqref="JOY983045:JOY983068">
      <formula1>項目!C17:$JOS$983041</formula1>
    </dataValidation>
    <dataValidation type="list" allowBlank="1" showInputMessage="1" showErrorMessage="1" sqref="JYU983045:JYU983068">
      <formula1>項目!C17:$JYO$983041</formula1>
    </dataValidation>
    <dataValidation type="list" allowBlank="1" showInputMessage="1" showErrorMessage="1" sqref="KIQ983045:KIQ983068">
      <formula1>項目!C17:$KIK$983041</formula1>
    </dataValidation>
    <dataValidation type="list" allowBlank="1" showInputMessage="1" showErrorMessage="1" sqref="KSM983045:KSM983068">
      <formula1>項目!C17:$KSG$983041</formula1>
    </dataValidation>
    <dataValidation type="list" allowBlank="1" showInputMessage="1" showErrorMessage="1" sqref="LCI983045:LCI983068">
      <formula1>項目!C17:$LCC$983041</formula1>
    </dataValidation>
    <dataValidation type="list" allowBlank="1" showInputMessage="1" showErrorMessage="1" sqref="LME983045:LME983068">
      <formula1>項目!C17:$LLY$983041</formula1>
    </dataValidation>
    <dataValidation type="list" allowBlank="1" showInputMessage="1" showErrorMessage="1" sqref="LWA983045:LWA983068">
      <formula1>項目!C17:$LVU$983041</formula1>
    </dataValidation>
    <dataValidation type="list" allowBlank="1" showInputMessage="1" showErrorMessage="1" sqref="MFW983045:MFW983068">
      <formula1>項目!C17:$MFQ$983041</formula1>
    </dataValidation>
    <dataValidation type="list" allowBlank="1" showInputMessage="1" showErrorMessage="1" sqref="MPS983045:MPS983068">
      <formula1>項目!C17:$MPM$983041</formula1>
    </dataValidation>
    <dataValidation type="list" allowBlank="1" showInputMessage="1" showErrorMessage="1" sqref="MZO983045:MZO983068">
      <formula1>項目!C17:$MZI$983041</formula1>
    </dataValidation>
    <dataValidation type="list" allowBlank="1" showInputMessage="1" showErrorMessage="1" sqref="NJK983045:NJK983068">
      <formula1>項目!C17:$NJE$983041</formula1>
    </dataValidation>
    <dataValidation type="list" allowBlank="1" showInputMessage="1" showErrorMessage="1" sqref="NTG983045:NTG983068">
      <formula1>項目!C17:$NTA$983041</formula1>
    </dataValidation>
    <dataValidation type="list" allowBlank="1" showInputMessage="1" showErrorMessage="1" sqref="ODC983045:ODC983068">
      <formula1>項目!C17:$OCW$983041</formula1>
    </dataValidation>
    <dataValidation type="list" allowBlank="1" showInputMessage="1" showErrorMessage="1" sqref="OMY983045:OMY983068">
      <formula1>項目!C17:$OMS$983041</formula1>
    </dataValidation>
    <dataValidation type="list" allowBlank="1" showInputMessage="1" showErrorMessage="1" sqref="OWU983045:OWU983068">
      <formula1>項目!C17:$OWO$983041</formula1>
    </dataValidation>
    <dataValidation type="list" allowBlank="1" showInputMessage="1" showErrorMessage="1" sqref="PGQ983045:PGQ983068">
      <formula1>項目!C17:$PGK$983041</formula1>
    </dataValidation>
    <dataValidation type="list" allowBlank="1" showInputMessage="1" showErrorMessage="1" sqref="PQM983045:PQM983068">
      <formula1>項目!C17:$PQG$983041</formula1>
    </dataValidation>
    <dataValidation type="list" allowBlank="1" showInputMessage="1" showErrorMessage="1" sqref="QAI983045:QAI983068">
      <formula1>項目!C17:$QAC$983041</formula1>
    </dataValidation>
    <dataValidation type="list" allowBlank="1" showInputMessage="1" showErrorMessage="1" sqref="QKE983045:QKE983068">
      <formula1>項目!C17:$QJY$983041</formula1>
    </dataValidation>
    <dataValidation type="list" allowBlank="1" showInputMessage="1" showErrorMessage="1" sqref="QUA983045:QUA983068">
      <formula1>項目!C17:$QTU$983041</formula1>
    </dataValidation>
    <dataValidation type="list" allowBlank="1" showInputMessage="1" showErrorMessage="1" sqref="RDW983045:RDW983068">
      <formula1>項目!C17:$RDQ$983041</formula1>
    </dataValidation>
    <dataValidation type="list" allowBlank="1" showInputMessage="1" showErrorMessage="1" sqref="RNS983045:RNS983068">
      <formula1>項目!C17:$RNM$983041</formula1>
    </dataValidation>
    <dataValidation type="list" allowBlank="1" showInputMessage="1" showErrorMessage="1" sqref="RXO983045:RXO983068">
      <formula1>項目!C17:$RXI$983041</formula1>
    </dataValidation>
    <dataValidation type="list" allowBlank="1" showInputMessage="1" showErrorMessage="1" sqref="SHK983045:SHK983068">
      <formula1>項目!C17:$SHE$983041</formula1>
    </dataValidation>
    <dataValidation type="list" allowBlank="1" showInputMessage="1" showErrorMessage="1" sqref="SRG983045:SRG983068">
      <formula1>項目!C17:$SRA$983041</formula1>
    </dataValidation>
    <dataValidation type="list" allowBlank="1" showInputMessage="1" showErrorMessage="1" sqref="TBC983045:TBC983068">
      <formula1>項目!C17:$TAW$983041</formula1>
    </dataValidation>
    <dataValidation type="list" allowBlank="1" showInputMessage="1" showErrorMessage="1" sqref="TKY983045:TKY983068">
      <formula1>項目!C17:$TKS$983041</formula1>
    </dataValidation>
    <dataValidation type="list" allowBlank="1" showInputMessage="1" showErrorMessage="1" sqref="TUU983045:TUU983068">
      <formula1>項目!C17:$TUO$983041</formula1>
    </dataValidation>
    <dataValidation type="list" allowBlank="1" showInputMessage="1" showErrorMessage="1" sqref="UEQ983045:UEQ983068">
      <formula1>項目!C17:$UEK$983041</formula1>
    </dataValidation>
    <dataValidation type="list" allowBlank="1" showInputMessage="1" showErrorMessage="1" sqref="UOM983045:UOM983068">
      <formula1>項目!C17:$UOG$983041</formula1>
    </dataValidation>
    <dataValidation type="list" allowBlank="1" showInputMessage="1" showErrorMessage="1" sqref="UYI983045:UYI983068">
      <formula1>項目!C17:$UYC$983041</formula1>
    </dataValidation>
    <dataValidation type="list" allowBlank="1" showInputMessage="1" showErrorMessage="1" sqref="VIE983045:VIE983068">
      <formula1>項目!C17:$VHY$983041</formula1>
    </dataValidation>
    <dataValidation type="list" allowBlank="1" showInputMessage="1" showErrorMessage="1" sqref="VSA983045:VSA983068">
      <formula1>項目!C17:$VRU$983041</formula1>
    </dataValidation>
    <dataValidation type="list" allowBlank="1" showInputMessage="1" showErrorMessage="1" sqref="WBW983045:WBW983068">
      <formula1>項目!C17:$WBQ$983041</formula1>
    </dataValidation>
    <dataValidation type="list" allowBlank="1" showInputMessage="1" showErrorMessage="1" sqref="WLS983045:WLS983068">
      <formula1>項目!C17:$WLM$983041</formula1>
    </dataValidation>
    <dataValidation type="list" allowBlank="1" showInputMessage="1" showErrorMessage="1" sqref="WVO983045:WVO983068">
      <formula1>項目!C17:$WVI$983041</formula1>
    </dataValidation>
    <dataValidation type="list" allowBlank="1" showInputMessage="1" showErrorMessage="1" sqref="JG5:JG28">
      <formula1>項目!C1:$JA$17</formula1>
    </dataValidation>
    <dataValidation type="list" allowBlank="1" showInputMessage="1" showErrorMessage="1" sqref="TC5:TC28">
      <formula1>項目!C1:$SW$17</formula1>
    </dataValidation>
    <dataValidation type="list" allowBlank="1" showInputMessage="1" showErrorMessage="1" sqref="ACY5:ACY28">
      <formula1>項目!C1:$ACS$17</formula1>
    </dataValidation>
    <dataValidation type="list" allowBlank="1" showInputMessage="1" showErrorMessage="1" sqref="AMU5:AMU28">
      <formula1>項目!C1:$AMO$17</formula1>
    </dataValidation>
    <dataValidation type="list" allowBlank="1" showInputMessage="1" showErrorMessage="1" sqref="AWQ5:AWQ28">
      <formula1>項目!C1:$AWK$17</formula1>
    </dataValidation>
    <dataValidation type="list" allowBlank="1" showInputMessage="1" showErrorMessage="1" sqref="BGM5:BGM28">
      <formula1>項目!C1:$BGG$17</formula1>
    </dataValidation>
    <dataValidation type="list" allowBlank="1" showInputMessage="1" showErrorMessage="1" sqref="BQI5:BQI28">
      <formula1>項目!C1:$BQC$17</formula1>
    </dataValidation>
    <dataValidation type="list" allowBlank="1" showInputMessage="1" showErrorMessage="1" sqref="CAE5:CAE28">
      <formula1>項目!C1:$BZY$17</formula1>
    </dataValidation>
    <dataValidation type="list" allowBlank="1" showInputMessage="1" showErrorMessage="1" sqref="CKA5:CKA28">
      <formula1>項目!C1:$CJU$17</formula1>
    </dataValidation>
    <dataValidation type="list" allowBlank="1" showInputMessage="1" showErrorMessage="1" sqref="CTW5:CTW28">
      <formula1>項目!C1:$CTQ$17</formula1>
    </dataValidation>
    <dataValidation type="list" allowBlank="1" showInputMessage="1" showErrorMessage="1" sqref="DDS5:DDS28">
      <formula1>項目!C1:$DDM$17</formula1>
    </dataValidation>
    <dataValidation type="list" allowBlank="1" showInputMessage="1" showErrorMessage="1" sqref="DNO5:DNO28">
      <formula1>項目!C1:$DNI$17</formula1>
    </dataValidation>
    <dataValidation type="list" allowBlank="1" showInputMessage="1" showErrorMessage="1" sqref="DXK5:DXK28">
      <formula1>項目!C1:$DXE$17</formula1>
    </dataValidation>
    <dataValidation type="list" allowBlank="1" showInputMessage="1" showErrorMessage="1" sqref="EHG5:EHG28">
      <formula1>項目!C1:$EHA$17</formula1>
    </dataValidation>
    <dataValidation type="list" allowBlank="1" showInputMessage="1" showErrorMessage="1" sqref="ERC5:ERC28">
      <formula1>項目!C1:$EQW$17</formula1>
    </dataValidation>
    <dataValidation type="list" allowBlank="1" showInputMessage="1" showErrorMessage="1" sqref="FAY5:FAY28">
      <formula1>項目!C1:$FAS$17</formula1>
    </dataValidation>
    <dataValidation type="list" allowBlank="1" showInputMessage="1" showErrorMessage="1" sqref="FKU5:FKU28">
      <formula1>項目!C1:$FKO$17</formula1>
    </dataValidation>
    <dataValidation type="list" allowBlank="1" showInputMessage="1" showErrorMessage="1" sqref="FUQ5:FUQ28">
      <formula1>項目!C1:$FUK$17</formula1>
    </dataValidation>
    <dataValidation type="list" allowBlank="1" showInputMessage="1" showErrorMessage="1" sqref="GEM5:GEM28">
      <formula1>項目!C1:$GEG$17</formula1>
    </dataValidation>
    <dataValidation type="list" allowBlank="1" showInputMessage="1" showErrorMessage="1" sqref="GOI5:GOI28">
      <formula1>項目!C1:$GOC$17</formula1>
    </dataValidation>
    <dataValidation type="list" allowBlank="1" showInputMessage="1" showErrorMessage="1" sqref="GYE5:GYE28">
      <formula1>項目!C1:$GXY$17</formula1>
    </dataValidation>
    <dataValidation type="list" allowBlank="1" showInputMessage="1" showErrorMessage="1" sqref="HIA5:HIA28">
      <formula1>項目!C1:$HHU$17</formula1>
    </dataValidation>
    <dataValidation type="list" allowBlank="1" showInputMessage="1" showErrorMessage="1" sqref="HRW5:HRW28">
      <formula1>項目!C1:$HRQ$17</formula1>
    </dataValidation>
    <dataValidation type="list" allowBlank="1" showInputMessage="1" showErrorMessage="1" sqref="IBS5:IBS28">
      <formula1>項目!C1:$IBM$17</formula1>
    </dataValidation>
    <dataValidation type="list" allowBlank="1" showInputMessage="1" showErrorMessage="1" sqref="ILO5:ILO28">
      <formula1>項目!C1:$ILI$17</formula1>
    </dataValidation>
    <dataValidation type="list" allowBlank="1" showInputMessage="1" showErrorMessage="1" sqref="IVK5:IVK28">
      <formula1>項目!C1:$IVE$17</formula1>
    </dataValidation>
    <dataValidation type="list" allowBlank="1" showInputMessage="1" showErrorMessage="1" sqref="JFG5:JFG28">
      <formula1>項目!C1:$JFA$17</formula1>
    </dataValidation>
    <dataValidation type="list" allowBlank="1" showInputMessage="1" showErrorMessage="1" sqref="JPC5:JPC28">
      <formula1>項目!C1:$JOW$17</formula1>
    </dataValidation>
    <dataValidation type="list" allowBlank="1" showInputMessage="1" showErrorMessage="1" sqref="JYY5:JYY28">
      <formula1>項目!C1:$JYS$17</formula1>
    </dataValidation>
    <dataValidation type="list" allowBlank="1" showInputMessage="1" showErrorMessage="1" sqref="KIU5:KIU28">
      <formula1>項目!C1:$KIO$17</formula1>
    </dataValidation>
    <dataValidation type="list" allowBlank="1" showInputMessage="1" showErrorMessage="1" sqref="KSQ5:KSQ28">
      <formula1>項目!C1:$KSK$17</formula1>
    </dataValidation>
    <dataValidation type="list" allowBlank="1" showInputMessage="1" showErrorMessage="1" sqref="LCM5:LCM28">
      <formula1>項目!C1:$LCG$17</formula1>
    </dataValidation>
    <dataValidation type="list" allowBlank="1" showInputMessage="1" showErrorMessage="1" sqref="LMI5:LMI28">
      <formula1>項目!C1:$LMC$17</formula1>
    </dataValidation>
    <dataValidation type="list" allowBlank="1" showInputMessage="1" showErrorMessage="1" sqref="LWE5:LWE28">
      <formula1>項目!C1:$LVY$17</formula1>
    </dataValidation>
    <dataValidation type="list" allowBlank="1" showInputMessage="1" showErrorMessage="1" sqref="MGA5:MGA28">
      <formula1>項目!C1:$MFU$17</formula1>
    </dataValidation>
    <dataValidation type="list" allowBlank="1" showInputMessage="1" showErrorMessage="1" sqref="MPW5:MPW28">
      <formula1>項目!C1:$MPQ$17</formula1>
    </dataValidation>
    <dataValidation type="list" allowBlank="1" showInputMessage="1" showErrorMessage="1" sqref="MZS5:MZS28">
      <formula1>項目!C1:$MZM$17</formula1>
    </dataValidation>
    <dataValidation type="list" allowBlank="1" showInputMessage="1" showErrorMessage="1" sqref="NJO5:NJO28">
      <formula1>項目!C1:$NJI$17</formula1>
    </dataValidation>
    <dataValidation type="list" allowBlank="1" showInputMessage="1" showErrorMessage="1" sqref="NTK5:NTK28">
      <formula1>項目!C1:$NTE$17</formula1>
    </dataValidation>
    <dataValidation type="list" allowBlank="1" showInputMessage="1" showErrorMessage="1" sqref="ODG5:ODG28">
      <formula1>項目!C1:$ODA$17</formula1>
    </dataValidation>
    <dataValidation type="list" allowBlank="1" showInputMessage="1" showErrorMessage="1" sqref="ONC5:ONC28">
      <formula1>項目!C1:$OMW$17</formula1>
    </dataValidation>
    <dataValidation type="list" allowBlank="1" showInputMessage="1" showErrorMessage="1" sqref="OWY5:OWY28">
      <formula1>項目!C1:$OWS$17</formula1>
    </dataValidation>
    <dataValidation type="list" allowBlank="1" showInputMessage="1" showErrorMessage="1" sqref="PGU5:PGU28">
      <formula1>項目!C1:$PGO$17</formula1>
    </dataValidation>
    <dataValidation type="list" allowBlank="1" showInputMessage="1" showErrorMessage="1" sqref="PQQ5:PQQ28">
      <formula1>項目!C1:$PQK$17</formula1>
    </dataValidation>
    <dataValidation type="list" allowBlank="1" showInputMessage="1" showErrorMessage="1" sqref="QAM5:QAM28">
      <formula1>項目!C1:$QAG$17</formula1>
    </dataValidation>
    <dataValidation type="list" allowBlank="1" showInputMessage="1" showErrorMessage="1" sqref="QKI5:QKI28">
      <formula1>項目!C1:$QKC$17</formula1>
    </dataValidation>
    <dataValidation type="list" allowBlank="1" showInputMessage="1" showErrorMessage="1" sqref="QUE5:QUE28">
      <formula1>項目!C1:$QTY$17</formula1>
    </dataValidation>
    <dataValidation type="list" allowBlank="1" showInputMessage="1" showErrorMessage="1" sqref="REA5:REA28">
      <formula1>項目!C1:$RDU$17</formula1>
    </dataValidation>
    <dataValidation type="list" allowBlank="1" showInputMessage="1" showErrorMessage="1" sqref="RNW5:RNW28">
      <formula1>項目!C1:$RNQ$17</formula1>
    </dataValidation>
    <dataValidation type="list" allowBlank="1" showInputMessage="1" showErrorMessage="1" sqref="RXS5:RXS28">
      <formula1>項目!C1:$RXM$17</formula1>
    </dataValidation>
    <dataValidation type="list" allowBlank="1" showInputMessage="1" showErrorMessage="1" sqref="SHO5:SHO28">
      <formula1>項目!C1:$SHI$17</formula1>
    </dataValidation>
    <dataValidation type="list" allowBlank="1" showInputMessage="1" showErrorMessage="1" sqref="SRK5:SRK28">
      <formula1>項目!C1:$SRE$17</formula1>
    </dataValidation>
    <dataValidation type="list" allowBlank="1" showInputMessage="1" showErrorMessage="1" sqref="TBG5:TBG28">
      <formula1>項目!C1:$TBA$17</formula1>
    </dataValidation>
    <dataValidation type="list" allowBlank="1" showInputMessage="1" showErrorMessage="1" sqref="TLC5:TLC28">
      <formula1>項目!C1:$TKW$17</formula1>
    </dataValidation>
    <dataValidation type="list" allowBlank="1" showInputMessage="1" showErrorMessage="1" sqref="TUY5:TUY28">
      <formula1>項目!C1:$TUS$17</formula1>
    </dataValidation>
    <dataValidation type="list" allowBlank="1" showInputMessage="1" showErrorMessage="1" sqref="UEU5:UEU28">
      <formula1>項目!C1:$UEO$17</formula1>
    </dataValidation>
    <dataValidation type="list" allowBlank="1" showInputMessage="1" showErrorMessage="1" sqref="UOQ5:UOQ28">
      <formula1>項目!C1:$UOK$17</formula1>
    </dataValidation>
    <dataValidation type="list" allowBlank="1" showInputMessage="1" showErrorMessage="1" sqref="UYM5:UYM28">
      <formula1>項目!C1:$UYG$17</formula1>
    </dataValidation>
    <dataValidation type="list" allowBlank="1" showInputMessage="1" showErrorMessage="1" sqref="VII5:VII28">
      <formula1>項目!C1:$VIC$17</formula1>
    </dataValidation>
    <dataValidation type="list" allowBlank="1" showInputMessage="1" showErrorMessage="1" sqref="VSE5:VSE28">
      <formula1>項目!C1:$VRY$17</formula1>
    </dataValidation>
    <dataValidation type="list" allowBlank="1" showInputMessage="1" showErrorMessage="1" sqref="WCA5:WCA28">
      <formula1>項目!C1:$WBU$17</formula1>
    </dataValidation>
    <dataValidation type="list" allowBlank="1" showInputMessage="1" showErrorMessage="1" sqref="WLW5:WLW28">
      <formula1>項目!C1:$WLQ$17</formula1>
    </dataValidation>
    <dataValidation type="list" allowBlank="1" showInputMessage="1" showErrorMessage="1" sqref="WVS5:WVS28">
      <formula1>項目!C1:$WVM$17</formula1>
    </dataValidation>
    <dataValidation type="list" allowBlank="1" showInputMessage="1" showErrorMessage="1" sqref="JG65541:JG65564">
      <formula1>項目!C17:$JA$65537</formula1>
    </dataValidation>
    <dataValidation type="list" allowBlank="1" showInputMessage="1" showErrorMessage="1" sqref="TC65541:TC65564">
      <formula1>項目!C17:$SW$65537</formula1>
    </dataValidation>
    <dataValidation type="list" allowBlank="1" showInputMessage="1" showErrorMessage="1" sqref="ACY65541:ACY65564">
      <formula1>項目!C17:$ACS$65537</formula1>
    </dataValidation>
    <dataValidation type="list" allowBlank="1" showInputMessage="1" showErrorMessage="1" sqref="AMU65541:AMU65564">
      <formula1>項目!C17:$AMO$65537</formula1>
    </dataValidation>
    <dataValidation type="list" allowBlank="1" showInputMessage="1" showErrorMessage="1" sqref="AWQ65541:AWQ65564">
      <formula1>項目!C17:$AWK$65537</formula1>
    </dataValidation>
    <dataValidation type="list" allowBlank="1" showInputMessage="1" showErrorMessage="1" sqref="BGM65541:BGM65564">
      <formula1>項目!C17:$BGG$65537</formula1>
    </dataValidation>
    <dataValidation type="list" allowBlank="1" showInputMessage="1" showErrorMessage="1" sqref="BQI65541:BQI65564">
      <formula1>項目!C17:$BQC$65537</formula1>
    </dataValidation>
    <dataValidation type="list" allowBlank="1" showInputMessage="1" showErrorMessage="1" sqref="CAE65541:CAE65564">
      <formula1>項目!C17:$BZY$65537</formula1>
    </dataValidation>
    <dataValidation type="list" allowBlank="1" showInputMessage="1" showErrorMessage="1" sqref="CKA65541:CKA65564">
      <formula1>項目!C17:$CJU$65537</formula1>
    </dataValidation>
    <dataValidation type="list" allowBlank="1" showInputMessage="1" showErrorMessage="1" sqref="CTW65541:CTW65564">
      <formula1>項目!C17:$CTQ$65537</formula1>
    </dataValidation>
    <dataValidation type="list" allowBlank="1" showInputMessage="1" showErrorMessage="1" sqref="DDS65541:DDS65564">
      <formula1>項目!C17:$DDM$65537</formula1>
    </dataValidation>
    <dataValidation type="list" allowBlank="1" showInputMessage="1" showErrorMessage="1" sqref="DNO65541:DNO65564">
      <formula1>項目!C17:$DNI$65537</formula1>
    </dataValidation>
    <dataValidation type="list" allowBlank="1" showInputMessage="1" showErrorMessage="1" sqref="DXK65541:DXK65564">
      <formula1>項目!C17:$DXE$65537</formula1>
    </dataValidation>
    <dataValidation type="list" allowBlank="1" showInputMessage="1" showErrorMessage="1" sqref="EHG65541:EHG65564">
      <formula1>項目!C17:$EHA$65537</formula1>
    </dataValidation>
    <dataValidation type="list" allowBlank="1" showInputMessage="1" showErrorMessage="1" sqref="ERC65541:ERC65564">
      <formula1>項目!C17:$EQW$65537</formula1>
    </dataValidation>
    <dataValidation type="list" allowBlank="1" showInputMessage="1" showErrorMessage="1" sqref="FAY65541:FAY65564">
      <formula1>項目!C17:$FAS$65537</formula1>
    </dataValidation>
    <dataValidation type="list" allowBlank="1" showInputMessage="1" showErrorMessage="1" sqref="FKU65541:FKU65564">
      <formula1>項目!C17:$FKO$65537</formula1>
    </dataValidation>
    <dataValidation type="list" allowBlank="1" showInputMessage="1" showErrorMessage="1" sqref="FUQ65541:FUQ65564">
      <formula1>項目!C17:$FUK$65537</formula1>
    </dataValidation>
    <dataValidation type="list" allowBlank="1" showInputMessage="1" showErrorMessage="1" sqref="GEM65541:GEM65564">
      <formula1>項目!C17:$GEG$65537</formula1>
    </dataValidation>
    <dataValidation type="list" allowBlank="1" showInputMessage="1" showErrorMessage="1" sqref="GOI65541:GOI65564">
      <formula1>項目!C17:$GOC$65537</formula1>
    </dataValidation>
    <dataValidation type="list" allowBlank="1" showInputMessage="1" showErrorMessage="1" sqref="GYE65541:GYE65564">
      <formula1>項目!C17:$GXY$65537</formula1>
    </dataValidation>
    <dataValidation type="list" allowBlank="1" showInputMessage="1" showErrorMessage="1" sqref="HIA65541:HIA65564">
      <formula1>項目!C17:$HHU$65537</formula1>
    </dataValidation>
    <dataValidation type="list" allowBlank="1" showInputMessage="1" showErrorMessage="1" sqref="HRW65541:HRW65564">
      <formula1>項目!C17:$HRQ$65537</formula1>
    </dataValidation>
    <dataValidation type="list" allowBlank="1" showInputMessage="1" showErrorMessage="1" sqref="IBS65541:IBS65564">
      <formula1>項目!C17:$IBM$65537</formula1>
    </dataValidation>
    <dataValidation type="list" allowBlank="1" showInputMessage="1" showErrorMessage="1" sqref="ILO65541:ILO65564">
      <formula1>項目!C17:$ILI$65537</formula1>
    </dataValidation>
    <dataValidation type="list" allowBlank="1" showInputMessage="1" showErrorMessage="1" sqref="IVK65541:IVK65564">
      <formula1>項目!C17:$IVE$65537</formula1>
    </dataValidation>
    <dataValidation type="list" allowBlank="1" showInputMessage="1" showErrorMessage="1" sqref="JFG65541:JFG65564">
      <formula1>項目!C17:$JFA$65537</formula1>
    </dataValidation>
    <dataValidation type="list" allowBlank="1" showInputMessage="1" showErrorMessage="1" sqref="JPC65541:JPC65564">
      <formula1>項目!C17:$JOW$65537</formula1>
    </dataValidation>
    <dataValidation type="list" allowBlank="1" showInputMessage="1" showErrorMessage="1" sqref="JYY65541:JYY65564">
      <formula1>項目!C17:$JYS$65537</formula1>
    </dataValidation>
    <dataValidation type="list" allowBlank="1" showInputMessage="1" showErrorMessage="1" sqref="KIU65541:KIU65564">
      <formula1>項目!C17:$KIO$65537</formula1>
    </dataValidation>
    <dataValidation type="list" allowBlank="1" showInputMessage="1" showErrorMessage="1" sqref="KSQ65541:KSQ65564">
      <formula1>項目!C17:$KSK$65537</formula1>
    </dataValidation>
    <dataValidation type="list" allowBlank="1" showInputMessage="1" showErrorMessage="1" sqref="LCM65541:LCM65564">
      <formula1>項目!C17:$LCG$65537</formula1>
    </dataValidation>
    <dataValidation type="list" allowBlank="1" showInputMessage="1" showErrorMessage="1" sqref="LMI65541:LMI65564">
      <formula1>項目!C17:$LMC$65537</formula1>
    </dataValidation>
    <dataValidation type="list" allowBlank="1" showInputMessage="1" showErrorMessage="1" sqref="LWE65541:LWE65564">
      <formula1>項目!C17:$LVY$65537</formula1>
    </dataValidation>
    <dataValidation type="list" allowBlank="1" showInputMessage="1" showErrorMessage="1" sqref="MGA65541:MGA65564">
      <formula1>項目!C17:$MFU$65537</formula1>
    </dataValidation>
    <dataValidation type="list" allowBlank="1" showInputMessage="1" showErrorMessage="1" sqref="MPW65541:MPW65564">
      <formula1>項目!C17:$MPQ$65537</formula1>
    </dataValidation>
    <dataValidation type="list" allowBlank="1" showInputMessage="1" showErrorMessage="1" sqref="MZS65541:MZS65564">
      <formula1>項目!C17:$MZM$65537</formula1>
    </dataValidation>
    <dataValidation type="list" allowBlank="1" showInputMessage="1" showErrorMessage="1" sqref="NJO65541:NJO65564">
      <formula1>項目!C17:$NJI$65537</formula1>
    </dataValidation>
    <dataValidation type="list" allowBlank="1" showInputMessage="1" showErrorMessage="1" sqref="NTK65541:NTK65564">
      <formula1>項目!C17:$NTE$65537</formula1>
    </dataValidation>
    <dataValidation type="list" allowBlank="1" showInputMessage="1" showErrorMessage="1" sqref="ODG65541:ODG65564">
      <formula1>項目!C17:$ODA$65537</formula1>
    </dataValidation>
    <dataValidation type="list" allowBlank="1" showInputMessage="1" showErrorMessage="1" sqref="ONC65541:ONC65564">
      <formula1>項目!C17:$OMW$65537</formula1>
    </dataValidation>
    <dataValidation type="list" allowBlank="1" showInputMessage="1" showErrorMessage="1" sqref="OWY65541:OWY65564">
      <formula1>項目!C17:$OWS$65537</formula1>
    </dataValidation>
    <dataValidation type="list" allowBlank="1" showInputMessage="1" showErrorMessage="1" sqref="PGU65541:PGU65564">
      <formula1>項目!C17:$PGO$65537</formula1>
    </dataValidation>
    <dataValidation type="list" allowBlank="1" showInputMessage="1" showErrorMessage="1" sqref="PQQ65541:PQQ65564">
      <formula1>項目!C17:$PQK$65537</formula1>
    </dataValidation>
    <dataValidation type="list" allowBlank="1" showInputMessage="1" showErrorMessage="1" sqref="QAM65541:QAM65564">
      <formula1>項目!C17:$QAG$65537</formula1>
    </dataValidation>
    <dataValidation type="list" allowBlank="1" showInputMessage="1" showErrorMessage="1" sqref="QKI65541:QKI65564">
      <formula1>項目!C17:$QKC$65537</formula1>
    </dataValidation>
    <dataValidation type="list" allowBlank="1" showInputMessage="1" showErrorMessage="1" sqref="QUE65541:QUE65564">
      <formula1>項目!C17:$QTY$65537</formula1>
    </dataValidation>
    <dataValidation type="list" allowBlank="1" showInputMessage="1" showErrorMessage="1" sqref="REA65541:REA65564">
      <formula1>項目!C17:$RDU$65537</formula1>
    </dataValidation>
    <dataValidation type="list" allowBlank="1" showInputMessage="1" showErrorMessage="1" sqref="RNW65541:RNW65564">
      <formula1>項目!C17:$RNQ$65537</formula1>
    </dataValidation>
    <dataValidation type="list" allowBlank="1" showInputMessage="1" showErrorMessage="1" sqref="RXS65541:RXS65564">
      <formula1>項目!C17:$RXM$65537</formula1>
    </dataValidation>
    <dataValidation type="list" allowBlank="1" showInputMessage="1" showErrorMessage="1" sqref="SHO65541:SHO65564">
      <formula1>項目!C17:$SHI$65537</formula1>
    </dataValidation>
    <dataValidation type="list" allowBlank="1" showInputMessage="1" showErrorMessage="1" sqref="SRK65541:SRK65564">
      <formula1>項目!C17:$SRE$65537</formula1>
    </dataValidation>
    <dataValidation type="list" allowBlank="1" showInputMessage="1" showErrorMessage="1" sqref="TBG65541:TBG65564">
      <formula1>項目!C17:$TBA$65537</formula1>
    </dataValidation>
    <dataValidation type="list" allowBlank="1" showInputMessage="1" showErrorMessage="1" sqref="TLC65541:TLC65564">
      <formula1>項目!C17:$TKW$65537</formula1>
    </dataValidation>
    <dataValidation type="list" allowBlank="1" showInputMessage="1" showErrorMessage="1" sqref="TUY65541:TUY65564">
      <formula1>項目!C17:$TUS$65537</formula1>
    </dataValidation>
    <dataValidation type="list" allowBlank="1" showInputMessage="1" showErrorMessage="1" sqref="UEU65541:UEU65564">
      <formula1>項目!C17:$UEO$65537</formula1>
    </dataValidation>
    <dataValidation type="list" allowBlank="1" showInputMessage="1" showErrorMessage="1" sqref="UOQ65541:UOQ65564">
      <formula1>項目!C17:$UOK$65537</formula1>
    </dataValidation>
    <dataValidation type="list" allowBlank="1" showInputMessage="1" showErrorMessage="1" sqref="UYM65541:UYM65564">
      <formula1>項目!C17:$UYG$65537</formula1>
    </dataValidation>
    <dataValidation type="list" allowBlank="1" showInputMessage="1" showErrorMessage="1" sqref="VII65541:VII65564">
      <formula1>項目!C17:$VIC$65537</formula1>
    </dataValidation>
    <dataValidation type="list" allowBlank="1" showInputMessage="1" showErrorMessage="1" sqref="VSE65541:VSE65564">
      <formula1>項目!C17:$VRY$65537</formula1>
    </dataValidation>
    <dataValidation type="list" allowBlank="1" showInputMessage="1" showErrorMessage="1" sqref="WCA65541:WCA65564">
      <formula1>項目!C17:$WBU$65537</formula1>
    </dataValidation>
    <dataValidation type="list" allowBlank="1" showInputMessage="1" showErrorMessage="1" sqref="WLW65541:WLW65564">
      <formula1>項目!C17:$WLQ$65537</formula1>
    </dataValidation>
    <dataValidation type="list" allowBlank="1" showInputMessage="1" showErrorMessage="1" sqref="WVS65541:WVS65564">
      <formula1>項目!C17:$WVM$65537</formula1>
    </dataValidation>
    <dataValidation type="list" allowBlank="1" showInputMessage="1" showErrorMessage="1" sqref="JG131077:JG131100">
      <formula1>項目!C17:$JA$131073</formula1>
    </dataValidation>
    <dataValidation type="list" allowBlank="1" showInputMessage="1" showErrorMessage="1" sqref="TC131077:TC131100">
      <formula1>項目!C17:$SW$131073</formula1>
    </dataValidation>
    <dataValidation type="list" allowBlank="1" showInputMessage="1" showErrorMessage="1" sqref="ACY131077:ACY131100">
      <formula1>項目!C17:$ACS$131073</formula1>
    </dataValidation>
    <dataValidation type="list" allowBlank="1" showInputMessage="1" showErrorMessage="1" sqref="AMU131077:AMU131100">
      <formula1>項目!C17:$AMO$131073</formula1>
    </dataValidation>
    <dataValidation type="list" allowBlank="1" showInputMessage="1" showErrorMessage="1" sqref="AWQ131077:AWQ131100">
      <formula1>項目!C17:$AWK$131073</formula1>
    </dataValidation>
    <dataValidation type="list" allowBlank="1" showInputMessage="1" showErrorMessage="1" sqref="BGM131077:BGM131100">
      <formula1>項目!C17:$BGG$131073</formula1>
    </dataValidation>
    <dataValidation type="list" allowBlank="1" showInputMessage="1" showErrorMessage="1" sqref="BQI131077:BQI131100">
      <formula1>項目!C17:$BQC$131073</formula1>
    </dataValidation>
    <dataValidation type="list" allowBlank="1" showInputMessage="1" showErrorMessage="1" sqref="CAE131077:CAE131100">
      <formula1>項目!C17:$BZY$131073</formula1>
    </dataValidation>
    <dataValidation type="list" allowBlank="1" showInputMessage="1" showErrorMessage="1" sqref="CKA131077:CKA131100">
      <formula1>項目!C17:$CJU$131073</formula1>
    </dataValidation>
    <dataValidation type="list" allowBlank="1" showInputMessage="1" showErrorMessage="1" sqref="CTW131077:CTW131100">
      <formula1>項目!C17:$CTQ$131073</formula1>
    </dataValidation>
    <dataValidation type="list" allowBlank="1" showInputMessage="1" showErrorMessage="1" sqref="DDS131077:DDS131100">
      <formula1>項目!C17:$DDM$131073</formula1>
    </dataValidation>
    <dataValidation type="list" allowBlank="1" showInputMessage="1" showErrorMessage="1" sqref="DNO131077:DNO131100">
      <formula1>項目!C17:$DNI$131073</formula1>
    </dataValidation>
    <dataValidation type="list" allowBlank="1" showInputMessage="1" showErrorMessage="1" sqref="DXK131077:DXK131100">
      <formula1>項目!C17:$DXE$131073</formula1>
    </dataValidation>
    <dataValidation type="list" allowBlank="1" showInputMessage="1" showErrorMessage="1" sqref="EHG131077:EHG131100">
      <formula1>項目!C17:$EHA$131073</formula1>
    </dataValidation>
    <dataValidation type="list" allowBlank="1" showInputMessage="1" showErrorMessage="1" sqref="ERC131077:ERC131100">
      <formula1>項目!C17:$EQW$131073</formula1>
    </dataValidation>
    <dataValidation type="list" allowBlank="1" showInputMessage="1" showErrorMessage="1" sqref="FAY131077:FAY131100">
      <formula1>項目!C17:$FAS$131073</formula1>
    </dataValidation>
    <dataValidation type="list" allowBlank="1" showInputMessage="1" showErrorMessage="1" sqref="FKU131077:FKU131100">
      <formula1>項目!C17:$FKO$131073</formula1>
    </dataValidation>
    <dataValidation type="list" allowBlank="1" showInputMessage="1" showErrorMessage="1" sqref="FUQ131077:FUQ131100">
      <formula1>項目!C17:$FUK$131073</formula1>
    </dataValidation>
    <dataValidation type="list" allowBlank="1" showInputMessage="1" showErrorMessage="1" sqref="GEM131077:GEM131100">
      <formula1>項目!C17:$GEG$131073</formula1>
    </dataValidation>
    <dataValidation type="list" allowBlank="1" showInputMessage="1" showErrorMessage="1" sqref="GOI131077:GOI131100">
      <formula1>項目!C17:$GOC$131073</formula1>
    </dataValidation>
    <dataValidation type="list" allowBlank="1" showInputMessage="1" showErrorMessage="1" sqref="GYE131077:GYE131100">
      <formula1>項目!C17:$GXY$131073</formula1>
    </dataValidation>
    <dataValidation type="list" allowBlank="1" showInputMessage="1" showErrorMessage="1" sqref="HIA131077:HIA131100">
      <formula1>項目!C17:$HHU$131073</formula1>
    </dataValidation>
    <dataValidation type="list" allowBlank="1" showInputMessage="1" showErrorMessage="1" sqref="HRW131077:HRW131100">
      <formula1>項目!C17:$HRQ$131073</formula1>
    </dataValidation>
    <dataValidation type="list" allowBlank="1" showInputMessage="1" showErrorMessage="1" sqref="IBS131077:IBS131100">
      <formula1>項目!C17:$IBM$131073</formula1>
    </dataValidation>
    <dataValidation type="list" allowBlank="1" showInputMessage="1" showErrorMessage="1" sqref="ILO131077:ILO131100">
      <formula1>項目!C17:$ILI$131073</formula1>
    </dataValidation>
    <dataValidation type="list" allowBlank="1" showInputMessage="1" showErrorMessage="1" sqref="IVK131077:IVK131100">
      <formula1>項目!C17:$IVE$131073</formula1>
    </dataValidation>
    <dataValidation type="list" allowBlank="1" showInputMessage="1" showErrorMessage="1" sqref="JFG131077:JFG131100">
      <formula1>項目!C17:$JFA$131073</formula1>
    </dataValidation>
    <dataValidation type="list" allowBlank="1" showInputMessage="1" showErrorMessage="1" sqref="JPC131077:JPC131100">
      <formula1>項目!C17:$JOW$131073</formula1>
    </dataValidation>
    <dataValidation type="list" allowBlank="1" showInputMessage="1" showErrorMessage="1" sqref="JYY131077:JYY131100">
      <formula1>項目!C17:$JYS$131073</formula1>
    </dataValidation>
    <dataValidation type="list" allowBlank="1" showInputMessage="1" showErrorMessage="1" sqref="KIU131077:KIU131100">
      <formula1>項目!C17:$KIO$131073</formula1>
    </dataValidation>
    <dataValidation type="list" allowBlank="1" showInputMessage="1" showErrorMessage="1" sqref="KSQ131077:KSQ131100">
      <formula1>項目!C17:$KSK$131073</formula1>
    </dataValidation>
    <dataValidation type="list" allowBlank="1" showInputMessage="1" showErrorMessage="1" sqref="LCM131077:LCM131100">
      <formula1>項目!C17:$LCG$131073</formula1>
    </dataValidation>
    <dataValidation type="list" allowBlank="1" showInputMessage="1" showErrorMessage="1" sqref="LMI131077:LMI131100">
      <formula1>項目!C17:$LMC$131073</formula1>
    </dataValidation>
    <dataValidation type="list" allowBlank="1" showInputMessage="1" showErrorMessage="1" sqref="LWE131077:LWE131100">
      <formula1>項目!C17:$LVY$131073</formula1>
    </dataValidation>
    <dataValidation type="list" allowBlank="1" showInputMessage="1" showErrorMessage="1" sqref="MGA131077:MGA131100">
      <formula1>項目!C17:$MFU$131073</formula1>
    </dataValidation>
    <dataValidation type="list" allowBlank="1" showInputMessage="1" showErrorMessage="1" sqref="MPW131077:MPW131100">
      <formula1>項目!C17:$MPQ$131073</formula1>
    </dataValidation>
    <dataValidation type="list" allowBlank="1" showInputMessage="1" showErrorMessage="1" sqref="MZS131077:MZS131100">
      <formula1>項目!C17:$MZM$131073</formula1>
    </dataValidation>
    <dataValidation type="list" allowBlank="1" showInputMessage="1" showErrorMessage="1" sqref="NJO131077:NJO131100">
      <formula1>項目!C17:$NJI$131073</formula1>
    </dataValidation>
    <dataValidation type="list" allowBlank="1" showInputMessage="1" showErrorMessage="1" sqref="NTK131077:NTK131100">
      <formula1>項目!C17:$NTE$131073</formula1>
    </dataValidation>
    <dataValidation type="list" allowBlank="1" showInputMessage="1" showErrorMessage="1" sqref="ODG131077:ODG131100">
      <formula1>項目!C17:$ODA$131073</formula1>
    </dataValidation>
    <dataValidation type="list" allowBlank="1" showInputMessage="1" showErrorMessage="1" sqref="ONC131077:ONC131100">
      <formula1>項目!C17:$OMW$131073</formula1>
    </dataValidation>
    <dataValidation type="list" allowBlank="1" showInputMessage="1" showErrorMessage="1" sqref="OWY131077:OWY131100">
      <formula1>項目!C17:$OWS$131073</formula1>
    </dataValidation>
    <dataValidation type="list" allowBlank="1" showInputMessage="1" showErrorMessage="1" sqref="PGU131077:PGU131100">
      <formula1>項目!C17:$PGO$131073</formula1>
    </dataValidation>
    <dataValidation type="list" allowBlank="1" showInputMessage="1" showErrorMessage="1" sqref="PQQ131077:PQQ131100">
      <formula1>項目!C17:$PQK$131073</formula1>
    </dataValidation>
    <dataValidation type="list" allowBlank="1" showInputMessage="1" showErrorMessage="1" sqref="QAM131077:QAM131100">
      <formula1>項目!C17:$QAG$131073</formula1>
    </dataValidation>
    <dataValidation type="list" allowBlank="1" showInputMessage="1" showErrorMessage="1" sqref="QKI131077:QKI131100">
      <formula1>項目!C17:$QKC$131073</formula1>
    </dataValidation>
    <dataValidation type="list" allowBlank="1" showInputMessage="1" showErrorMessage="1" sqref="QUE131077:QUE131100">
      <formula1>項目!C17:$QTY$131073</formula1>
    </dataValidation>
    <dataValidation type="list" allowBlank="1" showInputMessage="1" showErrorMessage="1" sqref="REA131077:REA131100">
      <formula1>項目!C17:$RDU$131073</formula1>
    </dataValidation>
    <dataValidation type="list" allowBlank="1" showInputMessage="1" showErrorMessage="1" sqref="RNW131077:RNW131100">
      <formula1>項目!C17:$RNQ$131073</formula1>
    </dataValidation>
    <dataValidation type="list" allowBlank="1" showInputMessage="1" showErrorMessage="1" sqref="RXS131077:RXS131100">
      <formula1>項目!C17:$RXM$131073</formula1>
    </dataValidation>
    <dataValidation type="list" allowBlank="1" showInputMessage="1" showErrorMessage="1" sqref="SHO131077:SHO131100">
      <formula1>項目!C17:$SHI$131073</formula1>
    </dataValidation>
    <dataValidation type="list" allowBlank="1" showInputMessage="1" showErrorMessage="1" sqref="SRK131077:SRK131100">
      <formula1>項目!C17:$SRE$131073</formula1>
    </dataValidation>
    <dataValidation type="list" allowBlank="1" showInputMessage="1" showErrorMessage="1" sqref="TBG131077:TBG131100">
      <formula1>項目!C17:$TBA$131073</formula1>
    </dataValidation>
    <dataValidation type="list" allowBlank="1" showInputMessage="1" showErrorMessage="1" sqref="TLC131077:TLC131100">
      <formula1>項目!C17:$TKW$131073</formula1>
    </dataValidation>
    <dataValidation type="list" allowBlank="1" showInputMessage="1" showErrorMessage="1" sqref="TUY131077:TUY131100">
      <formula1>項目!C17:$TUS$131073</formula1>
    </dataValidation>
    <dataValidation type="list" allowBlank="1" showInputMessage="1" showErrorMessage="1" sqref="UEU131077:UEU131100">
      <formula1>項目!C17:$UEO$131073</formula1>
    </dataValidation>
    <dataValidation type="list" allowBlank="1" showInputMessage="1" showErrorMessage="1" sqref="UOQ131077:UOQ131100">
      <formula1>項目!C17:$UOK$131073</formula1>
    </dataValidation>
    <dataValidation type="list" allowBlank="1" showInputMessage="1" showErrorMessage="1" sqref="UYM131077:UYM131100">
      <formula1>項目!C17:$UYG$131073</formula1>
    </dataValidation>
    <dataValidation type="list" allowBlank="1" showInputMessage="1" showErrorMessage="1" sqref="VII131077:VII131100">
      <formula1>項目!C17:$VIC$131073</formula1>
    </dataValidation>
    <dataValidation type="list" allowBlank="1" showInputMessage="1" showErrorMessage="1" sqref="VSE131077:VSE131100">
      <formula1>項目!C17:$VRY$131073</formula1>
    </dataValidation>
    <dataValidation type="list" allowBlank="1" showInputMessage="1" showErrorMessage="1" sqref="WCA131077:WCA131100">
      <formula1>項目!C17:$WBU$131073</formula1>
    </dataValidation>
    <dataValidation type="list" allowBlank="1" showInputMessage="1" showErrorMessage="1" sqref="WLW131077:WLW131100">
      <formula1>項目!C17:$WLQ$131073</formula1>
    </dataValidation>
    <dataValidation type="list" allowBlank="1" showInputMessage="1" showErrorMessage="1" sqref="WVS131077:WVS131100">
      <formula1>項目!C17:$WVM$131073</formula1>
    </dataValidation>
    <dataValidation type="list" allowBlank="1" showInputMessage="1" showErrorMessage="1" sqref="JG196613:JG196636">
      <formula1>項目!C17:$JA$196609</formula1>
    </dataValidation>
    <dataValidation type="list" allowBlank="1" showInputMessage="1" showErrorMessage="1" sqref="TC196613:TC196636">
      <formula1>項目!C17:$SW$196609</formula1>
    </dataValidation>
    <dataValidation type="list" allowBlank="1" showInputMessage="1" showErrorMessage="1" sqref="ACY196613:ACY196636">
      <formula1>項目!C17:$ACS$196609</formula1>
    </dataValidation>
    <dataValidation type="list" allowBlank="1" showInputMessage="1" showErrorMessage="1" sqref="AMU196613:AMU196636">
      <formula1>項目!C17:$AMO$196609</formula1>
    </dataValidation>
    <dataValidation type="list" allowBlank="1" showInputMessage="1" showErrorMessage="1" sqref="AWQ196613:AWQ196636">
      <formula1>項目!C17:$AWK$196609</formula1>
    </dataValidation>
    <dataValidation type="list" allowBlank="1" showInputMessage="1" showErrorMessage="1" sqref="BGM196613:BGM196636">
      <formula1>項目!C17:$BGG$196609</formula1>
    </dataValidation>
    <dataValidation type="list" allowBlank="1" showInputMessage="1" showErrorMessage="1" sqref="BQI196613:BQI196636">
      <formula1>項目!C17:$BQC$196609</formula1>
    </dataValidation>
    <dataValidation type="list" allowBlank="1" showInputMessage="1" showErrorMessage="1" sqref="CAE196613:CAE196636">
      <formula1>項目!C17:$BZY$196609</formula1>
    </dataValidation>
    <dataValidation type="list" allowBlank="1" showInputMessage="1" showErrorMessage="1" sqref="CKA196613:CKA196636">
      <formula1>項目!C17:$CJU$196609</formula1>
    </dataValidation>
    <dataValidation type="list" allowBlank="1" showInputMessage="1" showErrorMessage="1" sqref="CTW196613:CTW196636">
      <formula1>項目!C17:$CTQ$196609</formula1>
    </dataValidation>
    <dataValidation type="list" allowBlank="1" showInputMessage="1" showErrorMessage="1" sqref="DDS196613:DDS196636">
      <formula1>項目!C17:$DDM$196609</formula1>
    </dataValidation>
    <dataValidation type="list" allowBlank="1" showInputMessage="1" showErrorMessage="1" sqref="DNO196613:DNO196636">
      <formula1>項目!C17:$DNI$196609</formula1>
    </dataValidation>
    <dataValidation type="list" allowBlank="1" showInputMessage="1" showErrorMessage="1" sqref="DXK196613:DXK196636">
      <formula1>項目!C17:$DXE$196609</formula1>
    </dataValidation>
    <dataValidation type="list" allowBlank="1" showInputMessage="1" showErrorMessage="1" sqref="EHG196613:EHG196636">
      <formula1>項目!C17:$EHA$196609</formula1>
    </dataValidation>
    <dataValidation type="list" allowBlank="1" showInputMessage="1" showErrorMessage="1" sqref="ERC196613:ERC196636">
      <formula1>項目!C17:$EQW$196609</formula1>
    </dataValidation>
    <dataValidation type="list" allowBlank="1" showInputMessage="1" showErrorMessage="1" sqref="FAY196613:FAY196636">
      <formula1>項目!C17:$FAS$196609</formula1>
    </dataValidation>
    <dataValidation type="list" allowBlank="1" showInputMessage="1" showErrorMessage="1" sqref="FKU196613:FKU196636">
      <formula1>項目!C17:$FKO$196609</formula1>
    </dataValidation>
    <dataValidation type="list" allowBlank="1" showInputMessage="1" showErrorMessage="1" sqref="FUQ196613:FUQ196636">
      <formula1>項目!C17:$FUK$196609</formula1>
    </dataValidation>
    <dataValidation type="list" allowBlank="1" showInputMessage="1" showErrorMessage="1" sqref="GEM196613:GEM196636">
      <formula1>項目!C17:$GEG$196609</formula1>
    </dataValidation>
    <dataValidation type="list" allowBlank="1" showInputMessage="1" showErrorMessage="1" sqref="GOI196613:GOI196636">
      <formula1>項目!C17:$GOC$196609</formula1>
    </dataValidation>
    <dataValidation type="list" allowBlank="1" showInputMessage="1" showErrorMessage="1" sqref="GYE196613:GYE196636">
      <formula1>項目!C17:$GXY$196609</formula1>
    </dataValidation>
    <dataValidation type="list" allowBlank="1" showInputMessage="1" showErrorMessage="1" sqref="HIA196613:HIA196636">
      <formula1>項目!C17:$HHU$196609</formula1>
    </dataValidation>
    <dataValidation type="list" allowBlank="1" showInputMessage="1" showErrorMessage="1" sqref="HRW196613:HRW196636">
      <formula1>項目!C17:$HRQ$196609</formula1>
    </dataValidation>
    <dataValidation type="list" allowBlank="1" showInputMessage="1" showErrorMessage="1" sqref="IBS196613:IBS196636">
      <formula1>項目!C17:$IBM$196609</formula1>
    </dataValidation>
    <dataValidation type="list" allowBlank="1" showInputMessage="1" showErrorMessage="1" sqref="ILO196613:ILO196636">
      <formula1>項目!C17:$ILI$196609</formula1>
    </dataValidation>
    <dataValidation type="list" allowBlank="1" showInputMessage="1" showErrorMessage="1" sqref="IVK196613:IVK196636">
      <formula1>項目!C17:$IVE$196609</formula1>
    </dataValidation>
    <dataValidation type="list" allowBlank="1" showInputMessage="1" showErrorMessage="1" sqref="JFG196613:JFG196636">
      <formula1>項目!C17:$JFA$196609</formula1>
    </dataValidation>
    <dataValidation type="list" allowBlank="1" showInputMessage="1" showErrorMessage="1" sqref="JPC196613:JPC196636">
      <formula1>項目!C17:$JOW$196609</formula1>
    </dataValidation>
    <dataValidation type="list" allowBlank="1" showInputMessage="1" showErrorMessage="1" sqref="JYY196613:JYY196636">
      <formula1>項目!C17:$JYS$196609</formula1>
    </dataValidation>
    <dataValidation type="list" allowBlank="1" showInputMessage="1" showErrorMessage="1" sqref="KIU196613:KIU196636">
      <formula1>項目!C17:$KIO$196609</formula1>
    </dataValidation>
    <dataValidation type="list" allowBlank="1" showInputMessage="1" showErrorMessage="1" sqref="KSQ196613:KSQ196636">
      <formula1>項目!C17:$KSK$196609</formula1>
    </dataValidation>
    <dataValidation type="list" allowBlank="1" showInputMessage="1" showErrorMessage="1" sqref="LCM196613:LCM196636">
      <formula1>項目!C17:$LCG$196609</formula1>
    </dataValidation>
    <dataValidation type="list" allowBlank="1" showInputMessage="1" showErrorMessage="1" sqref="LMI196613:LMI196636">
      <formula1>項目!C17:$LMC$196609</formula1>
    </dataValidation>
    <dataValidation type="list" allowBlank="1" showInputMessage="1" showErrorMessage="1" sqref="LWE196613:LWE196636">
      <formula1>項目!C17:$LVY$196609</formula1>
    </dataValidation>
    <dataValidation type="list" allowBlank="1" showInputMessage="1" showErrorMessage="1" sqref="MGA196613:MGA196636">
      <formula1>項目!C17:$MFU$196609</formula1>
    </dataValidation>
    <dataValidation type="list" allowBlank="1" showInputMessage="1" showErrorMessage="1" sqref="MPW196613:MPW196636">
      <formula1>項目!C17:$MPQ$196609</formula1>
    </dataValidation>
    <dataValidation type="list" allowBlank="1" showInputMessage="1" showErrorMessage="1" sqref="MZS196613:MZS196636">
      <formula1>項目!C17:$MZM$196609</formula1>
    </dataValidation>
    <dataValidation type="list" allowBlank="1" showInputMessage="1" showErrorMessage="1" sqref="NJO196613:NJO196636">
      <formula1>項目!C17:$NJI$196609</formula1>
    </dataValidation>
    <dataValidation type="list" allowBlank="1" showInputMessage="1" showErrorMessage="1" sqref="NTK196613:NTK196636">
      <formula1>項目!C17:$NTE$196609</formula1>
    </dataValidation>
    <dataValidation type="list" allowBlank="1" showInputMessage="1" showErrorMessage="1" sqref="ODG196613:ODG196636">
      <formula1>項目!C17:$ODA$196609</formula1>
    </dataValidation>
    <dataValidation type="list" allowBlank="1" showInputMessage="1" showErrorMessage="1" sqref="ONC196613:ONC196636">
      <formula1>項目!C17:$OMW$196609</formula1>
    </dataValidation>
    <dataValidation type="list" allowBlank="1" showInputMessage="1" showErrorMessage="1" sqref="OWY196613:OWY196636">
      <formula1>項目!C17:$OWS$196609</formula1>
    </dataValidation>
    <dataValidation type="list" allowBlank="1" showInputMessage="1" showErrorMessage="1" sqref="PGU196613:PGU196636">
      <formula1>項目!C17:$PGO$196609</formula1>
    </dataValidation>
    <dataValidation type="list" allowBlank="1" showInputMessage="1" showErrorMessage="1" sqref="PQQ196613:PQQ196636">
      <formula1>項目!C17:$PQK$196609</formula1>
    </dataValidation>
    <dataValidation type="list" allowBlank="1" showInputMessage="1" showErrorMessage="1" sqref="QAM196613:QAM196636">
      <formula1>項目!C17:$QAG$196609</formula1>
    </dataValidation>
    <dataValidation type="list" allowBlank="1" showInputMessage="1" showErrorMessage="1" sqref="QKI196613:QKI196636">
      <formula1>項目!C17:$QKC$196609</formula1>
    </dataValidation>
    <dataValidation type="list" allowBlank="1" showInputMessage="1" showErrorMessage="1" sqref="QUE196613:QUE196636">
      <formula1>項目!C17:$QTY$196609</formula1>
    </dataValidation>
    <dataValidation type="list" allowBlank="1" showInputMessage="1" showErrorMessage="1" sqref="REA196613:REA196636">
      <formula1>項目!C17:$RDU$196609</formula1>
    </dataValidation>
    <dataValidation type="list" allowBlank="1" showInputMessage="1" showErrorMessage="1" sqref="RNW196613:RNW196636">
      <formula1>項目!C17:$RNQ$196609</formula1>
    </dataValidation>
    <dataValidation type="list" allowBlank="1" showInputMessage="1" showErrorMessage="1" sqref="RXS196613:RXS196636">
      <formula1>項目!C17:$RXM$196609</formula1>
    </dataValidation>
    <dataValidation type="list" allowBlank="1" showInputMessage="1" showErrorMessage="1" sqref="SHO196613:SHO196636">
      <formula1>項目!C17:$SHI$196609</formula1>
    </dataValidation>
    <dataValidation type="list" allowBlank="1" showInputMessage="1" showErrorMessage="1" sqref="SRK196613:SRK196636">
      <formula1>項目!C17:$SRE$196609</formula1>
    </dataValidation>
    <dataValidation type="list" allowBlank="1" showInputMessage="1" showErrorMessage="1" sqref="TBG196613:TBG196636">
      <formula1>項目!C17:$TBA$196609</formula1>
    </dataValidation>
    <dataValidation type="list" allowBlank="1" showInputMessage="1" showErrorMessage="1" sqref="TLC196613:TLC196636">
      <formula1>項目!C17:$TKW$196609</formula1>
    </dataValidation>
    <dataValidation type="list" allowBlank="1" showInputMessage="1" showErrorMessage="1" sqref="TUY196613:TUY196636">
      <formula1>項目!C17:$TUS$196609</formula1>
    </dataValidation>
    <dataValidation type="list" allowBlank="1" showInputMessage="1" showErrorMessage="1" sqref="UEU196613:UEU196636">
      <formula1>項目!C17:$UEO$196609</formula1>
    </dataValidation>
    <dataValidation type="list" allowBlank="1" showInputMessage="1" showErrorMessage="1" sqref="UOQ196613:UOQ196636">
      <formula1>項目!C17:$UOK$196609</formula1>
    </dataValidation>
    <dataValidation type="list" allowBlank="1" showInputMessage="1" showErrorMessage="1" sqref="UYM196613:UYM196636">
      <formula1>項目!C17:$UYG$196609</formula1>
    </dataValidation>
    <dataValidation type="list" allowBlank="1" showInputMessage="1" showErrorMessage="1" sqref="VII196613:VII196636">
      <formula1>項目!C17:$VIC$196609</formula1>
    </dataValidation>
    <dataValidation type="list" allowBlank="1" showInputMessage="1" showErrorMessage="1" sqref="VSE196613:VSE196636">
      <formula1>項目!C17:$VRY$196609</formula1>
    </dataValidation>
    <dataValidation type="list" allowBlank="1" showInputMessage="1" showErrorMessage="1" sqref="WCA196613:WCA196636">
      <formula1>項目!C17:$WBU$196609</formula1>
    </dataValidation>
    <dataValidation type="list" allowBlank="1" showInputMessage="1" showErrorMessage="1" sqref="WLW196613:WLW196636">
      <formula1>項目!C17:$WLQ$196609</formula1>
    </dataValidation>
    <dataValidation type="list" allowBlank="1" showInputMessage="1" showErrorMessage="1" sqref="WVS196613:WVS196636">
      <formula1>項目!C17:$WVM$196609</formula1>
    </dataValidation>
    <dataValidation type="list" allowBlank="1" showInputMessage="1" showErrorMessage="1" sqref="JG262149:JG262172">
      <formula1>項目!C17:$JA$262145</formula1>
    </dataValidation>
    <dataValidation type="list" allowBlank="1" showInputMessage="1" showErrorMessage="1" sqref="TC262149:TC262172">
      <formula1>項目!C17:$SW$262145</formula1>
    </dataValidation>
    <dataValidation type="list" allowBlank="1" showInputMessage="1" showErrorMessage="1" sqref="ACY262149:ACY262172">
      <formula1>項目!C17:$ACS$262145</formula1>
    </dataValidation>
    <dataValidation type="list" allowBlank="1" showInputMessage="1" showErrorMessage="1" sqref="AMU262149:AMU262172">
      <formula1>項目!C17:$AMO$262145</formula1>
    </dataValidation>
    <dataValidation type="list" allowBlank="1" showInputMessage="1" showErrorMessage="1" sqref="AWQ262149:AWQ262172">
      <formula1>項目!C17:$AWK$262145</formula1>
    </dataValidation>
    <dataValidation type="list" allowBlank="1" showInputMessage="1" showErrorMessage="1" sqref="BGM262149:BGM262172">
      <formula1>項目!C17:$BGG$262145</formula1>
    </dataValidation>
    <dataValidation type="list" allowBlank="1" showInputMessage="1" showErrorMessage="1" sqref="BQI262149:BQI262172">
      <formula1>項目!C17:$BQC$262145</formula1>
    </dataValidation>
    <dataValidation type="list" allowBlank="1" showInputMessage="1" showErrorMessage="1" sqref="CAE262149:CAE262172">
      <formula1>項目!C17:$BZY$262145</formula1>
    </dataValidation>
    <dataValidation type="list" allowBlank="1" showInputMessage="1" showErrorMessage="1" sqref="CKA262149:CKA262172">
      <formula1>項目!C17:$CJU$262145</formula1>
    </dataValidation>
    <dataValidation type="list" allowBlank="1" showInputMessage="1" showErrorMessage="1" sqref="CTW262149:CTW262172">
      <formula1>項目!C17:$CTQ$262145</formula1>
    </dataValidation>
    <dataValidation type="list" allowBlank="1" showInputMessage="1" showErrorMessage="1" sqref="DDS262149:DDS262172">
      <formula1>項目!C17:$DDM$262145</formula1>
    </dataValidation>
    <dataValidation type="list" allowBlank="1" showInputMessage="1" showErrorMessage="1" sqref="DNO262149:DNO262172">
      <formula1>項目!C17:$DNI$262145</formula1>
    </dataValidation>
    <dataValidation type="list" allowBlank="1" showInputMessage="1" showErrorMessage="1" sqref="DXK262149:DXK262172">
      <formula1>項目!C17:$DXE$262145</formula1>
    </dataValidation>
    <dataValidation type="list" allowBlank="1" showInputMessage="1" showErrorMessage="1" sqref="EHG262149:EHG262172">
      <formula1>項目!C17:$EHA$262145</formula1>
    </dataValidation>
    <dataValidation type="list" allowBlank="1" showInputMessage="1" showErrorMessage="1" sqref="ERC262149:ERC262172">
      <formula1>項目!C17:$EQW$262145</formula1>
    </dataValidation>
    <dataValidation type="list" allowBlank="1" showInputMessage="1" showErrorMessage="1" sqref="FAY262149:FAY262172">
      <formula1>項目!C17:$FAS$262145</formula1>
    </dataValidation>
    <dataValidation type="list" allowBlank="1" showInputMessage="1" showErrorMessage="1" sqref="FKU262149:FKU262172">
      <formula1>項目!C17:$FKO$262145</formula1>
    </dataValidation>
    <dataValidation type="list" allowBlank="1" showInputMessage="1" showErrorMessage="1" sqref="FUQ262149:FUQ262172">
      <formula1>項目!C17:$FUK$262145</formula1>
    </dataValidation>
    <dataValidation type="list" allowBlank="1" showInputMessage="1" showErrorMessage="1" sqref="GEM262149:GEM262172">
      <formula1>項目!C17:$GEG$262145</formula1>
    </dataValidation>
    <dataValidation type="list" allowBlank="1" showInputMessage="1" showErrorMessage="1" sqref="GOI262149:GOI262172">
      <formula1>項目!C17:$GOC$262145</formula1>
    </dataValidation>
    <dataValidation type="list" allowBlank="1" showInputMessage="1" showErrorMessage="1" sqref="GYE262149:GYE262172">
      <formula1>項目!C17:$GXY$262145</formula1>
    </dataValidation>
    <dataValidation type="list" allowBlank="1" showInputMessage="1" showErrorMessage="1" sqref="HIA262149:HIA262172">
      <formula1>項目!C17:$HHU$262145</formula1>
    </dataValidation>
    <dataValidation type="list" allowBlank="1" showInputMessage="1" showErrorMessage="1" sqref="HRW262149:HRW262172">
      <formula1>項目!C17:$HRQ$262145</formula1>
    </dataValidation>
    <dataValidation type="list" allowBlank="1" showInputMessage="1" showErrorMessage="1" sqref="IBS262149:IBS262172">
      <formula1>項目!C17:$IBM$262145</formula1>
    </dataValidation>
    <dataValidation type="list" allowBlank="1" showInputMessage="1" showErrorMessage="1" sqref="ILO262149:ILO262172">
      <formula1>項目!C17:$ILI$262145</formula1>
    </dataValidation>
    <dataValidation type="list" allowBlank="1" showInputMessage="1" showErrorMessage="1" sqref="IVK262149:IVK262172">
      <formula1>項目!C17:$IVE$262145</formula1>
    </dataValidation>
    <dataValidation type="list" allowBlank="1" showInputMessage="1" showErrorMessage="1" sqref="JFG262149:JFG262172">
      <formula1>項目!C17:$JFA$262145</formula1>
    </dataValidation>
    <dataValidation type="list" allowBlank="1" showInputMessage="1" showErrorMessage="1" sqref="JPC262149:JPC262172">
      <formula1>項目!C17:$JOW$262145</formula1>
    </dataValidation>
    <dataValidation type="list" allowBlank="1" showInputMessage="1" showErrorMessage="1" sqref="JYY262149:JYY262172">
      <formula1>項目!C17:$JYS$262145</formula1>
    </dataValidation>
    <dataValidation type="list" allowBlank="1" showInputMessage="1" showErrorMessage="1" sqref="KIU262149:KIU262172">
      <formula1>項目!C17:$KIO$262145</formula1>
    </dataValidation>
    <dataValidation type="list" allowBlank="1" showInputMessage="1" showErrorMessage="1" sqref="KSQ262149:KSQ262172">
      <formula1>項目!C17:$KSK$262145</formula1>
    </dataValidation>
    <dataValidation type="list" allowBlank="1" showInputMessage="1" showErrorMessage="1" sqref="LCM262149:LCM262172">
      <formula1>項目!C17:$LCG$262145</formula1>
    </dataValidation>
    <dataValidation type="list" allowBlank="1" showInputMessage="1" showErrorMessage="1" sqref="LMI262149:LMI262172">
      <formula1>項目!C17:$LMC$262145</formula1>
    </dataValidation>
    <dataValidation type="list" allowBlank="1" showInputMessage="1" showErrorMessage="1" sqref="LWE262149:LWE262172">
      <formula1>項目!C17:$LVY$262145</formula1>
    </dataValidation>
    <dataValidation type="list" allowBlank="1" showInputMessage="1" showErrorMessage="1" sqref="MGA262149:MGA262172">
      <formula1>項目!C17:$MFU$262145</formula1>
    </dataValidation>
    <dataValidation type="list" allowBlank="1" showInputMessage="1" showErrorMessage="1" sqref="MPW262149:MPW262172">
      <formula1>項目!C17:$MPQ$262145</formula1>
    </dataValidation>
    <dataValidation type="list" allowBlank="1" showInputMessage="1" showErrorMessage="1" sqref="MZS262149:MZS262172">
      <formula1>項目!C17:$MZM$262145</formula1>
    </dataValidation>
    <dataValidation type="list" allowBlank="1" showInputMessage="1" showErrorMessage="1" sqref="NJO262149:NJO262172">
      <formula1>項目!C17:$NJI$262145</formula1>
    </dataValidation>
    <dataValidation type="list" allowBlank="1" showInputMessage="1" showErrorMessage="1" sqref="NTK262149:NTK262172">
      <formula1>項目!C17:$NTE$262145</formula1>
    </dataValidation>
    <dataValidation type="list" allowBlank="1" showInputMessage="1" showErrorMessage="1" sqref="ODG262149:ODG262172">
      <formula1>項目!C17:$ODA$262145</formula1>
    </dataValidation>
    <dataValidation type="list" allowBlank="1" showInputMessage="1" showErrorMessage="1" sqref="ONC262149:ONC262172">
      <formula1>項目!C17:$OMW$262145</formula1>
    </dataValidation>
    <dataValidation type="list" allowBlank="1" showInputMessage="1" showErrorMessage="1" sqref="OWY262149:OWY262172">
      <formula1>項目!C17:$OWS$262145</formula1>
    </dataValidation>
    <dataValidation type="list" allowBlank="1" showInputMessage="1" showErrorMessage="1" sqref="PGU262149:PGU262172">
      <formula1>項目!C17:$PGO$262145</formula1>
    </dataValidation>
    <dataValidation type="list" allowBlank="1" showInputMessage="1" showErrorMessage="1" sqref="PQQ262149:PQQ262172">
      <formula1>項目!C17:$PQK$262145</formula1>
    </dataValidation>
    <dataValidation type="list" allowBlank="1" showInputMessage="1" showErrorMessage="1" sqref="QAM262149:QAM262172">
      <formula1>項目!C17:$QAG$262145</formula1>
    </dataValidation>
    <dataValidation type="list" allowBlank="1" showInputMessage="1" showErrorMessage="1" sqref="QKI262149:QKI262172">
      <formula1>項目!C17:$QKC$262145</formula1>
    </dataValidation>
    <dataValidation type="list" allowBlank="1" showInputMessage="1" showErrorMessage="1" sqref="QUE262149:QUE262172">
      <formula1>項目!C17:$QTY$262145</formula1>
    </dataValidation>
    <dataValidation type="list" allowBlank="1" showInputMessage="1" showErrorMessage="1" sqref="REA262149:REA262172">
      <formula1>項目!C17:$RDU$262145</formula1>
    </dataValidation>
    <dataValidation type="list" allowBlank="1" showInputMessage="1" showErrorMessage="1" sqref="RNW262149:RNW262172">
      <formula1>項目!C17:$RNQ$262145</formula1>
    </dataValidation>
    <dataValidation type="list" allowBlank="1" showInputMessage="1" showErrorMessage="1" sqref="RXS262149:RXS262172">
      <formula1>項目!C17:$RXM$262145</formula1>
    </dataValidation>
    <dataValidation type="list" allowBlank="1" showInputMessage="1" showErrorMessage="1" sqref="SHO262149:SHO262172">
      <formula1>項目!C17:$SHI$262145</formula1>
    </dataValidation>
    <dataValidation type="list" allowBlank="1" showInputMessage="1" showErrorMessage="1" sqref="SRK262149:SRK262172">
      <formula1>項目!C17:$SRE$262145</formula1>
    </dataValidation>
    <dataValidation type="list" allowBlank="1" showInputMessage="1" showErrorMessage="1" sqref="TBG262149:TBG262172">
      <formula1>項目!C17:$TBA$262145</formula1>
    </dataValidation>
    <dataValidation type="list" allowBlank="1" showInputMessage="1" showErrorMessage="1" sqref="TLC262149:TLC262172">
      <formula1>項目!C17:$TKW$262145</formula1>
    </dataValidation>
    <dataValidation type="list" allowBlank="1" showInputMessage="1" showErrorMessage="1" sqref="TUY262149:TUY262172">
      <formula1>項目!C17:$TUS$262145</formula1>
    </dataValidation>
    <dataValidation type="list" allowBlank="1" showInputMessage="1" showErrorMessage="1" sqref="UEU262149:UEU262172">
      <formula1>項目!C17:$UEO$262145</formula1>
    </dataValidation>
    <dataValidation type="list" allowBlank="1" showInputMessage="1" showErrorMessage="1" sqref="UOQ262149:UOQ262172">
      <formula1>項目!C17:$UOK$262145</formula1>
    </dataValidation>
    <dataValidation type="list" allowBlank="1" showInputMessage="1" showErrorMessage="1" sqref="UYM262149:UYM262172">
      <formula1>項目!C17:$UYG$262145</formula1>
    </dataValidation>
    <dataValidation type="list" allowBlank="1" showInputMessage="1" showErrorMessage="1" sqref="VII262149:VII262172">
      <formula1>項目!C17:$VIC$262145</formula1>
    </dataValidation>
    <dataValidation type="list" allowBlank="1" showInputMessage="1" showErrorMessage="1" sqref="VSE262149:VSE262172">
      <formula1>項目!C17:$VRY$262145</formula1>
    </dataValidation>
    <dataValidation type="list" allowBlank="1" showInputMessage="1" showErrorMessage="1" sqref="WCA262149:WCA262172">
      <formula1>項目!C17:$WBU$262145</formula1>
    </dataValidation>
    <dataValidation type="list" allowBlank="1" showInputMessage="1" showErrorMessage="1" sqref="WLW262149:WLW262172">
      <formula1>項目!C17:$WLQ$262145</formula1>
    </dataValidation>
    <dataValidation type="list" allowBlank="1" showInputMessage="1" showErrorMessage="1" sqref="WVS262149:WVS262172">
      <formula1>項目!C17:$WVM$262145</formula1>
    </dataValidation>
    <dataValidation type="list" allowBlank="1" showInputMessage="1" showErrorMessage="1" sqref="JG327685:JG327708">
      <formula1>項目!C17:$JA$327681</formula1>
    </dataValidation>
    <dataValidation type="list" allowBlank="1" showInputMessage="1" showErrorMessage="1" sqref="TC327685:TC327708">
      <formula1>項目!C17:$SW$327681</formula1>
    </dataValidation>
    <dataValidation type="list" allowBlank="1" showInputMessage="1" showErrorMessage="1" sqref="ACY327685:ACY327708">
      <formula1>項目!C17:$ACS$327681</formula1>
    </dataValidation>
    <dataValidation type="list" allowBlank="1" showInputMessage="1" showErrorMessage="1" sqref="AMU327685:AMU327708">
      <formula1>項目!C17:$AMO$327681</formula1>
    </dataValidation>
    <dataValidation type="list" allowBlank="1" showInputMessage="1" showErrorMessage="1" sqref="AWQ327685:AWQ327708">
      <formula1>項目!C17:$AWK$327681</formula1>
    </dataValidation>
    <dataValidation type="list" allowBlank="1" showInputMessage="1" showErrorMessage="1" sqref="BGM327685:BGM327708">
      <formula1>項目!C17:$BGG$327681</formula1>
    </dataValidation>
    <dataValidation type="list" allowBlank="1" showInputMessage="1" showErrorMessage="1" sqref="BQI327685:BQI327708">
      <formula1>項目!C17:$BQC$327681</formula1>
    </dataValidation>
    <dataValidation type="list" allowBlank="1" showInputMessage="1" showErrorMessage="1" sqref="CAE327685:CAE327708">
      <formula1>項目!C17:$BZY$327681</formula1>
    </dataValidation>
    <dataValidation type="list" allowBlank="1" showInputMessage="1" showErrorMessage="1" sqref="CKA327685:CKA327708">
      <formula1>項目!C17:$CJU$327681</formula1>
    </dataValidation>
    <dataValidation type="list" allowBlank="1" showInputMessage="1" showErrorMessage="1" sqref="CTW327685:CTW327708">
      <formula1>項目!C17:$CTQ$327681</formula1>
    </dataValidation>
    <dataValidation type="list" allowBlank="1" showInputMessage="1" showErrorMessage="1" sqref="DDS327685:DDS327708">
      <formula1>項目!C17:$DDM$327681</formula1>
    </dataValidation>
    <dataValidation type="list" allowBlank="1" showInputMessage="1" showErrorMessage="1" sqref="DNO327685:DNO327708">
      <formula1>項目!C17:$DNI$327681</formula1>
    </dataValidation>
    <dataValidation type="list" allowBlank="1" showInputMessage="1" showErrorMessage="1" sqref="DXK327685:DXK327708">
      <formula1>項目!C17:$DXE$327681</formula1>
    </dataValidation>
    <dataValidation type="list" allowBlank="1" showInputMessage="1" showErrorMessage="1" sqref="EHG327685:EHG327708">
      <formula1>項目!C17:$EHA$327681</formula1>
    </dataValidation>
    <dataValidation type="list" allowBlank="1" showInputMessage="1" showErrorMessage="1" sqref="ERC327685:ERC327708">
      <formula1>項目!C17:$EQW$327681</formula1>
    </dataValidation>
    <dataValidation type="list" allowBlank="1" showInputMessage="1" showErrorMessage="1" sqref="FAY327685:FAY327708">
      <formula1>項目!C17:$FAS$327681</formula1>
    </dataValidation>
    <dataValidation type="list" allowBlank="1" showInputMessage="1" showErrorMessage="1" sqref="FKU327685:FKU327708">
      <formula1>項目!C17:$FKO$327681</formula1>
    </dataValidation>
    <dataValidation type="list" allowBlank="1" showInputMessage="1" showErrorMessage="1" sqref="FUQ327685:FUQ327708">
      <formula1>項目!C17:$FUK$327681</formula1>
    </dataValidation>
    <dataValidation type="list" allowBlank="1" showInputMessage="1" showErrorMessage="1" sqref="GEM327685:GEM327708">
      <formula1>項目!C17:$GEG$327681</formula1>
    </dataValidation>
    <dataValidation type="list" allowBlank="1" showInputMessage="1" showErrorMessage="1" sqref="GOI327685:GOI327708">
      <formula1>項目!C17:$GOC$327681</formula1>
    </dataValidation>
    <dataValidation type="list" allowBlank="1" showInputMessage="1" showErrorMessage="1" sqref="GYE327685:GYE327708">
      <formula1>項目!C17:$GXY$327681</formula1>
    </dataValidation>
    <dataValidation type="list" allowBlank="1" showInputMessage="1" showErrorMessage="1" sqref="HIA327685:HIA327708">
      <formula1>項目!C17:$HHU$327681</formula1>
    </dataValidation>
    <dataValidation type="list" allowBlank="1" showInputMessage="1" showErrorMessage="1" sqref="HRW327685:HRW327708">
      <formula1>項目!C17:$HRQ$327681</formula1>
    </dataValidation>
    <dataValidation type="list" allowBlank="1" showInputMessage="1" showErrorMessage="1" sqref="IBS327685:IBS327708">
      <formula1>項目!C17:$IBM$327681</formula1>
    </dataValidation>
    <dataValidation type="list" allowBlank="1" showInputMessage="1" showErrorMessage="1" sqref="ILO327685:ILO327708">
      <formula1>項目!C17:$ILI$327681</formula1>
    </dataValidation>
    <dataValidation type="list" allowBlank="1" showInputMessage="1" showErrorMessage="1" sqref="IVK327685:IVK327708">
      <formula1>項目!C17:$IVE$327681</formula1>
    </dataValidation>
    <dataValidation type="list" allowBlank="1" showInputMessage="1" showErrorMessage="1" sqref="JFG327685:JFG327708">
      <formula1>項目!C17:$JFA$327681</formula1>
    </dataValidation>
    <dataValidation type="list" allowBlank="1" showInputMessage="1" showErrorMessage="1" sqref="JPC327685:JPC327708">
      <formula1>項目!C17:$JOW$327681</formula1>
    </dataValidation>
    <dataValidation type="list" allowBlank="1" showInputMessage="1" showErrorMessage="1" sqref="JYY327685:JYY327708">
      <formula1>項目!C17:$JYS$327681</formula1>
    </dataValidation>
    <dataValidation type="list" allowBlank="1" showInputMessage="1" showErrorMessage="1" sqref="KIU327685:KIU327708">
      <formula1>項目!C17:$KIO$327681</formula1>
    </dataValidation>
    <dataValidation type="list" allowBlank="1" showInputMessage="1" showErrorMessage="1" sqref="KSQ327685:KSQ327708">
      <formula1>項目!C17:$KSK$327681</formula1>
    </dataValidation>
    <dataValidation type="list" allowBlank="1" showInputMessage="1" showErrorMessage="1" sqref="LCM327685:LCM327708">
      <formula1>項目!C17:$LCG$327681</formula1>
    </dataValidation>
    <dataValidation type="list" allowBlank="1" showInputMessage="1" showErrorMessage="1" sqref="LMI327685:LMI327708">
      <formula1>項目!C17:$LMC$327681</formula1>
    </dataValidation>
    <dataValidation type="list" allowBlank="1" showInputMessage="1" showErrorMessage="1" sqref="LWE327685:LWE327708">
      <formula1>項目!C17:$LVY$327681</formula1>
    </dataValidation>
    <dataValidation type="list" allowBlank="1" showInputMessage="1" showErrorMessage="1" sqref="MGA327685:MGA327708">
      <formula1>項目!C17:$MFU$327681</formula1>
    </dataValidation>
    <dataValidation type="list" allowBlank="1" showInputMessage="1" showErrorMessage="1" sqref="MPW327685:MPW327708">
      <formula1>項目!C17:$MPQ$327681</formula1>
    </dataValidation>
    <dataValidation type="list" allowBlank="1" showInputMessage="1" showErrorMessage="1" sqref="MZS327685:MZS327708">
      <formula1>項目!C17:$MZM$327681</formula1>
    </dataValidation>
    <dataValidation type="list" allowBlank="1" showInputMessage="1" showErrorMessage="1" sqref="NJO327685:NJO327708">
      <formula1>項目!C17:$NJI$327681</formula1>
    </dataValidation>
    <dataValidation type="list" allowBlank="1" showInputMessage="1" showErrorMessage="1" sqref="NTK327685:NTK327708">
      <formula1>項目!C17:$NTE$327681</formula1>
    </dataValidation>
    <dataValidation type="list" allowBlank="1" showInputMessage="1" showErrorMessage="1" sqref="ODG327685:ODG327708">
      <formula1>項目!C17:$ODA$327681</formula1>
    </dataValidation>
    <dataValidation type="list" allowBlank="1" showInputMessage="1" showErrorMessage="1" sqref="ONC327685:ONC327708">
      <formula1>項目!C17:$OMW$327681</formula1>
    </dataValidation>
    <dataValidation type="list" allowBlank="1" showInputMessage="1" showErrorMessage="1" sqref="OWY327685:OWY327708">
      <formula1>項目!C17:$OWS$327681</formula1>
    </dataValidation>
    <dataValidation type="list" allowBlank="1" showInputMessage="1" showErrorMessage="1" sqref="PGU327685:PGU327708">
      <formula1>項目!C17:$PGO$327681</formula1>
    </dataValidation>
    <dataValidation type="list" allowBlank="1" showInputMessage="1" showErrorMessage="1" sqref="PQQ327685:PQQ327708">
      <formula1>項目!C17:$PQK$327681</formula1>
    </dataValidation>
    <dataValidation type="list" allowBlank="1" showInputMessage="1" showErrorMessage="1" sqref="QAM327685:QAM327708">
      <formula1>項目!C17:$QAG$327681</formula1>
    </dataValidation>
    <dataValidation type="list" allowBlank="1" showInputMessage="1" showErrorMessage="1" sqref="QKI327685:QKI327708">
      <formula1>項目!C17:$QKC$327681</formula1>
    </dataValidation>
    <dataValidation type="list" allowBlank="1" showInputMessage="1" showErrorMessage="1" sqref="QUE327685:QUE327708">
      <formula1>項目!C17:$QTY$327681</formula1>
    </dataValidation>
    <dataValidation type="list" allowBlank="1" showInputMessage="1" showErrorMessage="1" sqref="REA327685:REA327708">
      <formula1>項目!C17:$RDU$327681</formula1>
    </dataValidation>
    <dataValidation type="list" allowBlank="1" showInputMessage="1" showErrorMessage="1" sqref="RNW327685:RNW327708">
      <formula1>項目!C17:$RNQ$327681</formula1>
    </dataValidation>
    <dataValidation type="list" allowBlank="1" showInputMessage="1" showErrorMessage="1" sqref="RXS327685:RXS327708">
      <formula1>項目!C17:$RXM$327681</formula1>
    </dataValidation>
    <dataValidation type="list" allowBlank="1" showInputMessage="1" showErrorMessage="1" sqref="SHO327685:SHO327708">
      <formula1>項目!C17:$SHI$327681</formula1>
    </dataValidation>
    <dataValidation type="list" allowBlank="1" showInputMessage="1" showErrorMessage="1" sqref="SRK327685:SRK327708">
      <formula1>項目!C17:$SRE$327681</formula1>
    </dataValidation>
    <dataValidation type="list" allowBlank="1" showInputMessage="1" showErrorMessage="1" sqref="TBG327685:TBG327708">
      <formula1>項目!C17:$TBA$327681</formula1>
    </dataValidation>
    <dataValidation type="list" allowBlank="1" showInputMessage="1" showErrorMessage="1" sqref="TLC327685:TLC327708">
      <formula1>項目!C17:$TKW$327681</formula1>
    </dataValidation>
    <dataValidation type="list" allowBlank="1" showInputMessage="1" showErrorMessage="1" sqref="TUY327685:TUY327708">
      <formula1>項目!C17:$TUS$327681</formula1>
    </dataValidation>
    <dataValidation type="list" allowBlank="1" showInputMessage="1" showErrorMessage="1" sqref="UEU327685:UEU327708">
      <formula1>項目!C17:$UEO$327681</formula1>
    </dataValidation>
    <dataValidation type="list" allowBlank="1" showInputMessage="1" showErrorMessage="1" sqref="UOQ327685:UOQ327708">
      <formula1>項目!C17:$UOK$327681</formula1>
    </dataValidation>
    <dataValidation type="list" allowBlank="1" showInputMessage="1" showErrorMessage="1" sqref="UYM327685:UYM327708">
      <formula1>項目!C17:$UYG$327681</formula1>
    </dataValidation>
    <dataValidation type="list" allowBlank="1" showInputMessage="1" showErrorMessage="1" sqref="VII327685:VII327708">
      <formula1>項目!C17:$VIC$327681</formula1>
    </dataValidation>
    <dataValidation type="list" allowBlank="1" showInputMessage="1" showErrorMessage="1" sqref="VSE327685:VSE327708">
      <formula1>項目!C17:$VRY$327681</formula1>
    </dataValidation>
    <dataValidation type="list" allowBlank="1" showInputMessage="1" showErrorMessage="1" sqref="WCA327685:WCA327708">
      <formula1>項目!C17:$WBU$327681</formula1>
    </dataValidation>
    <dataValidation type="list" allowBlank="1" showInputMessage="1" showErrorMessage="1" sqref="WLW327685:WLW327708">
      <formula1>項目!C17:$WLQ$327681</formula1>
    </dataValidation>
    <dataValidation type="list" allowBlank="1" showInputMessage="1" showErrorMessage="1" sqref="WVS327685:WVS327708">
      <formula1>項目!C17:$WVM$327681</formula1>
    </dataValidation>
    <dataValidation type="list" allowBlank="1" showInputMessage="1" showErrorMessage="1" sqref="JG393221:JG393244">
      <formula1>項目!C17:$JA$393217</formula1>
    </dataValidation>
    <dataValidation type="list" allowBlank="1" showInputMessage="1" showErrorMessage="1" sqref="TC393221:TC393244">
      <formula1>項目!C17:$SW$393217</formula1>
    </dataValidation>
    <dataValidation type="list" allowBlank="1" showInputMessage="1" showErrorMessage="1" sqref="ACY393221:ACY393244">
      <formula1>項目!C17:$ACS$393217</formula1>
    </dataValidation>
    <dataValidation type="list" allowBlank="1" showInputMessage="1" showErrorMessage="1" sqref="AMU393221:AMU393244">
      <formula1>項目!C17:$AMO$393217</formula1>
    </dataValidation>
    <dataValidation type="list" allowBlank="1" showInputMessage="1" showErrorMessage="1" sqref="AWQ393221:AWQ393244">
      <formula1>項目!C17:$AWK$393217</formula1>
    </dataValidation>
    <dataValidation type="list" allowBlank="1" showInputMessage="1" showErrorMessage="1" sqref="BGM393221:BGM393244">
      <formula1>項目!C17:$BGG$393217</formula1>
    </dataValidation>
    <dataValidation type="list" allowBlank="1" showInputMessage="1" showErrorMessage="1" sqref="BQI393221:BQI393244">
      <formula1>項目!C17:$BQC$393217</formula1>
    </dataValidation>
    <dataValidation type="list" allowBlank="1" showInputMessage="1" showErrorMessage="1" sqref="CAE393221:CAE393244">
      <formula1>項目!C17:$BZY$393217</formula1>
    </dataValidation>
    <dataValidation type="list" allowBlank="1" showInputMessage="1" showErrorMessage="1" sqref="CKA393221:CKA393244">
      <formula1>項目!C17:$CJU$393217</formula1>
    </dataValidation>
    <dataValidation type="list" allowBlank="1" showInputMessage="1" showErrorMessage="1" sqref="CTW393221:CTW393244">
      <formula1>項目!C17:$CTQ$393217</formula1>
    </dataValidation>
    <dataValidation type="list" allowBlank="1" showInputMessage="1" showErrorMessage="1" sqref="DDS393221:DDS393244">
      <formula1>項目!C17:$DDM$393217</formula1>
    </dataValidation>
    <dataValidation type="list" allowBlank="1" showInputMessage="1" showErrorMessage="1" sqref="DNO393221:DNO393244">
      <formula1>項目!C17:$DNI$393217</formula1>
    </dataValidation>
    <dataValidation type="list" allowBlank="1" showInputMessage="1" showErrorMessage="1" sqref="DXK393221:DXK393244">
      <formula1>項目!C17:$DXE$393217</formula1>
    </dataValidation>
    <dataValidation type="list" allowBlank="1" showInputMessage="1" showErrorMessage="1" sqref="EHG393221:EHG393244">
      <formula1>項目!C17:$EHA$393217</formula1>
    </dataValidation>
    <dataValidation type="list" allowBlank="1" showInputMessage="1" showErrorMessage="1" sqref="ERC393221:ERC393244">
      <formula1>項目!C17:$EQW$393217</formula1>
    </dataValidation>
    <dataValidation type="list" allowBlank="1" showInputMessage="1" showErrorMessage="1" sqref="FAY393221:FAY393244">
      <formula1>項目!C17:$FAS$393217</formula1>
    </dataValidation>
    <dataValidation type="list" allowBlank="1" showInputMessage="1" showErrorMessage="1" sqref="FKU393221:FKU393244">
      <formula1>項目!C17:$FKO$393217</formula1>
    </dataValidation>
    <dataValidation type="list" allowBlank="1" showInputMessage="1" showErrorMessage="1" sqref="FUQ393221:FUQ393244">
      <formula1>項目!C17:$FUK$393217</formula1>
    </dataValidation>
    <dataValidation type="list" allowBlank="1" showInputMessage="1" showErrorMessage="1" sqref="GEM393221:GEM393244">
      <formula1>項目!C17:$GEG$393217</formula1>
    </dataValidation>
    <dataValidation type="list" allowBlank="1" showInputMessage="1" showErrorMessage="1" sqref="GOI393221:GOI393244">
      <formula1>項目!C17:$GOC$393217</formula1>
    </dataValidation>
    <dataValidation type="list" allowBlank="1" showInputMessage="1" showErrorMessage="1" sqref="GYE393221:GYE393244">
      <formula1>項目!C17:$GXY$393217</formula1>
    </dataValidation>
    <dataValidation type="list" allowBlank="1" showInputMessage="1" showErrorMessage="1" sqref="HIA393221:HIA393244">
      <formula1>項目!C17:$HHU$393217</formula1>
    </dataValidation>
    <dataValidation type="list" allowBlank="1" showInputMessage="1" showErrorMessage="1" sqref="HRW393221:HRW393244">
      <formula1>項目!C17:$HRQ$393217</formula1>
    </dataValidation>
    <dataValidation type="list" allowBlank="1" showInputMessage="1" showErrorMessage="1" sqref="IBS393221:IBS393244">
      <formula1>項目!C17:$IBM$393217</formula1>
    </dataValidation>
    <dataValidation type="list" allowBlank="1" showInputMessage="1" showErrorMessage="1" sqref="ILO393221:ILO393244">
      <formula1>項目!C17:$ILI$393217</formula1>
    </dataValidation>
    <dataValidation type="list" allowBlank="1" showInputMessage="1" showErrorMessage="1" sqref="IVK393221:IVK393244">
      <formula1>項目!C17:$IVE$393217</formula1>
    </dataValidation>
    <dataValidation type="list" allowBlank="1" showInputMessage="1" showErrorMessage="1" sqref="JFG393221:JFG393244">
      <formula1>項目!C17:$JFA$393217</formula1>
    </dataValidation>
    <dataValidation type="list" allowBlank="1" showInputMessage="1" showErrorMessage="1" sqref="JPC393221:JPC393244">
      <formula1>項目!C17:$JOW$393217</formula1>
    </dataValidation>
    <dataValidation type="list" allowBlank="1" showInputMessage="1" showErrorMessage="1" sqref="JYY393221:JYY393244">
      <formula1>項目!C17:$JYS$393217</formula1>
    </dataValidation>
    <dataValidation type="list" allowBlank="1" showInputMessage="1" showErrorMessage="1" sqref="KIU393221:KIU393244">
      <formula1>項目!C17:$KIO$393217</formula1>
    </dataValidation>
    <dataValidation type="list" allowBlank="1" showInputMessage="1" showErrorMessage="1" sqref="KSQ393221:KSQ393244">
      <formula1>項目!C17:$KSK$393217</formula1>
    </dataValidation>
    <dataValidation type="list" allowBlank="1" showInputMessage="1" showErrorMessage="1" sqref="LCM393221:LCM393244">
      <formula1>項目!C17:$LCG$393217</formula1>
    </dataValidation>
    <dataValidation type="list" allowBlank="1" showInputMessage="1" showErrorMessage="1" sqref="LMI393221:LMI393244">
      <formula1>項目!C17:$LMC$393217</formula1>
    </dataValidation>
    <dataValidation type="list" allowBlank="1" showInputMessage="1" showErrorMessage="1" sqref="LWE393221:LWE393244">
      <formula1>項目!C17:$LVY$393217</formula1>
    </dataValidation>
    <dataValidation type="list" allowBlank="1" showInputMessage="1" showErrorMessage="1" sqref="MGA393221:MGA393244">
      <formula1>項目!C17:$MFU$393217</formula1>
    </dataValidation>
    <dataValidation type="list" allowBlank="1" showInputMessage="1" showErrorMessage="1" sqref="MPW393221:MPW393244">
      <formula1>項目!C17:$MPQ$393217</formula1>
    </dataValidation>
    <dataValidation type="list" allowBlank="1" showInputMessage="1" showErrorMessage="1" sqref="MZS393221:MZS393244">
      <formula1>項目!C17:$MZM$393217</formula1>
    </dataValidation>
    <dataValidation type="list" allowBlank="1" showInputMessage="1" showErrorMessage="1" sqref="NJO393221:NJO393244">
      <formula1>項目!C17:$NJI$393217</formula1>
    </dataValidation>
    <dataValidation type="list" allowBlank="1" showInputMessage="1" showErrorMessage="1" sqref="NTK393221:NTK393244">
      <formula1>項目!C17:$NTE$393217</formula1>
    </dataValidation>
    <dataValidation type="list" allowBlank="1" showInputMessage="1" showErrorMessage="1" sqref="ODG393221:ODG393244">
      <formula1>項目!C17:$ODA$393217</formula1>
    </dataValidation>
    <dataValidation type="list" allowBlank="1" showInputMessage="1" showErrorMessage="1" sqref="ONC393221:ONC393244">
      <formula1>項目!C17:$OMW$393217</formula1>
    </dataValidation>
    <dataValidation type="list" allowBlank="1" showInputMessage="1" showErrorMessage="1" sqref="OWY393221:OWY393244">
      <formula1>項目!C17:$OWS$393217</formula1>
    </dataValidation>
    <dataValidation type="list" allowBlank="1" showInputMessage="1" showErrorMessage="1" sqref="PGU393221:PGU393244">
      <formula1>項目!C17:$PGO$393217</formula1>
    </dataValidation>
    <dataValidation type="list" allowBlank="1" showInputMessage="1" showErrorMessage="1" sqref="PQQ393221:PQQ393244">
      <formula1>項目!C17:$PQK$393217</formula1>
    </dataValidation>
    <dataValidation type="list" allowBlank="1" showInputMessage="1" showErrorMessage="1" sqref="QAM393221:QAM393244">
      <formula1>項目!C17:$QAG$393217</formula1>
    </dataValidation>
    <dataValidation type="list" allowBlank="1" showInputMessage="1" showErrorMessage="1" sqref="QKI393221:QKI393244">
      <formula1>項目!C17:$QKC$393217</formula1>
    </dataValidation>
    <dataValidation type="list" allowBlank="1" showInputMessage="1" showErrorMessage="1" sqref="QUE393221:QUE393244">
      <formula1>項目!C17:$QTY$393217</formula1>
    </dataValidation>
    <dataValidation type="list" allowBlank="1" showInputMessage="1" showErrorMessage="1" sqref="REA393221:REA393244">
      <formula1>項目!C17:$RDU$393217</formula1>
    </dataValidation>
    <dataValidation type="list" allowBlank="1" showInputMessage="1" showErrorMessage="1" sqref="RNW393221:RNW393244">
      <formula1>項目!C17:$RNQ$393217</formula1>
    </dataValidation>
    <dataValidation type="list" allowBlank="1" showInputMessage="1" showErrorMessage="1" sqref="RXS393221:RXS393244">
      <formula1>項目!C17:$RXM$393217</formula1>
    </dataValidation>
    <dataValidation type="list" allowBlank="1" showInputMessage="1" showErrorMessage="1" sqref="SHO393221:SHO393244">
      <formula1>項目!C17:$SHI$393217</formula1>
    </dataValidation>
    <dataValidation type="list" allowBlank="1" showInputMessage="1" showErrorMessage="1" sqref="SRK393221:SRK393244">
      <formula1>項目!C17:$SRE$393217</formula1>
    </dataValidation>
    <dataValidation type="list" allowBlank="1" showInputMessage="1" showErrorMessage="1" sqref="TBG393221:TBG393244">
      <formula1>項目!C17:$TBA$393217</formula1>
    </dataValidation>
    <dataValidation type="list" allowBlank="1" showInputMessage="1" showErrorMessage="1" sqref="TLC393221:TLC393244">
      <formula1>項目!C17:$TKW$393217</formula1>
    </dataValidation>
    <dataValidation type="list" allowBlank="1" showInputMessage="1" showErrorMessage="1" sqref="TUY393221:TUY393244">
      <formula1>項目!C17:$TUS$393217</formula1>
    </dataValidation>
    <dataValidation type="list" allowBlank="1" showInputMessage="1" showErrorMessage="1" sqref="UEU393221:UEU393244">
      <formula1>項目!C17:$UEO$393217</formula1>
    </dataValidation>
    <dataValidation type="list" allowBlank="1" showInputMessage="1" showErrorMessage="1" sqref="UOQ393221:UOQ393244">
      <formula1>項目!C17:$UOK$393217</formula1>
    </dataValidation>
    <dataValidation type="list" allowBlank="1" showInputMessage="1" showErrorMessage="1" sqref="UYM393221:UYM393244">
      <formula1>項目!C17:$UYG$393217</formula1>
    </dataValidation>
    <dataValidation type="list" allowBlank="1" showInputMessage="1" showErrorMessage="1" sqref="VII393221:VII393244">
      <formula1>項目!C17:$VIC$393217</formula1>
    </dataValidation>
    <dataValidation type="list" allowBlank="1" showInputMessage="1" showErrorMessage="1" sqref="VSE393221:VSE393244">
      <formula1>項目!C17:$VRY$393217</formula1>
    </dataValidation>
    <dataValidation type="list" allowBlank="1" showInputMessage="1" showErrorMessage="1" sqref="WCA393221:WCA393244">
      <formula1>項目!C17:$WBU$393217</formula1>
    </dataValidation>
    <dataValidation type="list" allowBlank="1" showInputMessage="1" showErrorMessage="1" sqref="WLW393221:WLW393244">
      <formula1>項目!C17:$WLQ$393217</formula1>
    </dataValidation>
    <dataValidation type="list" allowBlank="1" showInputMessage="1" showErrorMessage="1" sqref="WVS393221:WVS393244">
      <formula1>項目!C17:$WVM$393217</formula1>
    </dataValidation>
    <dataValidation type="list" allowBlank="1" showInputMessage="1" showErrorMessage="1" sqref="JG458757:JG458780">
      <formula1>項目!C17:$JA$458753</formula1>
    </dataValidation>
    <dataValidation type="list" allowBlank="1" showInputMessage="1" showErrorMessage="1" sqref="TC458757:TC458780">
      <formula1>項目!C17:$SW$458753</formula1>
    </dataValidation>
    <dataValidation type="list" allowBlank="1" showInputMessage="1" showErrorMessage="1" sqref="ACY458757:ACY458780">
      <formula1>項目!C17:$ACS$458753</formula1>
    </dataValidation>
    <dataValidation type="list" allowBlank="1" showInputMessage="1" showErrorMessage="1" sqref="AMU458757:AMU458780">
      <formula1>項目!C17:$AMO$458753</formula1>
    </dataValidation>
    <dataValidation type="list" allowBlank="1" showInputMessage="1" showErrorMessage="1" sqref="AWQ458757:AWQ458780">
      <formula1>項目!C17:$AWK$458753</formula1>
    </dataValidation>
    <dataValidation type="list" allowBlank="1" showInputMessage="1" showErrorMessage="1" sqref="BGM458757:BGM458780">
      <formula1>項目!C17:$BGG$458753</formula1>
    </dataValidation>
    <dataValidation type="list" allowBlank="1" showInputMessage="1" showErrorMessage="1" sqref="BQI458757:BQI458780">
      <formula1>項目!C17:$BQC$458753</formula1>
    </dataValidation>
    <dataValidation type="list" allowBlank="1" showInputMessage="1" showErrorMessage="1" sqref="CAE458757:CAE458780">
      <formula1>項目!C17:$BZY$458753</formula1>
    </dataValidation>
    <dataValidation type="list" allowBlank="1" showInputMessage="1" showErrorMessage="1" sqref="CKA458757:CKA458780">
      <formula1>項目!C17:$CJU$458753</formula1>
    </dataValidation>
    <dataValidation type="list" allowBlank="1" showInputMessage="1" showErrorMessage="1" sqref="CTW458757:CTW458780">
      <formula1>項目!C17:$CTQ$458753</formula1>
    </dataValidation>
    <dataValidation type="list" allowBlank="1" showInputMessage="1" showErrorMessage="1" sqref="DDS458757:DDS458780">
      <formula1>項目!C17:$DDM$458753</formula1>
    </dataValidation>
    <dataValidation type="list" allowBlank="1" showInputMessage="1" showErrorMessage="1" sqref="DNO458757:DNO458780">
      <formula1>項目!C17:$DNI$458753</formula1>
    </dataValidation>
    <dataValidation type="list" allowBlank="1" showInputMessage="1" showErrorMessage="1" sqref="DXK458757:DXK458780">
      <formula1>項目!C17:$DXE$458753</formula1>
    </dataValidation>
    <dataValidation type="list" allowBlank="1" showInputMessage="1" showErrorMessage="1" sqref="EHG458757:EHG458780">
      <formula1>項目!C17:$EHA$458753</formula1>
    </dataValidation>
    <dataValidation type="list" allowBlank="1" showInputMessage="1" showErrorMessage="1" sqref="ERC458757:ERC458780">
      <formula1>項目!C17:$EQW$458753</formula1>
    </dataValidation>
    <dataValidation type="list" allowBlank="1" showInputMessage="1" showErrorMessage="1" sqref="FAY458757:FAY458780">
      <formula1>項目!C17:$FAS$458753</formula1>
    </dataValidation>
    <dataValidation type="list" allowBlank="1" showInputMessage="1" showErrorMessage="1" sqref="FKU458757:FKU458780">
      <formula1>項目!C17:$FKO$458753</formula1>
    </dataValidation>
    <dataValidation type="list" allowBlank="1" showInputMessage="1" showErrorMessage="1" sqref="FUQ458757:FUQ458780">
      <formula1>項目!C17:$FUK$458753</formula1>
    </dataValidation>
    <dataValidation type="list" allowBlank="1" showInputMessage="1" showErrorMessage="1" sqref="GEM458757:GEM458780">
      <formula1>項目!C17:$GEG$458753</formula1>
    </dataValidation>
    <dataValidation type="list" allowBlank="1" showInputMessage="1" showErrorMessage="1" sqref="GOI458757:GOI458780">
      <formula1>項目!C17:$GOC$458753</formula1>
    </dataValidation>
    <dataValidation type="list" allowBlank="1" showInputMessage="1" showErrorMessage="1" sqref="GYE458757:GYE458780">
      <formula1>項目!C17:$GXY$458753</formula1>
    </dataValidation>
    <dataValidation type="list" allowBlank="1" showInputMessage="1" showErrorMessage="1" sqref="HIA458757:HIA458780">
      <formula1>項目!C17:$HHU$458753</formula1>
    </dataValidation>
    <dataValidation type="list" allowBlank="1" showInputMessage="1" showErrorMessage="1" sqref="HRW458757:HRW458780">
      <formula1>項目!C17:$HRQ$458753</formula1>
    </dataValidation>
    <dataValidation type="list" allowBlank="1" showInputMessage="1" showErrorMessage="1" sqref="IBS458757:IBS458780">
      <formula1>項目!C17:$IBM$458753</formula1>
    </dataValidation>
    <dataValidation type="list" allowBlank="1" showInputMessage="1" showErrorMessage="1" sqref="ILO458757:ILO458780">
      <formula1>項目!C17:$ILI$458753</formula1>
    </dataValidation>
    <dataValidation type="list" allowBlank="1" showInputMessage="1" showErrorMessage="1" sqref="IVK458757:IVK458780">
      <formula1>項目!C17:$IVE$458753</formula1>
    </dataValidation>
    <dataValidation type="list" allowBlank="1" showInputMessage="1" showErrorMessage="1" sqref="JFG458757:JFG458780">
      <formula1>項目!C17:$JFA$458753</formula1>
    </dataValidation>
    <dataValidation type="list" allowBlank="1" showInputMessage="1" showErrorMessage="1" sqref="JPC458757:JPC458780">
      <formula1>項目!C17:$JOW$458753</formula1>
    </dataValidation>
    <dataValidation type="list" allowBlank="1" showInputMessage="1" showErrorMessage="1" sqref="JYY458757:JYY458780">
      <formula1>項目!C17:$JYS$458753</formula1>
    </dataValidation>
    <dataValidation type="list" allowBlank="1" showInputMessage="1" showErrorMessage="1" sqref="KIU458757:KIU458780">
      <formula1>項目!C17:$KIO$458753</formula1>
    </dataValidation>
    <dataValidation type="list" allowBlank="1" showInputMessage="1" showErrorMessage="1" sqref="KSQ458757:KSQ458780">
      <formula1>項目!C17:$KSK$458753</formula1>
    </dataValidation>
    <dataValidation type="list" allowBlank="1" showInputMessage="1" showErrorMessage="1" sqref="LCM458757:LCM458780">
      <formula1>項目!C17:$LCG$458753</formula1>
    </dataValidation>
    <dataValidation type="list" allowBlank="1" showInputMessage="1" showErrorMessage="1" sqref="LMI458757:LMI458780">
      <formula1>項目!C17:$LMC$458753</formula1>
    </dataValidation>
    <dataValidation type="list" allowBlank="1" showInputMessage="1" showErrorMessage="1" sqref="LWE458757:LWE458780">
      <formula1>項目!C17:$LVY$458753</formula1>
    </dataValidation>
    <dataValidation type="list" allowBlank="1" showInputMessage="1" showErrorMessage="1" sqref="MGA458757:MGA458780">
      <formula1>項目!C17:$MFU$458753</formula1>
    </dataValidation>
    <dataValidation type="list" allowBlank="1" showInputMessage="1" showErrorMessage="1" sqref="MPW458757:MPW458780">
      <formula1>項目!C17:$MPQ$458753</formula1>
    </dataValidation>
    <dataValidation type="list" allowBlank="1" showInputMessage="1" showErrorMessage="1" sqref="MZS458757:MZS458780">
      <formula1>項目!C17:$MZM$458753</formula1>
    </dataValidation>
    <dataValidation type="list" allowBlank="1" showInputMessage="1" showErrorMessage="1" sqref="NJO458757:NJO458780">
      <formula1>項目!C17:$NJI$458753</formula1>
    </dataValidation>
    <dataValidation type="list" allowBlank="1" showInputMessage="1" showErrorMessage="1" sqref="NTK458757:NTK458780">
      <formula1>項目!C17:$NTE$458753</formula1>
    </dataValidation>
    <dataValidation type="list" allowBlank="1" showInputMessage="1" showErrorMessage="1" sqref="ODG458757:ODG458780">
      <formula1>項目!C17:$ODA$458753</formula1>
    </dataValidation>
    <dataValidation type="list" allowBlank="1" showInputMessage="1" showErrorMessage="1" sqref="ONC458757:ONC458780">
      <formula1>項目!C17:$OMW$458753</formula1>
    </dataValidation>
    <dataValidation type="list" allowBlank="1" showInputMessage="1" showErrorMessage="1" sqref="OWY458757:OWY458780">
      <formula1>項目!C17:$OWS$458753</formula1>
    </dataValidation>
    <dataValidation type="list" allowBlank="1" showInputMessage="1" showErrorMessage="1" sqref="PGU458757:PGU458780">
      <formula1>項目!C17:$PGO$458753</formula1>
    </dataValidation>
    <dataValidation type="list" allowBlank="1" showInputMessage="1" showErrorMessage="1" sqref="PQQ458757:PQQ458780">
      <formula1>項目!C17:$PQK$458753</formula1>
    </dataValidation>
    <dataValidation type="list" allowBlank="1" showInputMessage="1" showErrorMessage="1" sqref="QAM458757:QAM458780">
      <formula1>項目!C17:$QAG$458753</formula1>
    </dataValidation>
    <dataValidation type="list" allowBlank="1" showInputMessage="1" showErrorMessage="1" sqref="QKI458757:QKI458780">
      <formula1>項目!C17:$QKC$458753</formula1>
    </dataValidation>
    <dataValidation type="list" allowBlank="1" showInputMessage="1" showErrorMessage="1" sqref="QUE458757:QUE458780">
      <formula1>項目!C17:$QTY$458753</formula1>
    </dataValidation>
    <dataValidation type="list" allowBlank="1" showInputMessage="1" showErrorMessage="1" sqref="REA458757:REA458780">
      <formula1>項目!C17:$RDU$458753</formula1>
    </dataValidation>
    <dataValidation type="list" allowBlank="1" showInputMessage="1" showErrorMessage="1" sqref="RNW458757:RNW458780">
      <formula1>項目!C17:$RNQ$458753</formula1>
    </dataValidation>
    <dataValidation type="list" allowBlank="1" showInputMessage="1" showErrorMessage="1" sqref="RXS458757:RXS458780">
      <formula1>項目!C17:$RXM$458753</formula1>
    </dataValidation>
    <dataValidation type="list" allowBlank="1" showInputMessage="1" showErrorMessage="1" sqref="SHO458757:SHO458780">
      <formula1>項目!C17:$SHI$458753</formula1>
    </dataValidation>
    <dataValidation type="list" allowBlank="1" showInputMessage="1" showErrorMessage="1" sqref="SRK458757:SRK458780">
      <formula1>項目!C17:$SRE$458753</formula1>
    </dataValidation>
    <dataValidation type="list" allowBlank="1" showInputMessage="1" showErrorMessage="1" sqref="TBG458757:TBG458780">
      <formula1>項目!C17:$TBA$458753</formula1>
    </dataValidation>
    <dataValidation type="list" allowBlank="1" showInputMessage="1" showErrorMessage="1" sqref="TLC458757:TLC458780">
      <formula1>項目!C17:$TKW$458753</formula1>
    </dataValidation>
    <dataValidation type="list" allowBlank="1" showInputMessage="1" showErrorMessage="1" sqref="TUY458757:TUY458780">
      <formula1>項目!C17:$TUS$458753</formula1>
    </dataValidation>
    <dataValidation type="list" allowBlank="1" showInputMessage="1" showErrorMessage="1" sqref="UEU458757:UEU458780">
      <formula1>項目!C17:$UEO$458753</formula1>
    </dataValidation>
    <dataValidation type="list" allowBlank="1" showInputMessage="1" showErrorMessage="1" sqref="UOQ458757:UOQ458780">
      <formula1>項目!C17:$UOK$458753</formula1>
    </dataValidation>
    <dataValidation type="list" allowBlank="1" showInputMessage="1" showErrorMessage="1" sqref="UYM458757:UYM458780">
      <formula1>項目!C17:$UYG$458753</formula1>
    </dataValidation>
    <dataValidation type="list" allowBlank="1" showInputMessage="1" showErrorMessage="1" sqref="VII458757:VII458780">
      <formula1>項目!C17:$VIC$458753</formula1>
    </dataValidation>
    <dataValidation type="list" allowBlank="1" showInputMessage="1" showErrorMessage="1" sqref="VSE458757:VSE458780">
      <formula1>項目!C17:$VRY$458753</formula1>
    </dataValidation>
    <dataValidation type="list" allowBlank="1" showInputMessage="1" showErrorMessage="1" sqref="WCA458757:WCA458780">
      <formula1>項目!C17:$WBU$458753</formula1>
    </dataValidation>
    <dataValidation type="list" allowBlank="1" showInputMessage="1" showErrorMessage="1" sqref="WLW458757:WLW458780">
      <formula1>項目!C17:$WLQ$458753</formula1>
    </dataValidation>
    <dataValidation type="list" allowBlank="1" showInputMessage="1" showErrorMessage="1" sqref="WVS458757:WVS458780">
      <formula1>項目!C17:$WVM$458753</formula1>
    </dataValidation>
    <dataValidation type="list" allowBlank="1" showInputMessage="1" showErrorMessage="1" sqref="JG524293:JG524316">
      <formula1>項目!C17:$JA$524289</formula1>
    </dataValidation>
    <dataValidation type="list" allowBlank="1" showInputMessage="1" showErrorMessage="1" sqref="TC524293:TC524316">
      <formula1>項目!C17:$SW$524289</formula1>
    </dataValidation>
    <dataValidation type="list" allowBlank="1" showInputMessage="1" showErrorMessage="1" sqref="ACY524293:ACY524316">
      <formula1>項目!C17:$ACS$524289</formula1>
    </dataValidation>
    <dataValidation type="list" allowBlank="1" showInputMessage="1" showErrorMessage="1" sqref="AMU524293:AMU524316">
      <formula1>項目!C17:$AMO$524289</formula1>
    </dataValidation>
    <dataValidation type="list" allowBlank="1" showInputMessage="1" showErrorMessage="1" sqref="AWQ524293:AWQ524316">
      <formula1>項目!C17:$AWK$524289</formula1>
    </dataValidation>
    <dataValidation type="list" allowBlank="1" showInputMessage="1" showErrorMessage="1" sqref="BGM524293:BGM524316">
      <formula1>項目!C17:$BGG$524289</formula1>
    </dataValidation>
    <dataValidation type="list" allowBlank="1" showInputMessage="1" showErrorMessage="1" sqref="BQI524293:BQI524316">
      <formula1>項目!C17:$BQC$524289</formula1>
    </dataValidation>
    <dataValidation type="list" allowBlank="1" showInputMessage="1" showErrorMessage="1" sqref="CAE524293:CAE524316">
      <formula1>項目!C17:$BZY$524289</formula1>
    </dataValidation>
    <dataValidation type="list" allowBlank="1" showInputMessage="1" showErrorMessage="1" sqref="CKA524293:CKA524316">
      <formula1>項目!C17:$CJU$524289</formula1>
    </dataValidation>
    <dataValidation type="list" allowBlank="1" showInputMessage="1" showErrorMessage="1" sqref="CTW524293:CTW524316">
      <formula1>項目!C17:$CTQ$524289</formula1>
    </dataValidation>
    <dataValidation type="list" allowBlank="1" showInputMessage="1" showErrorMessage="1" sqref="DDS524293:DDS524316">
      <formula1>項目!C17:$DDM$524289</formula1>
    </dataValidation>
    <dataValidation type="list" allowBlank="1" showInputMessage="1" showErrorMessage="1" sqref="DNO524293:DNO524316">
      <formula1>項目!C17:$DNI$524289</formula1>
    </dataValidation>
    <dataValidation type="list" allowBlank="1" showInputMessage="1" showErrorMessage="1" sqref="DXK524293:DXK524316">
      <formula1>項目!C17:$DXE$524289</formula1>
    </dataValidation>
    <dataValidation type="list" allowBlank="1" showInputMessage="1" showErrorMessage="1" sqref="EHG524293:EHG524316">
      <formula1>項目!C17:$EHA$524289</formula1>
    </dataValidation>
    <dataValidation type="list" allowBlank="1" showInputMessage="1" showErrorMessage="1" sqref="ERC524293:ERC524316">
      <formula1>項目!C17:$EQW$524289</formula1>
    </dataValidation>
    <dataValidation type="list" allowBlank="1" showInputMessage="1" showErrorMessage="1" sqref="FAY524293:FAY524316">
      <formula1>項目!C17:$FAS$524289</formula1>
    </dataValidation>
    <dataValidation type="list" allowBlank="1" showInputMessage="1" showErrorMessage="1" sqref="FKU524293:FKU524316">
      <formula1>項目!C17:$FKO$524289</formula1>
    </dataValidation>
    <dataValidation type="list" allowBlank="1" showInputMessage="1" showErrorMessage="1" sqref="FUQ524293:FUQ524316">
      <formula1>項目!C17:$FUK$524289</formula1>
    </dataValidation>
    <dataValidation type="list" allowBlank="1" showInputMessage="1" showErrorMessage="1" sqref="GEM524293:GEM524316">
      <formula1>項目!C17:$GEG$524289</formula1>
    </dataValidation>
    <dataValidation type="list" allowBlank="1" showInputMessage="1" showErrorMessage="1" sqref="GOI524293:GOI524316">
      <formula1>項目!C17:$GOC$524289</formula1>
    </dataValidation>
    <dataValidation type="list" allowBlank="1" showInputMessage="1" showErrorMessage="1" sqref="GYE524293:GYE524316">
      <formula1>項目!C17:$GXY$524289</formula1>
    </dataValidation>
    <dataValidation type="list" allowBlank="1" showInputMessage="1" showErrorMessage="1" sqref="HIA524293:HIA524316">
      <formula1>項目!C17:$HHU$524289</formula1>
    </dataValidation>
    <dataValidation type="list" allowBlank="1" showInputMessage="1" showErrorMessage="1" sqref="HRW524293:HRW524316">
      <formula1>項目!C17:$HRQ$524289</formula1>
    </dataValidation>
    <dataValidation type="list" allowBlank="1" showInputMessage="1" showErrorMessage="1" sqref="IBS524293:IBS524316">
      <formula1>項目!C17:$IBM$524289</formula1>
    </dataValidation>
    <dataValidation type="list" allowBlank="1" showInputMessage="1" showErrorMessage="1" sqref="ILO524293:ILO524316">
      <formula1>項目!C17:$ILI$524289</formula1>
    </dataValidation>
    <dataValidation type="list" allowBlank="1" showInputMessage="1" showErrorMessage="1" sqref="IVK524293:IVK524316">
      <formula1>項目!C17:$IVE$524289</formula1>
    </dataValidation>
    <dataValidation type="list" allowBlank="1" showInputMessage="1" showErrorMessage="1" sqref="JFG524293:JFG524316">
      <formula1>項目!C17:$JFA$524289</formula1>
    </dataValidation>
    <dataValidation type="list" allowBlank="1" showInputMessage="1" showErrorMessage="1" sqref="JPC524293:JPC524316">
      <formula1>項目!C17:$JOW$524289</formula1>
    </dataValidation>
    <dataValidation type="list" allowBlank="1" showInputMessage="1" showErrorMessage="1" sqref="JYY524293:JYY524316">
      <formula1>項目!C17:$JYS$524289</formula1>
    </dataValidation>
    <dataValidation type="list" allowBlank="1" showInputMessage="1" showErrorMessage="1" sqref="KIU524293:KIU524316">
      <formula1>項目!C17:$KIO$524289</formula1>
    </dataValidation>
    <dataValidation type="list" allowBlank="1" showInputMessage="1" showErrorMessage="1" sqref="KSQ524293:KSQ524316">
      <formula1>項目!C17:$KSK$524289</formula1>
    </dataValidation>
    <dataValidation type="list" allowBlank="1" showInputMessage="1" showErrorMessage="1" sqref="LCM524293:LCM524316">
      <formula1>項目!C17:$LCG$524289</formula1>
    </dataValidation>
    <dataValidation type="list" allowBlank="1" showInputMessage="1" showErrorMessage="1" sqref="LMI524293:LMI524316">
      <formula1>項目!C17:$LMC$524289</formula1>
    </dataValidation>
    <dataValidation type="list" allowBlank="1" showInputMessage="1" showErrorMessage="1" sqref="LWE524293:LWE524316">
      <formula1>項目!C17:$LVY$524289</formula1>
    </dataValidation>
    <dataValidation type="list" allowBlank="1" showInputMessage="1" showErrorMessage="1" sqref="MGA524293:MGA524316">
      <formula1>項目!C17:$MFU$524289</formula1>
    </dataValidation>
    <dataValidation type="list" allowBlank="1" showInputMessage="1" showErrorMessage="1" sqref="MPW524293:MPW524316">
      <formula1>項目!C17:$MPQ$524289</formula1>
    </dataValidation>
    <dataValidation type="list" allowBlank="1" showInputMessage="1" showErrorMessage="1" sqref="MZS524293:MZS524316">
      <formula1>項目!C17:$MZM$524289</formula1>
    </dataValidation>
    <dataValidation type="list" allowBlank="1" showInputMessage="1" showErrorMessage="1" sqref="NJO524293:NJO524316">
      <formula1>項目!C17:$NJI$524289</formula1>
    </dataValidation>
    <dataValidation type="list" allowBlank="1" showInputMessage="1" showErrorMessage="1" sqref="NTK524293:NTK524316">
      <formula1>項目!C17:$NTE$524289</formula1>
    </dataValidation>
    <dataValidation type="list" allowBlank="1" showInputMessage="1" showErrorMessage="1" sqref="ODG524293:ODG524316">
      <formula1>項目!C17:$ODA$524289</formula1>
    </dataValidation>
    <dataValidation type="list" allowBlank="1" showInputMessage="1" showErrorMessage="1" sqref="ONC524293:ONC524316">
      <formula1>項目!C17:$OMW$524289</formula1>
    </dataValidation>
    <dataValidation type="list" allowBlank="1" showInputMessage="1" showErrorMessage="1" sqref="OWY524293:OWY524316">
      <formula1>項目!C17:$OWS$524289</formula1>
    </dataValidation>
    <dataValidation type="list" allowBlank="1" showInputMessage="1" showErrorMessage="1" sqref="PGU524293:PGU524316">
      <formula1>項目!C17:$PGO$524289</formula1>
    </dataValidation>
    <dataValidation type="list" allowBlank="1" showInputMessage="1" showErrorMessage="1" sqref="PQQ524293:PQQ524316">
      <formula1>項目!C17:$PQK$524289</formula1>
    </dataValidation>
    <dataValidation type="list" allowBlank="1" showInputMessage="1" showErrorMessage="1" sqref="QAM524293:QAM524316">
      <formula1>項目!C17:$QAG$524289</formula1>
    </dataValidation>
    <dataValidation type="list" allowBlank="1" showInputMessage="1" showErrorMessage="1" sqref="QKI524293:QKI524316">
      <formula1>項目!C17:$QKC$524289</formula1>
    </dataValidation>
    <dataValidation type="list" allowBlank="1" showInputMessage="1" showErrorMessage="1" sqref="QUE524293:QUE524316">
      <formula1>項目!C17:$QTY$524289</formula1>
    </dataValidation>
    <dataValidation type="list" allowBlank="1" showInputMessage="1" showErrorMessage="1" sqref="REA524293:REA524316">
      <formula1>項目!C17:$RDU$524289</formula1>
    </dataValidation>
    <dataValidation type="list" allowBlank="1" showInputMessage="1" showErrorMessage="1" sqref="RNW524293:RNW524316">
      <formula1>項目!C17:$RNQ$524289</formula1>
    </dataValidation>
    <dataValidation type="list" allowBlank="1" showInputMessage="1" showErrorMessage="1" sqref="RXS524293:RXS524316">
      <formula1>項目!C17:$RXM$524289</formula1>
    </dataValidation>
    <dataValidation type="list" allowBlank="1" showInputMessage="1" showErrorMessage="1" sqref="SHO524293:SHO524316">
      <formula1>項目!C17:$SHI$524289</formula1>
    </dataValidation>
    <dataValidation type="list" allowBlank="1" showInputMessage="1" showErrorMessage="1" sqref="SRK524293:SRK524316">
      <formula1>項目!C17:$SRE$524289</formula1>
    </dataValidation>
    <dataValidation type="list" allowBlank="1" showInputMessage="1" showErrorMessage="1" sqref="TBG524293:TBG524316">
      <formula1>項目!C17:$TBA$524289</formula1>
    </dataValidation>
    <dataValidation type="list" allowBlank="1" showInputMessage="1" showErrorMessage="1" sqref="TLC524293:TLC524316">
      <formula1>項目!C17:$TKW$524289</formula1>
    </dataValidation>
    <dataValidation type="list" allowBlank="1" showInputMessage="1" showErrorMessage="1" sqref="TUY524293:TUY524316">
      <formula1>項目!C17:$TUS$524289</formula1>
    </dataValidation>
    <dataValidation type="list" allowBlank="1" showInputMessage="1" showErrorMessage="1" sqref="UEU524293:UEU524316">
      <formula1>項目!C17:$UEO$524289</formula1>
    </dataValidation>
    <dataValidation type="list" allowBlank="1" showInputMessage="1" showErrorMessage="1" sqref="UOQ524293:UOQ524316">
      <formula1>項目!C17:$UOK$524289</formula1>
    </dataValidation>
    <dataValidation type="list" allowBlank="1" showInputMessage="1" showErrorMessage="1" sqref="UYM524293:UYM524316">
      <formula1>項目!C17:$UYG$524289</formula1>
    </dataValidation>
    <dataValidation type="list" allowBlank="1" showInputMessage="1" showErrorMessage="1" sqref="VII524293:VII524316">
      <formula1>項目!C17:$VIC$524289</formula1>
    </dataValidation>
    <dataValidation type="list" allowBlank="1" showInputMessage="1" showErrorMessage="1" sqref="VSE524293:VSE524316">
      <formula1>項目!C17:$VRY$524289</formula1>
    </dataValidation>
    <dataValidation type="list" allowBlank="1" showInputMessage="1" showErrorMessage="1" sqref="WCA524293:WCA524316">
      <formula1>項目!C17:$WBU$524289</formula1>
    </dataValidation>
    <dataValidation type="list" allowBlank="1" showInputMessage="1" showErrorMessage="1" sqref="WLW524293:WLW524316">
      <formula1>項目!C17:$WLQ$524289</formula1>
    </dataValidation>
    <dataValidation type="list" allowBlank="1" showInputMessage="1" showErrorMessage="1" sqref="WVS524293:WVS524316">
      <formula1>項目!C17:$WVM$524289</formula1>
    </dataValidation>
    <dataValidation type="list" allowBlank="1" showInputMessage="1" showErrorMessage="1" sqref="JG589829:JG589852">
      <formula1>項目!C17:$JA$589825</formula1>
    </dataValidation>
    <dataValidation type="list" allowBlank="1" showInputMessage="1" showErrorMessage="1" sqref="TC589829:TC589852">
      <formula1>項目!C17:$SW$589825</formula1>
    </dataValidation>
    <dataValidation type="list" allowBlank="1" showInputMessage="1" showErrorMessage="1" sqref="ACY589829:ACY589852">
      <formula1>項目!C17:$ACS$589825</formula1>
    </dataValidation>
    <dataValidation type="list" allowBlank="1" showInputMessage="1" showErrorMessage="1" sqref="AMU589829:AMU589852">
      <formula1>項目!C17:$AMO$589825</formula1>
    </dataValidation>
    <dataValidation type="list" allowBlank="1" showInputMessage="1" showErrorMessage="1" sqref="AWQ589829:AWQ589852">
      <formula1>項目!C17:$AWK$589825</formula1>
    </dataValidation>
    <dataValidation type="list" allowBlank="1" showInputMessage="1" showErrorMessage="1" sqref="BGM589829:BGM589852">
      <formula1>項目!C17:$BGG$589825</formula1>
    </dataValidation>
    <dataValidation type="list" allowBlank="1" showInputMessage="1" showErrorMessage="1" sqref="BQI589829:BQI589852">
      <formula1>項目!C17:$BQC$589825</formula1>
    </dataValidation>
    <dataValidation type="list" allowBlank="1" showInputMessage="1" showErrorMessage="1" sqref="CAE589829:CAE589852">
      <formula1>項目!C17:$BZY$589825</formula1>
    </dataValidation>
    <dataValidation type="list" allowBlank="1" showInputMessage="1" showErrorMessage="1" sqref="CKA589829:CKA589852">
      <formula1>項目!C17:$CJU$589825</formula1>
    </dataValidation>
    <dataValidation type="list" allowBlank="1" showInputMessage="1" showErrorMessage="1" sqref="CTW589829:CTW589852">
      <formula1>項目!C17:$CTQ$589825</formula1>
    </dataValidation>
    <dataValidation type="list" allowBlank="1" showInputMessage="1" showErrorMessage="1" sqref="DDS589829:DDS589852">
      <formula1>項目!C17:$DDM$589825</formula1>
    </dataValidation>
    <dataValidation type="list" allowBlank="1" showInputMessage="1" showErrorMessage="1" sqref="DNO589829:DNO589852">
      <formula1>項目!C17:$DNI$589825</formula1>
    </dataValidation>
    <dataValidation type="list" allowBlank="1" showInputMessage="1" showErrorMessage="1" sqref="DXK589829:DXK589852">
      <formula1>項目!C17:$DXE$589825</formula1>
    </dataValidation>
    <dataValidation type="list" allowBlank="1" showInputMessage="1" showErrorMessage="1" sqref="EHG589829:EHG589852">
      <formula1>項目!C17:$EHA$589825</formula1>
    </dataValidation>
    <dataValidation type="list" allowBlank="1" showInputMessage="1" showErrorMessage="1" sqref="ERC589829:ERC589852">
      <formula1>項目!C17:$EQW$589825</formula1>
    </dataValidation>
    <dataValidation type="list" allowBlank="1" showInputMessage="1" showErrorMessage="1" sqref="FAY589829:FAY589852">
      <formula1>項目!C17:$FAS$589825</formula1>
    </dataValidation>
    <dataValidation type="list" allowBlank="1" showInputMessage="1" showErrorMessage="1" sqref="FKU589829:FKU589852">
      <formula1>項目!C17:$FKO$589825</formula1>
    </dataValidation>
    <dataValidation type="list" allowBlank="1" showInputMessage="1" showErrorMessage="1" sqref="FUQ589829:FUQ589852">
      <formula1>項目!C17:$FUK$589825</formula1>
    </dataValidation>
    <dataValidation type="list" allowBlank="1" showInputMessage="1" showErrorMessage="1" sqref="GEM589829:GEM589852">
      <formula1>項目!C17:$GEG$589825</formula1>
    </dataValidation>
    <dataValidation type="list" allowBlank="1" showInputMessage="1" showErrorMessage="1" sqref="GOI589829:GOI589852">
      <formula1>項目!C17:$GOC$589825</formula1>
    </dataValidation>
    <dataValidation type="list" allowBlank="1" showInputMessage="1" showErrorMessage="1" sqref="GYE589829:GYE589852">
      <formula1>項目!C17:$GXY$589825</formula1>
    </dataValidation>
    <dataValidation type="list" allowBlank="1" showInputMessage="1" showErrorMessage="1" sqref="HIA589829:HIA589852">
      <formula1>項目!C17:$HHU$589825</formula1>
    </dataValidation>
    <dataValidation type="list" allowBlank="1" showInputMessage="1" showErrorMessage="1" sqref="HRW589829:HRW589852">
      <formula1>項目!C17:$HRQ$589825</formula1>
    </dataValidation>
    <dataValidation type="list" allowBlank="1" showInputMessage="1" showErrorMessage="1" sqref="IBS589829:IBS589852">
      <formula1>項目!C17:$IBM$589825</formula1>
    </dataValidation>
    <dataValidation type="list" allowBlank="1" showInputMessage="1" showErrorMessage="1" sqref="ILO589829:ILO589852">
      <formula1>項目!C17:$ILI$589825</formula1>
    </dataValidation>
    <dataValidation type="list" allowBlank="1" showInputMessage="1" showErrorMessage="1" sqref="IVK589829:IVK589852">
      <formula1>項目!C17:$IVE$589825</formula1>
    </dataValidation>
    <dataValidation type="list" allowBlank="1" showInputMessage="1" showErrorMessage="1" sqref="JFG589829:JFG589852">
      <formula1>項目!C17:$JFA$589825</formula1>
    </dataValidation>
    <dataValidation type="list" allowBlank="1" showInputMessage="1" showErrorMessage="1" sqref="JPC589829:JPC589852">
      <formula1>項目!C17:$JOW$589825</formula1>
    </dataValidation>
    <dataValidation type="list" allowBlank="1" showInputMessage="1" showErrorMessage="1" sqref="JYY589829:JYY589852">
      <formula1>項目!C17:$JYS$589825</formula1>
    </dataValidation>
    <dataValidation type="list" allowBlank="1" showInputMessage="1" showErrorMessage="1" sqref="KIU589829:KIU589852">
      <formula1>項目!C17:$KIO$589825</formula1>
    </dataValidation>
    <dataValidation type="list" allowBlank="1" showInputMessage="1" showErrorMessage="1" sqref="KSQ589829:KSQ589852">
      <formula1>項目!C17:$KSK$589825</formula1>
    </dataValidation>
    <dataValidation type="list" allowBlank="1" showInputMessage="1" showErrorMessage="1" sqref="LCM589829:LCM589852">
      <formula1>項目!C17:$LCG$589825</formula1>
    </dataValidation>
    <dataValidation type="list" allowBlank="1" showInputMessage="1" showErrorMessage="1" sqref="LMI589829:LMI589852">
      <formula1>項目!C17:$LMC$589825</formula1>
    </dataValidation>
    <dataValidation type="list" allowBlank="1" showInputMessage="1" showErrorMessage="1" sqref="LWE589829:LWE589852">
      <formula1>項目!C17:$LVY$589825</formula1>
    </dataValidation>
    <dataValidation type="list" allowBlank="1" showInputMessage="1" showErrorMessage="1" sqref="MGA589829:MGA589852">
      <formula1>項目!C17:$MFU$589825</formula1>
    </dataValidation>
    <dataValidation type="list" allowBlank="1" showInputMessage="1" showErrorMessage="1" sqref="MPW589829:MPW589852">
      <formula1>項目!C17:$MPQ$589825</formula1>
    </dataValidation>
    <dataValidation type="list" allowBlank="1" showInputMessage="1" showErrorMessage="1" sqref="MZS589829:MZS589852">
      <formula1>項目!C17:$MZM$589825</formula1>
    </dataValidation>
    <dataValidation type="list" allowBlank="1" showInputMessage="1" showErrorMessage="1" sqref="NJO589829:NJO589852">
      <formula1>項目!C17:$NJI$589825</formula1>
    </dataValidation>
    <dataValidation type="list" allowBlank="1" showInputMessage="1" showErrorMessage="1" sqref="NTK589829:NTK589852">
      <formula1>項目!C17:$NTE$589825</formula1>
    </dataValidation>
    <dataValidation type="list" allowBlank="1" showInputMessage="1" showErrorMessage="1" sqref="ODG589829:ODG589852">
      <formula1>項目!C17:$ODA$589825</formula1>
    </dataValidation>
    <dataValidation type="list" allowBlank="1" showInputMessage="1" showErrorMessage="1" sqref="ONC589829:ONC589852">
      <formula1>項目!C17:$OMW$589825</formula1>
    </dataValidation>
    <dataValidation type="list" allowBlank="1" showInputMessage="1" showErrorMessage="1" sqref="OWY589829:OWY589852">
      <formula1>項目!C17:$OWS$589825</formula1>
    </dataValidation>
    <dataValidation type="list" allowBlank="1" showInputMessage="1" showErrorMessage="1" sqref="PGU589829:PGU589852">
      <formula1>項目!C17:$PGO$589825</formula1>
    </dataValidation>
    <dataValidation type="list" allowBlank="1" showInputMessage="1" showErrorMessage="1" sqref="PQQ589829:PQQ589852">
      <formula1>項目!C17:$PQK$589825</formula1>
    </dataValidation>
    <dataValidation type="list" allowBlank="1" showInputMessage="1" showErrorMessage="1" sqref="QAM589829:QAM589852">
      <formula1>項目!C17:$QAG$589825</formula1>
    </dataValidation>
    <dataValidation type="list" allowBlank="1" showInputMessage="1" showErrorMessage="1" sqref="QKI589829:QKI589852">
      <formula1>項目!C17:$QKC$589825</formula1>
    </dataValidation>
    <dataValidation type="list" allowBlank="1" showInputMessage="1" showErrorMessage="1" sqref="QUE589829:QUE589852">
      <formula1>項目!C17:$QTY$589825</formula1>
    </dataValidation>
    <dataValidation type="list" allowBlank="1" showInputMessage="1" showErrorMessage="1" sqref="REA589829:REA589852">
      <formula1>項目!C17:$RDU$589825</formula1>
    </dataValidation>
    <dataValidation type="list" allowBlank="1" showInputMessage="1" showErrorMessage="1" sqref="RNW589829:RNW589852">
      <formula1>項目!C17:$RNQ$589825</formula1>
    </dataValidation>
    <dataValidation type="list" allowBlank="1" showInputMessage="1" showErrorMessage="1" sqref="RXS589829:RXS589852">
      <formula1>項目!C17:$RXM$589825</formula1>
    </dataValidation>
    <dataValidation type="list" allowBlank="1" showInputMessage="1" showErrorMessage="1" sqref="SHO589829:SHO589852">
      <formula1>項目!C17:$SHI$589825</formula1>
    </dataValidation>
    <dataValidation type="list" allowBlank="1" showInputMessage="1" showErrorMessage="1" sqref="SRK589829:SRK589852">
      <formula1>項目!C17:$SRE$589825</formula1>
    </dataValidation>
    <dataValidation type="list" allowBlank="1" showInputMessage="1" showErrorMessage="1" sqref="TBG589829:TBG589852">
      <formula1>項目!C17:$TBA$589825</formula1>
    </dataValidation>
    <dataValidation type="list" allowBlank="1" showInputMessage="1" showErrorMessage="1" sqref="TLC589829:TLC589852">
      <formula1>項目!C17:$TKW$589825</formula1>
    </dataValidation>
    <dataValidation type="list" allowBlank="1" showInputMessage="1" showErrorMessage="1" sqref="TUY589829:TUY589852">
      <formula1>項目!C17:$TUS$589825</formula1>
    </dataValidation>
    <dataValidation type="list" allowBlank="1" showInputMessage="1" showErrorMessage="1" sqref="UEU589829:UEU589852">
      <formula1>項目!C17:$UEO$589825</formula1>
    </dataValidation>
    <dataValidation type="list" allowBlank="1" showInputMessage="1" showErrorMessage="1" sqref="UOQ589829:UOQ589852">
      <formula1>項目!C17:$UOK$589825</formula1>
    </dataValidation>
    <dataValidation type="list" allowBlank="1" showInputMessage="1" showErrorMessage="1" sqref="UYM589829:UYM589852">
      <formula1>項目!C17:$UYG$589825</formula1>
    </dataValidation>
    <dataValidation type="list" allowBlank="1" showInputMessage="1" showErrorMessage="1" sqref="VII589829:VII589852">
      <formula1>項目!C17:$VIC$589825</formula1>
    </dataValidation>
    <dataValidation type="list" allowBlank="1" showInputMessage="1" showErrorMessage="1" sqref="VSE589829:VSE589852">
      <formula1>項目!C17:$VRY$589825</formula1>
    </dataValidation>
    <dataValidation type="list" allowBlank="1" showInputMessage="1" showErrorMessage="1" sqref="WCA589829:WCA589852">
      <formula1>項目!C17:$WBU$589825</formula1>
    </dataValidation>
    <dataValidation type="list" allowBlank="1" showInputMessage="1" showErrorMessage="1" sqref="WLW589829:WLW589852">
      <formula1>項目!C17:$WLQ$589825</formula1>
    </dataValidation>
    <dataValidation type="list" allowBlank="1" showInputMessage="1" showErrorMessage="1" sqref="WVS589829:WVS589852">
      <formula1>項目!C17:$WVM$589825</formula1>
    </dataValidation>
    <dataValidation type="list" allowBlank="1" showInputMessage="1" showErrorMessage="1" sqref="JG655365:JG655388">
      <formula1>項目!C17:$JA$655361</formula1>
    </dataValidation>
    <dataValidation type="list" allowBlank="1" showInputMessage="1" showErrorMessage="1" sqref="TC655365:TC655388">
      <formula1>項目!C17:$SW$655361</formula1>
    </dataValidation>
    <dataValidation type="list" allowBlank="1" showInputMessage="1" showErrorMessage="1" sqref="ACY655365:ACY655388">
      <formula1>項目!C17:$ACS$655361</formula1>
    </dataValidation>
    <dataValidation type="list" allowBlank="1" showInputMessage="1" showErrorMessage="1" sqref="AMU655365:AMU655388">
      <formula1>項目!C17:$AMO$655361</formula1>
    </dataValidation>
    <dataValidation type="list" allowBlank="1" showInputMessage="1" showErrorMessage="1" sqref="AWQ655365:AWQ655388">
      <formula1>項目!C17:$AWK$655361</formula1>
    </dataValidation>
    <dataValidation type="list" allowBlank="1" showInputMessage="1" showErrorMessage="1" sqref="BGM655365:BGM655388">
      <formula1>項目!C17:$BGG$655361</formula1>
    </dataValidation>
    <dataValidation type="list" allowBlank="1" showInputMessage="1" showErrorMessage="1" sqref="BQI655365:BQI655388">
      <formula1>項目!C17:$BQC$655361</formula1>
    </dataValidation>
    <dataValidation type="list" allowBlank="1" showInputMessage="1" showErrorMessage="1" sqref="CAE655365:CAE655388">
      <formula1>項目!C17:$BZY$655361</formula1>
    </dataValidation>
    <dataValidation type="list" allowBlank="1" showInputMessage="1" showErrorMessage="1" sqref="CKA655365:CKA655388">
      <formula1>項目!C17:$CJU$655361</formula1>
    </dataValidation>
    <dataValidation type="list" allowBlank="1" showInputMessage="1" showErrorMessage="1" sqref="CTW655365:CTW655388">
      <formula1>項目!C17:$CTQ$655361</formula1>
    </dataValidation>
    <dataValidation type="list" allowBlank="1" showInputMessage="1" showErrorMessage="1" sqref="DDS655365:DDS655388">
      <formula1>項目!C17:$DDM$655361</formula1>
    </dataValidation>
    <dataValidation type="list" allowBlank="1" showInputMessage="1" showErrorMessage="1" sqref="DNO655365:DNO655388">
      <formula1>項目!C17:$DNI$655361</formula1>
    </dataValidation>
    <dataValidation type="list" allowBlank="1" showInputMessage="1" showErrorMessage="1" sqref="DXK655365:DXK655388">
      <formula1>項目!C17:$DXE$655361</formula1>
    </dataValidation>
    <dataValidation type="list" allowBlank="1" showInputMessage="1" showErrorMessage="1" sqref="EHG655365:EHG655388">
      <formula1>項目!C17:$EHA$655361</formula1>
    </dataValidation>
    <dataValidation type="list" allowBlank="1" showInputMessage="1" showErrorMessage="1" sqref="ERC655365:ERC655388">
      <formula1>項目!C17:$EQW$655361</formula1>
    </dataValidation>
    <dataValidation type="list" allowBlank="1" showInputMessage="1" showErrorMessage="1" sqref="FAY655365:FAY655388">
      <formula1>項目!C17:$FAS$655361</formula1>
    </dataValidation>
    <dataValidation type="list" allowBlank="1" showInputMessage="1" showErrorMessage="1" sqref="FKU655365:FKU655388">
      <formula1>項目!C17:$FKO$655361</formula1>
    </dataValidation>
    <dataValidation type="list" allowBlank="1" showInputMessage="1" showErrorMessage="1" sqref="FUQ655365:FUQ655388">
      <formula1>項目!C17:$FUK$655361</formula1>
    </dataValidation>
    <dataValidation type="list" allowBlank="1" showInputMessage="1" showErrorMessage="1" sqref="GEM655365:GEM655388">
      <formula1>項目!C17:$GEG$655361</formula1>
    </dataValidation>
    <dataValidation type="list" allowBlank="1" showInputMessage="1" showErrorMessage="1" sqref="GOI655365:GOI655388">
      <formula1>項目!C17:$GOC$655361</formula1>
    </dataValidation>
    <dataValidation type="list" allowBlank="1" showInputMessage="1" showErrorMessage="1" sqref="GYE655365:GYE655388">
      <formula1>項目!C17:$GXY$655361</formula1>
    </dataValidation>
    <dataValidation type="list" allowBlank="1" showInputMessage="1" showErrorMessage="1" sqref="HIA655365:HIA655388">
      <formula1>項目!C17:$HHU$655361</formula1>
    </dataValidation>
    <dataValidation type="list" allowBlank="1" showInputMessage="1" showErrorMessage="1" sqref="HRW655365:HRW655388">
      <formula1>項目!C17:$HRQ$655361</formula1>
    </dataValidation>
    <dataValidation type="list" allowBlank="1" showInputMessage="1" showErrorMessage="1" sqref="IBS655365:IBS655388">
      <formula1>項目!C17:$IBM$655361</formula1>
    </dataValidation>
    <dataValidation type="list" allowBlank="1" showInputMessage="1" showErrorMessage="1" sqref="ILO655365:ILO655388">
      <formula1>項目!C17:$ILI$655361</formula1>
    </dataValidation>
    <dataValidation type="list" allowBlank="1" showInputMessage="1" showErrorMessage="1" sqref="IVK655365:IVK655388">
      <formula1>項目!C17:$IVE$655361</formula1>
    </dataValidation>
    <dataValidation type="list" allowBlank="1" showInputMessage="1" showErrorMessage="1" sqref="JFG655365:JFG655388">
      <formula1>項目!C17:$JFA$655361</formula1>
    </dataValidation>
    <dataValidation type="list" allowBlank="1" showInputMessage="1" showErrorMessage="1" sqref="JPC655365:JPC655388">
      <formula1>項目!C17:$JOW$655361</formula1>
    </dataValidation>
    <dataValidation type="list" allowBlank="1" showInputMessage="1" showErrorMessage="1" sqref="JYY655365:JYY655388">
      <formula1>項目!C17:$JYS$655361</formula1>
    </dataValidation>
    <dataValidation type="list" allowBlank="1" showInputMessage="1" showErrorMessage="1" sqref="KIU655365:KIU655388">
      <formula1>項目!C17:$KIO$655361</formula1>
    </dataValidation>
    <dataValidation type="list" allowBlank="1" showInputMessage="1" showErrorMessage="1" sqref="KSQ655365:KSQ655388">
      <formula1>項目!C17:$KSK$655361</formula1>
    </dataValidation>
    <dataValidation type="list" allowBlank="1" showInputMessage="1" showErrorMessage="1" sqref="LCM655365:LCM655388">
      <formula1>項目!C17:$LCG$655361</formula1>
    </dataValidation>
    <dataValidation type="list" allowBlank="1" showInputMessage="1" showErrorMessage="1" sqref="LMI655365:LMI655388">
      <formula1>項目!C17:$LMC$655361</formula1>
    </dataValidation>
    <dataValidation type="list" allowBlank="1" showInputMessage="1" showErrorMessage="1" sqref="LWE655365:LWE655388">
      <formula1>項目!C17:$LVY$655361</formula1>
    </dataValidation>
    <dataValidation type="list" allowBlank="1" showInputMessage="1" showErrorMessage="1" sqref="MGA655365:MGA655388">
      <formula1>項目!C17:$MFU$655361</formula1>
    </dataValidation>
    <dataValidation type="list" allowBlank="1" showInputMessage="1" showErrorMessage="1" sqref="MPW655365:MPW655388">
      <formula1>項目!C17:$MPQ$655361</formula1>
    </dataValidation>
    <dataValidation type="list" allowBlank="1" showInputMessage="1" showErrorMessage="1" sqref="MZS655365:MZS655388">
      <formula1>項目!C17:$MZM$655361</formula1>
    </dataValidation>
    <dataValidation type="list" allowBlank="1" showInputMessage="1" showErrorMessage="1" sqref="NJO655365:NJO655388">
      <formula1>項目!C17:$NJI$655361</formula1>
    </dataValidation>
    <dataValidation type="list" allowBlank="1" showInputMessage="1" showErrorMessage="1" sqref="NTK655365:NTK655388">
      <formula1>項目!C17:$NTE$655361</formula1>
    </dataValidation>
    <dataValidation type="list" allowBlank="1" showInputMessage="1" showErrorMessage="1" sqref="ODG655365:ODG655388">
      <formula1>項目!C17:$ODA$655361</formula1>
    </dataValidation>
    <dataValidation type="list" allowBlank="1" showInputMessage="1" showErrorMessage="1" sqref="ONC655365:ONC655388">
      <formula1>項目!C17:$OMW$655361</formula1>
    </dataValidation>
    <dataValidation type="list" allowBlank="1" showInputMessage="1" showErrorMessage="1" sqref="OWY655365:OWY655388">
      <formula1>項目!C17:$OWS$655361</formula1>
    </dataValidation>
    <dataValidation type="list" allowBlank="1" showInputMessage="1" showErrorMessage="1" sqref="PGU655365:PGU655388">
      <formula1>項目!C17:$PGO$655361</formula1>
    </dataValidation>
    <dataValidation type="list" allowBlank="1" showInputMessage="1" showErrorMessage="1" sqref="PQQ655365:PQQ655388">
      <formula1>項目!C17:$PQK$655361</formula1>
    </dataValidation>
    <dataValidation type="list" allowBlank="1" showInputMessage="1" showErrorMessage="1" sqref="QAM655365:QAM655388">
      <formula1>項目!C17:$QAG$655361</formula1>
    </dataValidation>
    <dataValidation type="list" allowBlank="1" showInputMessage="1" showErrorMessage="1" sqref="QKI655365:QKI655388">
      <formula1>項目!C17:$QKC$655361</formula1>
    </dataValidation>
    <dataValidation type="list" allowBlank="1" showInputMessage="1" showErrorMessage="1" sqref="QUE655365:QUE655388">
      <formula1>項目!C17:$QTY$655361</formula1>
    </dataValidation>
    <dataValidation type="list" allowBlank="1" showInputMessage="1" showErrorMessage="1" sqref="REA655365:REA655388">
      <formula1>項目!C17:$RDU$655361</formula1>
    </dataValidation>
    <dataValidation type="list" allowBlank="1" showInputMessage="1" showErrorMessage="1" sqref="RNW655365:RNW655388">
      <formula1>項目!C17:$RNQ$655361</formula1>
    </dataValidation>
    <dataValidation type="list" allowBlank="1" showInputMessage="1" showErrorMessage="1" sqref="RXS655365:RXS655388">
      <formula1>項目!C17:$RXM$655361</formula1>
    </dataValidation>
    <dataValidation type="list" allowBlank="1" showInputMessage="1" showErrorMessage="1" sqref="SHO655365:SHO655388">
      <formula1>項目!C17:$SHI$655361</formula1>
    </dataValidation>
    <dataValidation type="list" allowBlank="1" showInputMessage="1" showErrorMessage="1" sqref="SRK655365:SRK655388">
      <formula1>項目!C17:$SRE$655361</formula1>
    </dataValidation>
    <dataValidation type="list" allowBlank="1" showInputMessage="1" showErrorMessage="1" sqref="TBG655365:TBG655388">
      <formula1>項目!C17:$TBA$655361</formula1>
    </dataValidation>
    <dataValidation type="list" allowBlank="1" showInputMessage="1" showErrorMessage="1" sqref="TLC655365:TLC655388">
      <formula1>項目!C17:$TKW$655361</formula1>
    </dataValidation>
    <dataValidation type="list" allowBlank="1" showInputMessage="1" showErrorMessage="1" sqref="TUY655365:TUY655388">
      <formula1>項目!C17:$TUS$655361</formula1>
    </dataValidation>
    <dataValidation type="list" allowBlank="1" showInputMessage="1" showErrorMessage="1" sqref="UEU655365:UEU655388">
      <formula1>項目!C17:$UEO$655361</formula1>
    </dataValidation>
    <dataValidation type="list" allowBlank="1" showInputMessage="1" showErrorMessage="1" sqref="UOQ655365:UOQ655388">
      <formula1>項目!C17:$UOK$655361</formula1>
    </dataValidation>
    <dataValidation type="list" allowBlank="1" showInputMessage="1" showErrorMessage="1" sqref="UYM655365:UYM655388">
      <formula1>項目!C17:$UYG$655361</formula1>
    </dataValidation>
    <dataValidation type="list" allowBlank="1" showInputMessage="1" showErrorMessage="1" sqref="VII655365:VII655388">
      <formula1>項目!C17:$VIC$655361</formula1>
    </dataValidation>
    <dataValidation type="list" allowBlank="1" showInputMessage="1" showErrorMessage="1" sqref="VSE655365:VSE655388">
      <formula1>項目!C17:$VRY$655361</formula1>
    </dataValidation>
    <dataValidation type="list" allowBlank="1" showInputMessage="1" showErrorMessage="1" sqref="WCA655365:WCA655388">
      <formula1>項目!C17:$WBU$655361</formula1>
    </dataValidation>
    <dataValidation type="list" allowBlank="1" showInputMessage="1" showErrorMessage="1" sqref="WLW655365:WLW655388">
      <formula1>項目!C17:$WLQ$655361</formula1>
    </dataValidation>
    <dataValidation type="list" allowBlank="1" showInputMessage="1" showErrorMessage="1" sqref="WVS655365:WVS655388">
      <formula1>項目!C17:$WVM$655361</formula1>
    </dataValidation>
    <dataValidation type="list" allowBlank="1" showInputMessage="1" showErrorMessage="1" sqref="JG720901:JG720924">
      <formula1>項目!C17:$JA$720897</formula1>
    </dataValidation>
    <dataValidation type="list" allowBlank="1" showInputMessage="1" showErrorMessage="1" sqref="TC720901:TC720924">
      <formula1>項目!C17:$SW$720897</formula1>
    </dataValidation>
    <dataValidation type="list" allowBlank="1" showInputMessage="1" showErrorMessage="1" sqref="ACY720901:ACY720924">
      <formula1>項目!C17:$ACS$720897</formula1>
    </dataValidation>
    <dataValidation type="list" allowBlank="1" showInputMessage="1" showErrorMessage="1" sqref="AMU720901:AMU720924">
      <formula1>項目!C17:$AMO$720897</formula1>
    </dataValidation>
    <dataValidation type="list" allowBlank="1" showInputMessage="1" showErrorMessage="1" sqref="AWQ720901:AWQ720924">
      <formula1>項目!C17:$AWK$720897</formula1>
    </dataValidation>
    <dataValidation type="list" allowBlank="1" showInputMessage="1" showErrorMessage="1" sqref="BGM720901:BGM720924">
      <formula1>項目!C17:$BGG$720897</formula1>
    </dataValidation>
    <dataValidation type="list" allowBlank="1" showInputMessage="1" showErrorMessage="1" sqref="BQI720901:BQI720924">
      <formula1>項目!C17:$BQC$720897</formula1>
    </dataValidation>
    <dataValidation type="list" allowBlank="1" showInputMessage="1" showErrorMessage="1" sqref="CAE720901:CAE720924">
      <formula1>項目!C17:$BZY$720897</formula1>
    </dataValidation>
    <dataValidation type="list" allowBlank="1" showInputMessage="1" showErrorMessage="1" sqref="CKA720901:CKA720924">
      <formula1>項目!C17:$CJU$720897</formula1>
    </dataValidation>
    <dataValidation type="list" allowBlank="1" showInputMessage="1" showErrorMessage="1" sqref="CTW720901:CTW720924">
      <formula1>項目!C17:$CTQ$720897</formula1>
    </dataValidation>
    <dataValidation type="list" allowBlank="1" showInputMessage="1" showErrorMessage="1" sqref="DDS720901:DDS720924">
      <formula1>項目!C17:$DDM$720897</formula1>
    </dataValidation>
    <dataValidation type="list" allowBlank="1" showInputMessage="1" showErrorMessage="1" sqref="DNO720901:DNO720924">
      <formula1>項目!C17:$DNI$720897</formula1>
    </dataValidation>
    <dataValidation type="list" allowBlank="1" showInputMessage="1" showErrorMessage="1" sqref="DXK720901:DXK720924">
      <formula1>項目!C17:$DXE$720897</formula1>
    </dataValidation>
    <dataValidation type="list" allowBlank="1" showInputMessage="1" showErrorMessage="1" sqref="EHG720901:EHG720924">
      <formula1>項目!C17:$EHA$720897</formula1>
    </dataValidation>
    <dataValidation type="list" allowBlank="1" showInputMessage="1" showErrorMessage="1" sqref="ERC720901:ERC720924">
      <formula1>項目!C17:$EQW$720897</formula1>
    </dataValidation>
    <dataValidation type="list" allowBlank="1" showInputMessage="1" showErrorMessage="1" sqref="FAY720901:FAY720924">
      <formula1>項目!C17:$FAS$720897</formula1>
    </dataValidation>
    <dataValidation type="list" allowBlank="1" showInputMessage="1" showErrorMessage="1" sqref="FKU720901:FKU720924">
      <formula1>項目!C17:$FKO$720897</formula1>
    </dataValidation>
    <dataValidation type="list" allowBlank="1" showInputMessage="1" showErrorMessage="1" sqref="FUQ720901:FUQ720924">
      <formula1>項目!C17:$FUK$720897</formula1>
    </dataValidation>
    <dataValidation type="list" allowBlank="1" showInputMessage="1" showErrorMessage="1" sqref="GEM720901:GEM720924">
      <formula1>項目!C17:$GEG$720897</formula1>
    </dataValidation>
    <dataValidation type="list" allowBlank="1" showInputMessage="1" showErrorMessage="1" sqref="GOI720901:GOI720924">
      <formula1>項目!C17:$GOC$720897</formula1>
    </dataValidation>
    <dataValidation type="list" allowBlank="1" showInputMessage="1" showErrorMessage="1" sqref="GYE720901:GYE720924">
      <formula1>項目!C17:$GXY$720897</formula1>
    </dataValidation>
    <dataValidation type="list" allowBlank="1" showInputMessage="1" showErrorMessage="1" sqref="HIA720901:HIA720924">
      <formula1>項目!C17:$HHU$720897</formula1>
    </dataValidation>
    <dataValidation type="list" allowBlank="1" showInputMessage="1" showErrorMessage="1" sqref="HRW720901:HRW720924">
      <formula1>項目!C17:$HRQ$720897</formula1>
    </dataValidation>
    <dataValidation type="list" allowBlank="1" showInputMessage="1" showErrorMessage="1" sqref="IBS720901:IBS720924">
      <formula1>項目!C17:$IBM$720897</formula1>
    </dataValidation>
    <dataValidation type="list" allowBlank="1" showInputMessage="1" showErrorMessage="1" sqref="ILO720901:ILO720924">
      <formula1>項目!C17:$ILI$720897</formula1>
    </dataValidation>
    <dataValidation type="list" allowBlank="1" showInputMessage="1" showErrorMessage="1" sqref="IVK720901:IVK720924">
      <formula1>項目!C17:$IVE$720897</formula1>
    </dataValidation>
    <dataValidation type="list" allowBlank="1" showInputMessage="1" showErrorMessage="1" sqref="JFG720901:JFG720924">
      <formula1>項目!C17:$JFA$720897</formula1>
    </dataValidation>
    <dataValidation type="list" allowBlank="1" showInputMessage="1" showErrorMessage="1" sqref="JPC720901:JPC720924">
      <formula1>項目!C17:$JOW$720897</formula1>
    </dataValidation>
    <dataValidation type="list" allowBlank="1" showInputMessage="1" showErrorMessage="1" sqref="JYY720901:JYY720924">
      <formula1>項目!C17:$JYS$720897</formula1>
    </dataValidation>
    <dataValidation type="list" allowBlank="1" showInputMessage="1" showErrorMessage="1" sqref="KIU720901:KIU720924">
      <formula1>項目!C17:$KIO$720897</formula1>
    </dataValidation>
    <dataValidation type="list" allowBlank="1" showInputMessage="1" showErrorMessage="1" sqref="KSQ720901:KSQ720924">
      <formula1>項目!C17:$KSK$720897</formula1>
    </dataValidation>
    <dataValidation type="list" allowBlank="1" showInputMessage="1" showErrorMessage="1" sqref="LCM720901:LCM720924">
      <formula1>項目!C17:$LCG$720897</formula1>
    </dataValidation>
    <dataValidation type="list" allowBlank="1" showInputMessage="1" showErrorMessage="1" sqref="LMI720901:LMI720924">
      <formula1>項目!C17:$LMC$720897</formula1>
    </dataValidation>
    <dataValidation type="list" allowBlank="1" showInputMessage="1" showErrorMessage="1" sqref="LWE720901:LWE720924">
      <formula1>項目!C17:$LVY$720897</formula1>
    </dataValidation>
    <dataValidation type="list" allowBlank="1" showInputMessage="1" showErrorMessage="1" sqref="MGA720901:MGA720924">
      <formula1>項目!C17:$MFU$720897</formula1>
    </dataValidation>
    <dataValidation type="list" allowBlank="1" showInputMessage="1" showErrorMessage="1" sqref="MPW720901:MPW720924">
      <formula1>項目!C17:$MPQ$720897</formula1>
    </dataValidation>
    <dataValidation type="list" allowBlank="1" showInputMessage="1" showErrorMessage="1" sqref="MZS720901:MZS720924">
      <formula1>項目!C17:$MZM$720897</formula1>
    </dataValidation>
    <dataValidation type="list" allowBlank="1" showInputMessage="1" showErrorMessage="1" sqref="NJO720901:NJO720924">
      <formula1>項目!C17:$NJI$720897</formula1>
    </dataValidation>
    <dataValidation type="list" allowBlank="1" showInputMessage="1" showErrorMessage="1" sqref="NTK720901:NTK720924">
      <formula1>項目!C17:$NTE$720897</formula1>
    </dataValidation>
    <dataValidation type="list" allowBlank="1" showInputMessage="1" showErrorMessage="1" sqref="ODG720901:ODG720924">
      <formula1>項目!C17:$ODA$720897</formula1>
    </dataValidation>
    <dataValidation type="list" allowBlank="1" showInputMessage="1" showErrorMessage="1" sqref="ONC720901:ONC720924">
      <formula1>項目!C17:$OMW$720897</formula1>
    </dataValidation>
    <dataValidation type="list" allowBlank="1" showInputMessage="1" showErrorMessage="1" sqref="OWY720901:OWY720924">
      <formula1>項目!C17:$OWS$720897</formula1>
    </dataValidation>
    <dataValidation type="list" allowBlank="1" showInputMessage="1" showErrorMessage="1" sqref="PGU720901:PGU720924">
      <formula1>項目!C17:$PGO$720897</formula1>
    </dataValidation>
    <dataValidation type="list" allowBlank="1" showInputMessage="1" showErrorMessage="1" sqref="PQQ720901:PQQ720924">
      <formula1>項目!C17:$PQK$720897</formula1>
    </dataValidation>
    <dataValidation type="list" allowBlank="1" showInputMessage="1" showErrorMessage="1" sqref="QAM720901:QAM720924">
      <formula1>項目!C17:$QAG$720897</formula1>
    </dataValidation>
    <dataValidation type="list" allowBlank="1" showInputMessage="1" showErrorMessage="1" sqref="QKI720901:QKI720924">
      <formula1>項目!C17:$QKC$720897</formula1>
    </dataValidation>
    <dataValidation type="list" allowBlank="1" showInputMessage="1" showErrorMessage="1" sqref="QUE720901:QUE720924">
      <formula1>項目!C17:$QTY$720897</formula1>
    </dataValidation>
    <dataValidation type="list" allowBlank="1" showInputMessage="1" showErrorMessage="1" sqref="REA720901:REA720924">
      <formula1>項目!C17:$RDU$720897</formula1>
    </dataValidation>
    <dataValidation type="list" allowBlank="1" showInputMessage="1" showErrorMessage="1" sqref="RNW720901:RNW720924">
      <formula1>項目!C17:$RNQ$720897</formula1>
    </dataValidation>
    <dataValidation type="list" allowBlank="1" showInputMessage="1" showErrorMessage="1" sqref="RXS720901:RXS720924">
      <formula1>項目!C17:$RXM$720897</formula1>
    </dataValidation>
    <dataValidation type="list" allowBlank="1" showInputMessage="1" showErrorMessage="1" sqref="SHO720901:SHO720924">
      <formula1>項目!C17:$SHI$720897</formula1>
    </dataValidation>
    <dataValidation type="list" allowBlank="1" showInputMessage="1" showErrorMessage="1" sqref="SRK720901:SRK720924">
      <formula1>項目!C17:$SRE$720897</formula1>
    </dataValidation>
    <dataValidation type="list" allowBlank="1" showInputMessage="1" showErrorMessage="1" sqref="TBG720901:TBG720924">
      <formula1>項目!C17:$TBA$720897</formula1>
    </dataValidation>
    <dataValidation type="list" allowBlank="1" showInputMessage="1" showErrorMessage="1" sqref="TLC720901:TLC720924">
      <formula1>項目!C17:$TKW$720897</formula1>
    </dataValidation>
    <dataValidation type="list" allowBlank="1" showInputMessage="1" showErrorMessage="1" sqref="TUY720901:TUY720924">
      <formula1>項目!C17:$TUS$720897</formula1>
    </dataValidation>
    <dataValidation type="list" allowBlank="1" showInputMessage="1" showErrorMessage="1" sqref="UEU720901:UEU720924">
      <formula1>項目!C17:$UEO$720897</formula1>
    </dataValidation>
    <dataValidation type="list" allowBlank="1" showInputMessage="1" showErrorMessage="1" sqref="UOQ720901:UOQ720924">
      <formula1>項目!C17:$UOK$720897</formula1>
    </dataValidation>
    <dataValidation type="list" allowBlank="1" showInputMessage="1" showErrorMessage="1" sqref="UYM720901:UYM720924">
      <formula1>項目!C17:$UYG$720897</formula1>
    </dataValidation>
    <dataValidation type="list" allowBlank="1" showInputMessage="1" showErrorMessage="1" sqref="VII720901:VII720924">
      <formula1>項目!C17:$VIC$720897</formula1>
    </dataValidation>
    <dataValidation type="list" allowBlank="1" showInputMessage="1" showErrorMessage="1" sqref="VSE720901:VSE720924">
      <formula1>項目!C17:$VRY$720897</formula1>
    </dataValidation>
    <dataValidation type="list" allowBlank="1" showInputMessage="1" showErrorMessage="1" sqref="WCA720901:WCA720924">
      <formula1>項目!C17:$WBU$720897</formula1>
    </dataValidation>
    <dataValidation type="list" allowBlank="1" showInputMessage="1" showErrorMessage="1" sqref="WLW720901:WLW720924">
      <formula1>項目!C17:$WLQ$720897</formula1>
    </dataValidation>
    <dataValidation type="list" allowBlank="1" showInputMessage="1" showErrorMessage="1" sqref="WVS720901:WVS720924">
      <formula1>項目!C17:$WVM$720897</formula1>
    </dataValidation>
    <dataValidation type="list" allowBlank="1" showInputMessage="1" showErrorMessage="1" sqref="JG786437:JG786460">
      <formula1>項目!C17:$JA$786433</formula1>
    </dataValidation>
    <dataValidation type="list" allowBlank="1" showInputMessage="1" showErrorMessage="1" sqref="TC786437:TC786460">
      <formula1>項目!C17:$SW$786433</formula1>
    </dataValidation>
    <dataValidation type="list" allowBlank="1" showInputMessage="1" showErrorMessage="1" sqref="ACY786437:ACY786460">
      <formula1>項目!C17:$ACS$786433</formula1>
    </dataValidation>
    <dataValidation type="list" allowBlank="1" showInputMessage="1" showErrorMessage="1" sqref="AMU786437:AMU786460">
      <formula1>項目!C17:$AMO$786433</formula1>
    </dataValidation>
    <dataValidation type="list" allowBlank="1" showInputMessage="1" showErrorMessage="1" sqref="AWQ786437:AWQ786460">
      <formula1>項目!C17:$AWK$786433</formula1>
    </dataValidation>
    <dataValidation type="list" allowBlank="1" showInputMessage="1" showErrorMessage="1" sqref="BGM786437:BGM786460">
      <formula1>項目!C17:$BGG$786433</formula1>
    </dataValidation>
    <dataValidation type="list" allowBlank="1" showInputMessage="1" showErrorMessage="1" sqref="BQI786437:BQI786460">
      <formula1>項目!C17:$BQC$786433</formula1>
    </dataValidation>
    <dataValidation type="list" allowBlank="1" showInputMessage="1" showErrorMessage="1" sqref="CAE786437:CAE786460">
      <formula1>項目!C17:$BZY$786433</formula1>
    </dataValidation>
    <dataValidation type="list" allowBlank="1" showInputMessage="1" showErrorMessage="1" sqref="CKA786437:CKA786460">
      <formula1>項目!C17:$CJU$786433</formula1>
    </dataValidation>
    <dataValidation type="list" allowBlank="1" showInputMessage="1" showErrorMessage="1" sqref="CTW786437:CTW786460">
      <formula1>項目!C17:$CTQ$786433</formula1>
    </dataValidation>
    <dataValidation type="list" allowBlank="1" showInputMessage="1" showErrorMessage="1" sqref="DDS786437:DDS786460">
      <formula1>項目!C17:$DDM$786433</formula1>
    </dataValidation>
    <dataValidation type="list" allowBlank="1" showInputMessage="1" showErrorMessage="1" sqref="DNO786437:DNO786460">
      <formula1>項目!C17:$DNI$786433</formula1>
    </dataValidation>
    <dataValidation type="list" allowBlank="1" showInputMessage="1" showErrorMessage="1" sqref="DXK786437:DXK786460">
      <formula1>項目!C17:$DXE$786433</formula1>
    </dataValidation>
    <dataValidation type="list" allowBlank="1" showInputMessage="1" showErrorMessage="1" sqref="EHG786437:EHG786460">
      <formula1>項目!C17:$EHA$786433</formula1>
    </dataValidation>
    <dataValidation type="list" allowBlank="1" showInputMessage="1" showErrorMessage="1" sqref="ERC786437:ERC786460">
      <formula1>項目!C17:$EQW$786433</formula1>
    </dataValidation>
    <dataValidation type="list" allowBlank="1" showInputMessage="1" showErrorMessage="1" sqref="FAY786437:FAY786460">
      <formula1>項目!C17:$FAS$786433</formula1>
    </dataValidation>
    <dataValidation type="list" allowBlank="1" showInputMessage="1" showErrorMessage="1" sqref="FKU786437:FKU786460">
      <formula1>項目!C17:$FKO$786433</formula1>
    </dataValidation>
    <dataValidation type="list" allowBlank="1" showInputMessage="1" showErrorMessage="1" sqref="FUQ786437:FUQ786460">
      <formula1>項目!C17:$FUK$786433</formula1>
    </dataValidation>
    <dataValidation type="list" allowBlank="1" showInputMessage="1" showErrorMessage="1" sqref="GEM786437:GEM786460">
      <formula1>項目!C17:$GEG$786433</formula1>
    </dataValidation>
    <dataValidation type="list" allowBlank="1" showInputMessage="1" showErrorMessage="1" sqref="GOI786437:GOI786460">
      <formula1>項目!C17:$GOC$786433</formula1>
    </dataValidation>
    <dataValidation type="list" allowBlank="1" showInputMessage="1" showErrorMessage="1" sqref="GYE786437:GYE786460">
      <formula1>項目!C17:$GXY$786433</formula1>
    </dataValidation>
    <dataValidation type="list" allowBlank="1" showInputMessage="1" showErrorMessage="1" sqref="HIA786437:HIA786460">
      <formula1>項目!C17:$HHU$786433</formula1>
    </dataValidation>
    <dataValidation type="list" allowBlank="1" showInputMessage="1" showErrorMessage="1" sqref="HRW786437:HRW786460">
      <formula1>項目!C17:$HRQ$786433</formula1>
    </dataValidation>
    <dataValidation type="list" allowBlank="1" showInputMessage="1" showErrorMessage="1" sqref="IBS786437:IBS786460">
      <formula1>項目!C17:$IBM$786433</formula1>
    </dataValidation>
    <dataValidation type="list" allowBlank="1" showInputMessage="1" showErrorMessage="1" sqref="ILO786437:ILO786460">
      <formula1>項目!C17:$ILI$786433</formula1>
    </dataValidation>
    <dataValidation type="list" allowBlank="1" showInputMessage="1" showErrorMessage="1" sqref="IVK786437:IVK786460">
      <formula1>項目!C17:$IVE$786433</formula1>
    </dataValidation>
    <dataValidation type="list" allowBlank="1" showInputMessage="1" showErrorMessage="1" sqref="JFG786437:JFG786460">
      <formula1>項目!C17:$JFA$786433</formula1>
    </dataValidation>
    <dataValidation type="list" allowBlank="1" showInputMessage="1" showErrorMessage="1" sqref="JPC786437:JPC786460">
      <formula1>項目!C17:$JOW$786433</formula1>
    </dataValidation>
    <dataValidation type="list" allowBlank="1" showInputMessage="1" showErrorMessage="1" sqref="JYY786437:JYY786460">
      <formula1>項目!C17:$JYS$786433</formula1>
    </dataValidation>
    <dataValidation type="list" allowBlank="1" showInputMessage="1" showErrorMessage="1" sqref="KIU786437:KIU786460">
      <formula1>項目!C17:$KIO$786433</formula1>
    </dataValidation>
    <dataValidation type="list" allowBlank="1" showInputMessage="1" showErrorMessage="1" sqref="KSQ786437:KSQ786460">
      <formula1>項目!C17:$KSK$786433</formula1>
    </dataValidation>
    <dataValidation type="list" allowBlank="1" showInputMessage="1" showErrorMessage="1" sqref="LCM786437:LCM786460">
      <formula1>項目!C17:$LCG$786433</formula1>
    </dataValidation>
    <dataValidation type="list" allowBlank="1" showInputMessage="1" showErrorMessage="1" sqref="LMI786437:LMI786460">
      <formula1>項目!C17:$LMC$786433</formula1>
    </dataValidation>
    <dataValidation type="list" allowBlank="1" showInputMessage="1" showErrorMessage="1" sqref="LWE786437:LWE786460">
      <formula1>項目!C17:$LVY$786433</formula1>
    </dataValidation>
    <dataValidation type="list" allowBlank="1" showInputMessage="1" showErrorMessage="1" sqref="MGA786437:MGA786460">
      <formula1>項目!C17:$MFU$786433</formula1>
    </dataValidation>
    <dataValidation type="list" allowBlank="1" showInputMessage="1" showErrorMessage="1" sqref="MPW786437:MPW786460">
      <formula1>項目!C17:$MPQ$786433</formula1>
    </dataValidation>
    <dataValidation type="list" allowBlank="1" showInputMessage="1" showErrorMessage="1" sqref="MZS786437:MZS786460">
      <formula1>項目!C17:$MZM$786433</formula1>
    </dataValidation>
    <dataValidation type="list" allowBlank="1" showInputMessage="1" showErrorMessage="1" sqref="NJO786437:NJO786460">
      <formula1>項目!C17:$NJI$786433</formula1>
    </dataValidation>
    <dataValidation type="list" allowBlank="1" showInputMessage="1" showErrorMessage="1" sqref="NTK786437:NTK786460">
      <formula1>項目!C17:$NTE$786433</formula1>
    </dataValidation>
    <dataValidation type="list" allowBlank="1" showInputMessage="1" showErrorMessage="1" sqref="ODG786437:ODG786460">
      <formula1>項目!C17:$ODA$786433</formula1>
    </dataValidation>
    <dataValidation type="list" allowBlank="1" showInputMessage="1" showErrorMessage="1" sqref="ONC786437:ONC786460">
      <formula1>項目!C17:$OMW$786433</formula1>
    </dataValidation>
    <dataValidation type="list" allowBlank="1" showInputMessage="1" showErrorMessage="1" sqref="OWY786437:OWY786460">
      <formula1>項目!C17:$OWS$786433</formula1>
    </dataValidation>
    <dataValidation type="list" allowBlank="1" showInputMessage="1" showErrorMessage="1" sqref="PGU786437:PGU786460">
      <formula1>項目!C17:$PGO$786433</formula1>
    </dataValidation>
    <dataValidation type="list" allowBlank="1" showInputMessage="1" showErrorMessage="1" sqref="PQQ786437:PQQ786460">
      <formula1>項目!C17:$PQK$786433</formula1>
    </dataValidation>
    <dataValidation type="list" allowBlank="1" showInputMessage="1" showErrorMessage="1" sqref="QAM786437:QAM786460">
      <formula1>項目!C17:$QAG$786433</formula1>
    </dataValidation>
    <dataValidation type="list" allowBlank="1" showInputMessage="1" showErrorMessage="1" sqref="QKI786437:QKI786460">
      <formula1>項目!C17:$QKC$786433</formula1>
    </dataValidation>
    <dataValidation type="list" allowBlank="1" showInputMessage="1" showErrorMessage="1" sqref="QUE786437:QUE786460">
      <formula1>項目!C17:$QTY$786433</formula1>
    </dataValidation>
    <dataValidation type="list" allowBlank="1" showInputMessage="1" showErrorMessage="1" sqref="REA786437:REA786460">
      <formula1>項目!C17:$RDU$786433</formula1>
    </dataValidation>
    <dataValidation type="list" allowBlank="1" showInputMessage="1" showErrorMessage="1" sqref="RNW786437:RNW786460">
      <formula1>項目!C17:$RNQ$786433</formula1>
    </dataValidation>
    <dataValidation type="list" allowBlank="1" showInputMessage="1" showErrorMessage="1" sqref="RXS786437:RXS786460">
      <formula1>項目!C17:$RXM$786433</formula1>
    </dataValidation>
    <dataValidation type="list" allowBlank="1" showInputMessage="1" showErrorMessage="1" sqref="SHO786437:SHO786460">
      <formula1>項目!C17:$SHI$786433</formula1>
    </dataValidation>
    <dataValidation type="list" allowBlank="1" showInputMessage="1" showErrorMessage="1" sqref="SRK786437:SRK786460">
      <formula1>項目!C17:$SRE$786433</formula1>
    </dataValidation>
    <dataValidation type="list" allowBlank="1" showInputMessage="1" showErrorMessage="1" sqref="TBG786437:TBG786460">
      <formula1>項目!C17:$TBA$786433</formula1>
    </dataValidation>
    <dataValidation type="list" allowBlank="1" showInputMessage="1" showErrorMessage="1" sqref="TLC786437:TLC786460">
      <formula1>項目!C17:$TKW$786433</formula1>
    </dataValidation>
    <dataValidation type="list" allowBlank="1" showInputMessage="1" showErrorMessage="1" sqref="TUY786437:TUY786460">
      <formula1>項目!C17:$TUS$786433</formula1>
    </dataValidation>
    <dataValidation type="list" allowBlank="1" showInputMessage="1" showErrorMessage="1" sqref="UEU786437:UEU786460">
      <formula1>項目!C17:$UEO$786433</formula1>
    </dataValidation>
    <dataValidation type="list" allowBlank="1" showInputMessage="1" showErrorMessage="1" sqref="UOQ786437:UOQ786460">
      <formula1>項目!C17:$UOK$786433</formula1>
    </dataValidation>
    <dataValidation type="list" allowBlank="1" showInputMessage="1" showErrorMessage="1" sqref="UYM786437:UYM786460">
      <formula1>項目!C17:$UYG$786433</formula1>
    </dataValidation>
    <dataValidation type="list" allowBlank="1" showInputMessage="1" showErrorMessage="1" sqref="VII786437:VII786460">
      <formula1>項目!C17:$VIC$786433</formula1>
    </dataValidation>
    <dataValidation type="list" allowBlank="1" showInputMessage="1" showErrorMessage="1" sqref="VSE786437:VSE786460">
      <formula1>項目!C17:$VRY$786433</formula1>
    </dataValidation>
    <dataValidation type="list" allowBlank="1" showInputMessage="1" showErrorMessage="1" sqref="WCA786437:WCA786460">
      <formula1>項目!C17:$WBU$786433</formula1>
    </dataValidation>
    <dataValidation type="list" allowBlank="1" showInputMessage="1" showErrorMessage="1" sqref="WLW786437:WLW786460">
      <formula1>項目!C17:$WLQ$786433</formula1>
    </dataValidation>
    <dataValidation type="list" allowBlank="1" showInputMessage="1" showErrorMessage="1" sqref="WVS786437:WVS786460">
      <formula1>項目!C17:$WVM$786433</formula1>
    </dataValidation>
    <dataValidation type="list" allowBlank="1" showInputMessage="1" showErrorMessage="1" sqref="JG851973:JG851996">
      <formula1>項目!C17:$JA$851969</formula1>
    </dataValidation>
    <dataValidation type="list" allowBlank="1" showInputMessage="1" showErrorMessage="1" sqref="TC851973:TC851996">
      <formula1>項目!C17:$SW$851969</formula1>
    </dataValidation>
    <dataValidation type="list" allowBlank="1" showInputMessage="1" showErrorMessage="1" sqref="ACY851973:ACY851996">
      <formula1>項目!C17:$ACS$851969</formula1>
    </dataValidation>
    <dataValidation type="list" allowBlank="1" showInputMessage="1" showErrorMessage="1" sqref="AMU851973:AMU851996">
      <formula1>項目!C17:$AMO$851969</formula1>
    </dataValidation>
    <dataValidation type="list" allowBlank="1" showInputMessage="1" showErrorMessage="1" sqref="AWQ851973:AWQ851996">
      <formula1>項目!C17:$AWK$851969</formula1>
    </dataValidation>
    <dataValidation type="list" allowBlank="1" showInputMessage="1" showErrorMessage="1" sqref="BGM851973:BGM851996">
      <formula1>項目!C17:$BGG$851969</formula1>
    </dataValidation>
    <dataValidation type="list" allowBlank="1" showInputMessage="1" showErrorMessage="1" sqref="BQI851973:BQI851996">
      <formula1>項目!C17:$BQC$851969</formula1>
    </dataValidation>
    <dataValidation type="list" allowBlank="1" showInputMessage="1" showErrorMessage="1" sqref="CAE851973:CAE851996">
      <formula1>項目!C17:$BZY$851969</formula1>
    </dataValidation>
    <dataValidation type="list" allowBlank="1" showInputMessage="1" showErrorMessage="1" sqref="CKA851973:CKA851996">
      <formula1>項目!C17:$CJU$851969</formula1>
    </dataValidation>
    <dataValidation type="list" allowBlank="1" showInputMessage="1" showErrorMessage="1" sqref="CTW851973:CTW851996">
      <formula1>項目!C17:$CTQ$851969</formula1>
    </dataValidation>
    <dataValidation type="list" allowBlank="1" showInputMessage="1" showErrorMessage="1" sqref="DDS851973:DDS851996">
      <formula1>項目!C17:$DDM$851969</formula1>
    </dataValidation>
    <dataValidation type="list" allowBlank="1" showInputMessage="1" showErrorMessage="1" sqref="DNO851973:DNO851996">
      <formula1>項目!C17:$DNI$851969</formula1>
    </dataValidation>
    <dataValidation type="list" allowBlank="1" showInputMessage="1" showErrorMessage="1" sqref="DXK851973:DXK851996">
      <formula1>項目!C17:$DXE$851969</formula1>
    </dataValidation>
    <dataValidation type="list" allowBlank="1" showInputMessage="1" showErrorMessage="1" sqref="EHG851973:EHG851996">
      <formula1>項目!C17:$EHA$851969</formula1>
    </dataValidation>
    <dataValidation type="list" allowBlank="1" showInputMessage="1" showErrorMessage="1" sqref="ERC851973:ERC851996">
      <formula1>項目!C17:$EQW$851969</formula1>
    </dataValidation>
    <dataValidation type="list" allowBlank="1" showInputMessage="1" showErrorMessage="1" sqref="FAY851973:FAY851996">
      <formula1>項目!C17:$FAS$851969</formula1>
    </dataValidation>
    <dataValidation type="list" allowBlank="1" showInputMessage="1" showErrorMessage="1" sqref="FKU851973:FKU851996">
      <formula1>項目!C17:$FKO$851969</formula1>
    </dataValidation>
    <dataValidation type="list" allowBlank="1" showInputMessage="1" showErrorMessage="1" sqref="FUQ851973:FUQ851996">
      <formula1>項目!C17:$FUK$851969</formula1>
    </dataValidation>
    <dataValidation type="list" allowBlank="1" showInputMessage="1" showErrorMessage="1" sqref="GEM851973:GEM851996">
      <formula1>項目!C17:$GEG$851969</formula1>
    </dataValidation>
    <dataValidation type="list" allowBlank="1" showInputMessage="1" showErrorMessage="1" sqref="GOI851973:GOI851996">
      <formula1>項目!C17:$GOC$851969</formula1>
    </dataValidation>
    <dataValidation type="list" allowBlank="1" showInputMessage="1" showErrorMessage="1" sqref="GYE851973:GYE851996">
      <formula1>項目!C17:$GXY$851969</formula1>
    </dataValidation>
    <dataValidation type="list" allowBlank="1" showInputMessage="1" showErrorMessage="1" sqref="HIA851973:HIA851996">
      <formula1>項目!C17:$HHU$851969</formula1>
    </dataValidation>
    <dataValidation type="list" allowBlank="1" showInputMessage="1" showErrorMessage="1" sqref="HRW851973:HRW851996">
      <formula1>項目!C17:$HRQ$851969</formula1>
    </dataValidation>
    <dataValidation type="list" allowBlank="1" showInputMessage="1" showErrorMessage="1" sqref="IBS851973:IBS851996">
      <formula1>項目!C17:$IBM$851969</formula1>
    </dataValidation>
    <dataValidation type="list" allowBlank="1" showInputMessage="1" showErrorMessage="1" sqref="ILO851973:ILO851996">
      <formula1>項目!C17:$ILI$851969</formula1>
    </dataValidation>
    <dataValidation type="list" allowBlank="1" showInputMessage="1" showErrorMessage="1" sqref="IVK851973:IVK851996">
      <formula1>項目!C17:$IVE$851969</formula1>
    </dataValidation>
    <dataValidation type="list" allowBlank="1" showInputMessage="1" showErrorMessage="1" sqref="JFG851973:JFG851996">
      <formula1>項目!C17:$JFA$851969</formula1>
    </dataValidation>
    <dataValidation type="list" allowBlank="1" showInputMessage="1" showErrorMessage="1" sqref="JPC851973:JPC851996">
      <formula1>項目!C17:$JOW$851969</formula1>
    </dataValidation>
    <dataValidation type="list" allowBlank="1" showInputMessage="1" showErrorMessage="1" sqref="JYY851973:JYY851996">
      <formula1>項目!C17:$JYS$851969</formula1>
    </dataValidation>
    <dataValidation type="list" allowBlank="1" showInputMessage="1" showErrorMessage="1" sqref="KIU851973:KIU851996">
      <formula1>項目!C17:$KIO$851969</formula1>
    </dataValidation>
    <dataValidation type="list" allowBlank="1" showInputMessage="1" showErrorMessage="1" sqref="KSQ851973:KSQ851996">
      <formula1>項目!C17:$KSK$851969</formula1>
    </dataValidation>
    <dataValidation type="list" allowBlank="1" showInputMessage="1" showErrorMessage="1" sqref="LCM851973:LCM851996">
      <formula1>項目!C17:$LCG$851969</formula1>
    </dataValidation>
    <dataValidation type="list" allowBlank="1" showInputMessage="1" showErrorMessage="1" sqref="LMI851973:LMI851996">
      <formula1>項目!C17:$LMC$851969</formula1>
    </dataValidation>
    <dataValidation type="list" allowBlank="1" showInputMessage="1" showErrorMessage="1" sqref="LWE851973:LWE851996">
      <formula1>項目!C17:$LVY$851969</formula1>
    </dataValidation>
    <dataValidation type="list" allowBlank="1" showInputMessage="1" showErrorMessage="1" sqref="MGA851973:MGA851996">
      <formula1>項目!C17:$MFU$851969</formula1>
    </dataValidation>
    <dataValidation type="list" allowBlank="1" showInputMessage="1" showErrorMessage="1" sqref="MPW851973:MPW851996">
      <formula1>項目!C17:$MPQ$851969</formula1>
    </dataValidation>
    <dataValidation type="list" allowBlank="1" showInputMessage="1" showErrorMessage="1" sqref="MZS851973:MZS851996">
      <formula1>項目!C17:$MZM$851969</formula1>
    </dataValidation>
    <dataValidation type="list" allowBlank="1" showInputMessage="1" showErrorMessage="1" sqref="NJO851973:NJO851996">
      <formula1>項目!C17:$NJI$851969</formula1>
    </dataValidation>
    <dataValidation type="list" allowBlank="1" showInputMessage="1" showErrorMessage="1" sqref="NTK851973:NTK851996">
      <formula1>項目!C17:$NTE$851969</formula1>
    </dataValidation>
    <dataValidation type="list" allowBlank="1" showInputMessage="1" showErrorMessage="1" sqref="ODG851973:ODG851996">
      <formula1>項目!C17:$ODA$851969</formula1>
    </dataValidation>
    <dataValidation type="list" allowBlank="1" showInputMessage="1" showErrorMessage="1" sqref="ONC851973:ONC851996">
      <formula1>項目!C17:$OMW$851969</formula1>
    </dataValidation>
    <dataValidation type="list" allowBlank="1" showInputMessage="1" showErrorMessage="1" sqref="OWY851973:OWY851996">
      <formula1>項目!C17:$OWS$851969</formula1>
    </dataValidation>
    <dataValidation type="list" allowBlank="1" showInputMessage="1" showErrorMessage="1" sqref="PGU851973:PGU851996">
      <formula1>項目!C17:$PGO$851969</formula1>
    </dataValidation>
    <dataValidation type="list" allowBlank="1" showInputMessage="1" showErrorMessage="1" sqref="PQQ851973:PQQ851996">
      <formula1>項目!C17:$PQK$851969</formula1>
    </dataValidation>
    <dataValidation type="list" allowBlank="1" showInputMessage="1" showErrorMessage="1" sqref="QAM851973:QAM851996">
      <formula1>項目!C17:$QAG$851969</formula1>
    </dataValidation>
    <dataValidation type="list" allowBlank="1" showInputMessage="1" showErrorMessage="1" sqref="QKI851973:QKI851996">
      <formula1>項目!C17:$QKC$851969</formula1>
    </dataValidation>
    <dataValidation type="list" allowBlank="1" showInputMessage="1" showErrorMessage="1" sqref="QUE851973:QUE851996">
      <formula1>項目!C17:$QTY$851969</formula1>
    </dataValidation>
    <dataValidation type="list" allowBlank="1" showInputMessage="1" showErrorMessage="1" sqref="REA851973:REA851996">
      <formula1>項目!C17:$RDU$851969</formula1>
    </dataValidation>
    <dataValidation type="list" allowBlank="1" showInputMessage="1" showErrorMessage="1" sqref="RNW851973:RNW851996">
      <formula1>項目!C17:$RNQ$851969</formula1>
    </dataValidation>
    <dataValidation type="list" allowBlank="1" showInputMessage="1" showErrorMessage="1" sqref="RXS851973:RXS851996">
      <formula1>項目!C17:$RXM$851969</formula1>
    </dataValidation>
    <dataValidation type="list" allowBlank="1" showInputMessage="1" showErrorMessage="1" sqref="SHO851973:SHO851996">
      <formula1>項目!C17:$SHI$851969</formula1>
    </dataValidation>
    <dataValidation type="list" allowBlank="1" showInputMessage="1" showErrorMessage="1" sqref="SRK851973:SRK851996">
      <formula1>項目!C17:$SRE$851969</formula1>
    </dataValidation>
    <dataValidation type="list" allowBlank="1" showInputMessage="1" showErrorMessage="1" sqref="TBG851973:TBG851996">
      <formula1>項目!C17:$TBA$851969</formula1>
    </dataValidation>
    <dataValidation type="list" allowBlank="1" showInputMessage="1" showErrorMessage="1" sqref="TLC851973:TLC851996">
      <formula1>項目!C17:$TKW$851969</formula1>
    </dataValidation>
    <dataValidation type="list" allowBlank="1" showInputMessage="1" showErrorMessage="1" sqref="TUY851973:TUY851996">
      <formula1>項目!C17:$TUS$851969</formula1>
    </dataValidation>
    <dataValidation type="list" allowBlank="1" showInputMessage="1" showErrorMessage="1" sqref="UEU851973:UEU851996">
      <formula1>項目!C17:$UEO$851969</formula1>
    </dataValidation>
    <dataValidation type="list" allowBlank="1" showInputMessage="1" showErrorMessage="1" sqref="UOQ851973:UOQ851996">
      <formula1>項目!C17:$UOK$851969</formula1>
    </dataValidation>
    <dataValidation type="list" allowBlank="1" showInputMessage="1" showErrorMessage="1" sqref="UYM851973:UYM851996">
      <formula1>項目!C17:$UYG$851969</formula1>
    </dataValidation>
    <dataValidation type="list" allowBlank="1" showInputMessage="1" showErrorMessage="1" sqref="VII851973:VII851996">
      <formula1>項目!C17:$VIC$851969</formula1>
    </dataValidation>
    <dataValidation type="list" allowBlank="1" showInputMessage="1" showErrorMessage="1" sqref="VSE851973:VSE851996">
      <formula1>項目!C17:$VRY$851969</formula1>
    </dataValidation>
    <dataValidation type="list" allowBlank="1" showInputMessage="1" showErrorMessage="1" sqref="WCA851973:WCA851996">
      <formula1>項目!C17:$WBU$851969</formula1>
    </dataValidation>
    <dataValidation type="list" allowBlank="1" showInputMessage="1" showErrorMessage="1" sqref="WLW851973:WLW851996">
      <formula1>項目!C17:$WLQ$851969</formula1>
    </dataValidation>
    <dataValidation type="list" allowBlank="1" showInputMessage="1" showErrorMessage="1" sqref="WVS851973:WVS851996">
      <formula1>項目!C17:$WVM$851969</formula1>
    </dataValidation>
    <dataValidation type="list" allowBlank="1" showInputMessage="1" showErrorMessage="1" sqref="JG917509:JG917532">
      <formula1>項目!C17:$JA$917505</formula1>
    </dataValidation>
    <dataValidation type="list" allowBlank="1" showInputMessage="1" showErrorMessage="1" sqref="TC917509:TC917532">
      <formula1>項目!C17:$SW$917505</formula1>
    </dataValidation>
    <dataValidation type="list" allowBlank="1" showInputMessage="1" showErrorMessage="1" sqref="ACY917509:ACY917532">
      <formula1>項目!C17:$ACS$917505</formula1>
    </dataValidation>
    <dataValidation type="list" allowBlank="1" showInputMessage="1" showErrorMessage="1" sqref="AMU917509:AMU917532">
      <formula1>項目!C17:$AMO$917505</formula1>
    </dataValidation>
    <dataValidation type="list" allowBlank="1" showInputMessage="1" showErrorMessage="1" sqref="AWQ917509:AWQ917532">
      <formula1>項目!C17:$AWK$917505</formula1>
    </dataValidation>
    <dataValidation type="list" allowBlank="1" showInputMessage="1" showErrorMessage="1" sqref="BGM917509:BGM917532">
      <formula1>項目!C17:$BGG$917505</formula1>
    </dataValidation>
    <dataValidation type="list" allowBlank="1" showInputMessage="1" showErrorMessage="1" sqref="BQI917509:BQI917532">
      <formula1>項目!C17:$BQC$917505</formula1>
    </dataValidation>
    <dataValidation type="list" allowBlank="1" showInputMessage="1" showErrorMessage="1" sqref="CAE917509:CAE917532">
      <formula1>項目!C17:$BZY$917505</formula1>
    </dataValidation>
    <dataValidation type="list" allowBlank="1" showInputMessage="1" showErrorMessage="1" sqref="CKA917509:CKA917532">
      <formula1>項目!C17:$CJU$917505</formula1>
    </dataValidation>
    <dataValidation type="list" allowBlank="1" showInputMessage="1" showErrorMessage="1" sqref="CTW917509:CTW917532">
      <formula1>項目!C17:$CTQ$917505</formula1>
    </dataValidation>
    <dataValidation type="list" allowBlank="1" showInputMessage="1" showErrorMessage="1" sqref="DDS917509:DDS917532">
      <formula1>項目!C17:$DDM$917505</formula1>
    </dataValidation>
    <dataValidation type="list" allowBlank="1" showInputMessage="1" showErrorMessage="1" sqref="DNO917509:DNO917532">
      <formula1>項目!C17:$DNI$917505</formula1>
    </dataValidation>
    <dataValidation type="list" allowBlank="1" showInputMessage="1" showErrorMessage="1" sqref="DXK917509:DXK917532">
      <formula1>項目!C17:$DXE$917505</formula1>
    </dataValidation>
    <dataValidation type="list" allowBlank="1" showInputMessage="1" showErrorMessage="1" sqref="EHG917509:EHG917532">
      <formula1>項目!C17:$EHA$917505</formula1>
    </dataValidation>
    <dataValidation type="list" allowBlank="1" showInputMessage="1" showErrorMessage="1" sqref="ERC917509:ERC917532">
      <formula1>項目!C17:$EQW$917505</formula1>
    </dataValidation>
    <dataValidation type="list" allowBlank="1" showInputMessage="1" showErrorMessage="1" sqref="FAY917509:FAY917532">
      <formula1>項目!C17:$FAS$917505</formula1>
    </dataValidation>
    <dataValidation type="list" allowBlank="1" showInputMessage="1" showErrorMessage="1" sqref="FKU917509:FKU917532">
      <formula1>項目!C17:$FKO$917505</formula1>
    </dataValidation>
    <dataValidation type="list" allowBlank="1" showInputMessage="1" showErrorMessage="1" sqref="FUQ917509:FUQ917532">
      <formula1>項目!C17:$FUK$917505</formula1>
    </dataValidation>
    <dataValidation type="list" allowBlank="1" showInputMessage="1" showErrorMessage="1" sqref="GEM917509:GEM917532">
      <formula1>項目!C17:$GEG$917505</formula1>
    </dataValidation>
    <dataValidation type="list" allowBlank="1" showInputMessage="1" showErrorMessage="1" sqref="GOI917509:GOI917532">
      <formula1>項目!C17:$GOC$917505</formula1>
    </dataValidation>
    <dataValidation type="list" allowBlank="1" showInputMessage="1" showErrorMessage="1" sqref="GYE917509:GYE917532">
      <formula1>項目!C17:$GXY$917505</formula1>
    </dataValidation>
    <dataValidation type="list" allowBlank="1" showInputMessage="1" showErrorMessage="1" sqref="HIA917509:HIA917532">
      <formula1>項目!C17:$HHU$917505</formula1>
    </dataValidation>
    <dataValidation type="list" allowBlank="1" showInputMessage="1" showErrorMessage="1" sqref="HRW917509:HRW917532">
      <formula1>項目!C17:$HRQ$917505</formula1>
    </dataValidation>
    <dataValidation type="list" allowBlank="1" showInputMessage="1" showErrorMessage="1" sqref="IBS917509:IBS917532">
      <formula1>項目!C17:$IBM$917505</formula1>
    </dataValidation>
    <dataValidation type="list" allowBlank="1" showInputMessage="1" showErrorMessage="1" sqref="ILO917509:ILO917532">
      <formula1>項目!C17:$ILI$917505</formula1>
    </dataValidation>
    <dataValidation type="list" allowBlank="1" showInputMessage="1" showErrorMessage="1" sqref="IVK917509:IVK917532">
      <formula1>項目!C17:$IVE$917505</formula1>
    </dataValidation>
    <dataValidation type="list" allowBlank="1" showInputMessage="1" showErrorMessage="1" sqref="JFG917509:JFG917532">
      <formula1>項目!C17:$JFA$917505</formula1>
    </dataValidation>
    <dataValidation type="list" allowBlank="1" showInputMessage="1" showErrorMessage="1" sqref="JPC917509:JPC917532">
      <formula1>項目!C17:$JOW$917505</formula1>
    </dataValidation>
    <dataValidation type="list" allowBlank="1" showInputMessage="1" showErrorMessage="1" sqref="JYY917509:JYY917532">
      <formula1>項目!C17:$JYS$917505</formula1>
    </dataValidation>
    <dataValidation type="list" allowBlank="1" showInputMessage="1" showErrorMessage="1" sqref="KIU917509:KIU917532">
      <formula1>項目!C17:$KIO$917505</formula1>
    </dataValidation>
    <dataValidation type="list" allowBlank="1" showInputMessage="1" showErrorMessage="1" sqref="KSQ917509:KSQ917532">
      <formula1>項目!C17:$KSK$917505</formula1>
    </dataValidation>
    <dataValidation type="list" allowBlank="1" showInputMessage="1" showErrorMessage="1" sqref="LCM917509:LCM917532">
      <formula1>項目!C17:$LCG$917505</formula1>
    </dataValidation>
    <dataValidation type="list" allowBlank="1" showInputMessage="1" showErrorMessage="1" sqref="LMI917509:LMI917532">
      <formula1>項目!C17:$LMC$917505</formula1>
    </dataValidation>
    <dataValidation type="list" allowBlank="1" showInputMessage="1" showErrorMessage="1" sqref="LWE917509:LWE917532">
      <formula1>項目!C17:$LVY$917505</formula1>
    </dataValidation>
    <dataValidation type="list" allowBlank="1" showInputMessage="1" showErrorMessage="1" sqref="MGA917509:MGA917532">
      <formula1>項目!C17:$MFU$917505</formula1>
    </dataValidation>
    <dataValidation type="list" allowBlank="1" showInputMessage="1" showErrorMessage="1" sqref="MPW917509:MPW917532">
      <formula1>項目!C17:$MPQ$917505</formula1>
    </dataValidation>
    <dataValidation type="list" allowBlank="1" showInputMessage="1" showErrorMessage="1" sqref="MZS917509:MZS917532">
      <formula1>項目!C17:$MZM$917505</formula1>
    </dataValidation>
    <dataValidation type="list" allowBlank="1" showInputMessage="1" showErrorMessage="1" sqref="NJO917509:NJO917532">
      <formula1>項目!C17:$NJI$917505</formula1>
    </dataValidation>
    <dataValidation type="list" allowBlank="1" showInputMessage="1" showErrorMessage="1" sqref="NTK917509:NTK917532">
      <formula1>項目!C17:$NTE$917505</formula1>
    </dataValidation>
    <dataValidation type="list" allowBlank="1" showInputMessage="1" showErrorMessage="1" sqref="ODG917509:ODG917532">
      <formula1>項目!C17:$ODA$917505</formula1>
    </dataValidation>
    <dataValidation type="list" allowBlank="1" showInputMessage="1" showErrorMessage="1" sqref="ONC917509:ONC917532">
      <formula1>項目!C17:$OMW$917505</formula1>
    </dataValidation>
    <dataValidation type="list" allowBlank="1" showInputMessage="1" showErrorMessage="1" sqref="OWY917509:OWY917532">
      <formula1>項目!C17:$OWS$917505</formula1>
    </dataValidation>
    <dataValidation type="list" allowBlank="1" showInputMessage="1" showErrorMessage="1" sqref="PGU917509:PGU917532">
      <formula1>項目!C17:$PGO$917505</formula1>
    </dataValidation>
    <dataValidation type="list" allowBlank="1" showInputMessage="1" showErrorMessage="1" sqref="PQQ917509:PQQ917532">
      <formula1>項目!C17:$PQK$917505</formula1>
    </dataValidation>
    <dataValidation type="list" allowBlank="1" showInputMessage="1" showErrorMessage="1" sqref="QAM917509:QAM917532">
      <formula1>項目!C17:$QAG$917505</formula1>
    </dataValidation>
    <dataValidation type="list" allowBlank="1" showInputMessage="1" showErrorMessage="1" sqref="QKI917509:QKI917532">
      <formula1>項目!C17:$QKC$917505</formula1>
    </dataValidation>
    <dataValidation type="list" allowBlank="1" showInputMessage="1" showErrorMessage="1" sqref="QUE917509:QUE917532">
      <formula1>項目!C17:$QTY$917505</formula1>
    </dataValidation>
    <dataValidation type="list" allowBlank="1" showInputMessage="1" showErrorMessage="1" sqref="REA917509:REA917532">
      <formula1>項目!C17:$RDU$917505</formula1>
    </dataValidation>
    <dataValidation type="list" allowBlank="1" showInputMessage="1" showErrorMessage="1" sqref="RNW917509:RNW917532">
      <formula1>項目!C17:$RNQ$917505</formula1>
    </dataValidation>
    <dataValidation type="list" allowBlank="1" showInputMessage="1" showErrorMessage="1" sqref="RXS917509:RXS917532">
      <formula1>項目!C17:$RXM$917505</formula1>
    </dataValidation>
    <dataValidation type="list" allowBlank="1" showInputMessage="1" showErrorMessage="1" sqref="SHO917509:SHO917532">
      <formula1>項目!C17:$SHI$917505</formula1>
    </dataValidation>
    <dataValidation type="list" allowBlank="1" showInputMessage="1" showErrorMessage="1" sqref="SRK917509:SRK917532">
      <formula1>項目!C17:$SRE$917505</formula1>
    </dataValidation>
    <dataValidation type="list" allowBlank="1" showInputMessage="1" showErrorMessage="1" sqref="TBG917509:TBG917532">
      <formula1>項目!C17:$TBA$917505</formula1>
    </dataValidation>
    <dataValidation type="list" allowBlank="1" showInputMessage="1" showErrorMessage="1" sqref="TLC917509:TLC917532">
      <formula1>項目!C17:$TKW$917505</formula1>
    </dataValidation>
    <dataValidation type="list" allowBlank="1" showInputMessage="1" showErrorMessage="1" sqref="TUY917509:TUY917532">
      <formula1>項目!C17:$TUS$917505</formula1>
    </dataValidation>
    <dataValidation type="list" allowBlank="1" showInputMessage="1" showErrorMessage="1" sqref="UEU917509:UEU917532">
      <formula1>項目!C17:$UEO$917505</formula1>
    </dataValidation>
    <dataValidation type="list" allowBlank="1" showInputMessage="1" showErrorMessage="1" sqref="UOQ917509:UOQ917532">
      <formula1>項目!C17:$UOK$917505</formula1>
    </dataValidation>
    <dataValidation type="list" allowBlank="1" showInputMessage="1" showErrorMessage="1" sqref="UYM917509:UYM917532">
      <formula1>項目!C17:$UYG$917505</formula1>
    </dataValidation>
    <dataValidation type="list" allowBlank="1" showInputMessage="1" showErrorMessage="1" sqref="VII917509:VII917532">
      <formula1>項目!C17:$VIC$917505</formula1>
    </dataValidation>
    <dataValidation type="list" allowBlank="1" showInputMessage="1" showErrorMessage="1" sqref="VSE917509:VSE917532">
      <formula1>項目!C17:$VRY$917505</formula1>
    </dataValidation>
    <dataValidation type="list" allowBlank="1" showInputMessage="1" showErrorMessage="1" sqref="WCA917509:WCA917532">
      <formula1>項目!C17:$WBU$917505</formula1>
    </dataValidation>
    <dataValidation type="list" allowBlank="1" showInputMessage="1" showErrorMessage="1" sqref="WLW917509:WLW917532">
      <formula1>項目!C17:$WLQ$917505</formula1>
    </dataValidation>
    <dataValidation type="list" allowBlank="1" showInputMessage="1" showErrorMessage="1" sqref="WVS917509:WVS917532">
      <formula1>項目!C17:$WVM$917505</formula1>
    </dataValidation>
    <dataValidation type="list" allowBlank="1" showInputMessage="1" showErrorMessage="1" sqref="JG983045:JG983068">
      <formula1>項目!C17:$JA$983041</formula1>
    </dataValidation>
    <dataValidation type="list" allowBlank="1" showInputMessage="1" showErrorMessage="1" sqref="TC983045:TC983068">
      <formula1>項目!C17:$SW$983041</formula1>
    </dataValidation>
    <dataValidation type="list" allowBlank="1" showInputMessage="1" showErrorMessage="1" sqref="ACY983045:ACY983068">
      <formula1>項目!C17:$ACS$983041</formula1>
    </dataValidation>
    <dataValidation type="list" allowBlank="1" showInputMessage="1" showErrorMessage="1" sqref="AMU983045:AMU983068">
      <formula1>項目!C17:$AMO$983041</formula1>
    </dataValidation>
    <dataValidation type="list" allowBlank="1" showInputMessage="1" showErrorMessage="1" sqref="AWQ983045:AWQ983068">
      <formula1>項目!C17:$AWK$983041</formula1>
    </dataValidation>
    <dataValidation type="list" allowBlank="1" showInputMessage="1" showErrorMessage="1" sqref="BGM983045:BGM983068">
      <formula1>項目!C17:$BGG$983041</formula1>
    </dataValidation>
    <dataValidation type="list" allowBlank="1" showInputMessage="1" showErrorMessage="1" sqref="BQI983045:BQI983068">
      <formula1>項目!C17:$BQC$983041</formula1>
    </dataValidation>
    <dataValidation type="list" allowBlank="1" showInputMessage="1" showErrorMessage="1" sqref="CAE983045:CAE983068">
      <formula1>項目!C17:$BZY$983041</formula1>
    </dataValidation>
    <dataValidation type="list" allowBlank="1" showInputMessage="1" showErrorMessage="1" sqref="CKA983045:CKA983068">
      <formula1>項目!C17:$CJU$983041</formula1>
    </dataValidation>
    <dataValidation type="list" allowBlank="1" showInputMessage="1" showErrorMessage="1" sqref="CTW983045:CTW983068">
      <formula1>項目!C17:$CTQ$983041</formula1>
    </dataValidation>
    <dataValidation type="list" allowBlank="1" showInputMessage="1" showErrorMessage="1" sqref="DDS983045:DDS983068">
      <formula1>項目!C17:$DDM$983041</formula1>
    </dataValidation>
    <dataValidation type="list" allowBlank="1" showInputMessage="1" showErrorMessage="1" sqref="DNO983045:DNO983068">
      <formula1>項目!C17:$DNI$983041</formula1>
    </dataValidation>
    <dataValidation type="list" allowBlank="1" showInputMessage="1" showErrorMessage="1" sqref="DXK983045:DXK983068">
      <formula1>項目!C17:$DXE$983041</formula1>
    </dataValidation>
    <dataValidation type="list" allowBlank="1" showInputMessage="1" showErrorMessage="1" sqref="EHG983045:EHG983068">
      <formula1>項目!C17:$EHA$983041</formula1>
    </dataValidation>
    <dataValidation type="list" allowBlank="1" showInputMessage="1" showErrorMessage="1" sqref="ERC983045:ERC983068">
      <formula1>項目!C17:$EQW$983041</formula1>
    </dataValidation>
    <dataValidation type="list" allowBlank="1" showInputMessage="1" showErrorMessage="1" sqref="FAY983045:FAY983068">
      <formula1>項目!C17:$FAS$983041</formula1>
    </dataValidation>
    <dataValidation type="list" allowBlank="1" showInputMessage="1" showErrorMessage="1" sqref="FKU983045:FKU983068">
      <formula1>項目!C17:$FKO$983041</formula1>
    </dataValidation>
    <dataValidation type="list" allowBlank="1" showInputMessage="1" showErrorMessage="1" sqref="FUQ983045:FUQ983068">
      <formula1>項目!C17:$FUK$983041</formula1>
    </dataValidation>
    <dataValidation type="list" allowBlank="1" showInputMessage="1" showErrorMessage="1" sqref="GEM983045:GEM983068">
      <formula1>項目!C17:$GEG$983041</formula1>
    </dataValidation>
    <dataValidation type="list" allowBlank="1" showInputMessage="1" showErrorMessage="1" sqref="GOI983045:GOI983068">
      <formula1>項目!C17:$GOC$983041</formula1>
    </dataValidation>
    <dataValidation type="list" allowBlank="1" showInputMessage="1" showErrorMessage="1" sqref="GYE983045:GYE983068">
      <formula1>項目!C17:$GXY$983041</formula1>
    </dataValidation>
    <dataValidation type="list" allowBlank="1" showInputMessage="1" showErrorMessage="1" sqref="HIA983045:HIA983068">
      <formula1>項目!C17:$HHU$983041</formula1>
    </dataValidation>
    <dataValidation type="list" allowBlank="1" showInputMessage="1" showErrorMessage="1" sqref="HRW983045:HRW983068">
      <formula1>項目!C17:$HRQ$983041</formula1>
    </dataValidation>
    <dataValidation type="list" allowBlank="1" showInputMessage="1" showErrorMessage="1" sqref="IBS983045:IBS983068">
      <formula1>項目!C17:$IBM$983041</formula1>
    </dataValidation>
    <dataValidation type="list" allowBlank="1" showInputMessage="1" showErrorMessage="1" sqref="ILO983045:ILO983068">
      <formula1>項目!C17:$ILI$983041</formula1>
    </dataValidation>
    <dataValidation type="list" allowBlank="1" showInputMessage="1" showErrorMessage="1" sqref="IVK983045:IVK983068">
      <formula1>項目!C17:$IVE$983041</formula1>
    </dataValidation>
    <dataValidation type="list" allowBlank="1" showInputMessage="1" showErrorMessage="1" sqref="JFG983045:JFG983068">
      <formula1>項目!C17:$JFA$983041</formula1>
    </dataValidation>
    <dataValidation type="list" allowBlank="1" showInputMessage="1" showErrorMessage="1" sqref="JPC983045:JPC983068">
      <formula1>項目!C17:$JOW$983041</formula1>
    </dataValidation>
    <dataValidation type="list" allowBlank="1" showInputMessage="1" showErrorMessage="1" sqref="JYY983045:JYY983068">
      <formula1>項目!C17:$JYS$983041</formula1>
    </dataValidation>
    <dataValidation type="list" allowBlank="1" showInputMessage="1" showErrorMessage="1" sqref="KIU983045:KIU983068">
      <formula1>項目!C17:$KIO$983041</formula1>
    </dataValidation>
    <dataValidation type="list" allowBlank="1" showInputMessage="1" showErrorMessage="1" sqref="KSQ983045:KSQ983068">
      <formula1>項目!C17:$KSK$983041</formula1>
    </dataValidation>
    <dataValidation type="list" allowBlank="1" showInputMessage="1" showErrorMessage="1" sqref="LCM983045:LCM983068">
      <formula1>項目!C17:$LCG$983041</formula1>
    </dataValidation>
    <dataValidation type="list" allowBlank="1" showInputMessage="1" showErrorMessage="1" sqref="LMI983045:LMI983068">
      <formula1>項目!C17:$LMC$983041</formula1>
    </dataValidation>
    <dataValidation type="list" allowBlank="1" showInputMessage="1" showErrorMessage="1" sqref="LWE983045:LWE983068">
      <formula1>項目!C17:$LVY$983041</formula1>
    </dataValidation>
    <dataValidation type="list" allowBlank="1" showInputMessage="1" showErrorMessage="1" sqref="MGA983045:MGA983068">
      <formula1>項目!C17:$MFU$983041</formula1>
    </dataValidation>
    <dataValidation type="list" allowBlank="1" showInputMessage="1" showErrorMessage="1" sqref="MPW983045:MPW983068">
      <formula1>項目!C17:$MPQ$983041</formula1>
    </dataValidation>
    <dataValidation type="list" allowBlank="1" showInputMessage="1" showErrorMessage="1" sqref="MZS983045:MZS983068">
      <formula1>項目!C17:$MZM$983041</formula1>
    </dataValidation>
    <dataValidation type="list" allowBlank="1" showInputMessage="1" showErrorMessage="1" sqref="NJO983045:NJO983068">
      <formula1>項目!C17:$NJI$983041</formula1>
    </dataValidation>
    <dataValidation type="list" allowBlank="1" showInputMessage="1" showErrorMessage="1" sqref="NTK983045:NTK983068">
      <formula1>項目!C17:$NTE$983041</formula1>
    </dataValidation>
    <dataValidation type="list" allowBlank="1" showInputMessage="1" showErrorMessage="1" sqref="ODG983045:ODG983068">
      <formula1>項目!C17:$ODA$983041</formula1>
    </dataValidation>
    <dataValidation type="list" allowBlank="1" showInputMessage="1" showErrorMessage="1" sqref="ONC983045:ONC983068">
      <formula1>項目!C17:$OMW$983041</formula1>
    </dataValidation>
    <dataValidation type="list" allowBlank="1" showInputMessage="1" showErrorMessage="1" sqref="OWY983045:OWY983068">
      <formula1>項目!C17:$OWS$983041</formula1>
    </dataValidation>
    <dataValidation type="list" allowBlank="1" showInputMessage="1" showErrorMessage="1" sqref="PGU983045:PGU983068">
      <formula1>項目!C17:$PGO$983041</formula1>
    </dataValidation>
    <dataValidation type="list" allowBlank="1" showInputMessage="1" showErrorMessage="1" sqref="PQQ983045:PQQ983068">
      <formula1>項目!C17:$PQK$983041</formula1>
    </dataValidation>
    <dataValidation type="list" allowBlank="1" showInputMessage="1" showErrorMessage="1" sqref="QAM983045:QAM983068">
      <formula1>項目!C17:$QAG$983041</formula1>
    </dataValidation>
    <dataValidation type="list" allowBlank="1" showInputMessage="1" showErrorMessage="1" sqref="QKI983045:QKI983068">
      <formula1>項目!C17:$QKC$983041</formula1>
    </dataValidation>
    <dataValidation type="list" allowBlank="1" showInputMessage="1" showErrorMessage="1" sqref="QUE983045:QUE983068">
      <formula1>項目!C17:$QTY$983041</formula1>
    </dataValidation>
    <dataValidation type="list" allowBlank="1" showInputMessage="1" showErrorMessage="1" sqref="REA983045:REA983068">
      <formula1>項目!C17:$RDU$983041</formula1>
    </dataValidation>
    <dataValidation type="list" allowBlank="1" showInputMessage="1" showErrorMessage="1" sqref="RNW983045:RNW983068">
      <formula1>項目!C17:$RNQ$983041</formula1>
    </dataValidation>
    <dataValidation type="list" allowBlank="1" showInputMessage="1" showErrorMessage="1" sqref="RXS983045:RXS983068">
      <formula1>項目!C17:$RXM$983041</formula1>
    </dataValidation>
    <dataValidation type="list" allowBlank="1" showInputMessage="1" showErrorMessage="1" sqref="SHO983045:SHO983068">
      <formula1>項目!C17:$SHI$983041</formula1>
    </dataValidation>
    <dataValidation type="list" allowBlank="1" showInputMessage="1" showErrorMessage="1" sqref="SRK983045:SRK983068">
      <formula1>項目!C17:$SRE$983041</formula1>
    </dataValidation>
    <dataValidation type="list" allowBlank="1" showInputMessage="1" showErrorMessage="1" sqref="TBG983045:TBG983068">
      <formula1>項目!C17:$TBA$983041</formula1>
    </dataValidation>
    <dataValidation type="list" allowBlank="1" showInputMessage="1" showErrorMessage="1" sqref="TLC983045:TLC983068">
      <formula1>項目!C17:$TKW$983041</formula1>
    </dataValidation>
    <dataValidation type="list" allowBlank="1" showInputMessage="1" showErrorMessage="1" sqref="TUY983045:TUY983068">
      <formula1>項目!C17:$TUS$983041</formula1>
    </dataValidation>
    <dataValidation type="list" allowBlank="1" showInputMessage="1" showErrorMessage="1" sqref="UEU983045:UEU983068">
      <formula1>項目!C17:$UEO$983041</formula1>
    </dataValidation>
    <dataValidation type="list" allowBlank="1" showInputMessage="1" showErrorMessage="1" sqref="UOQ983045:UOQ983068">
      <formula1>項目!C17:$UOK$983041</formula1>
    </dataValidation>
    <dataValidation type="list" allowBlank="1" showInputMessage="1" showErrorMessage="1" sqref="UYM983045:UYM983068">
      <formula1>項目!C17:$UYG$983041</formula1>
    </dataValidation>
    <dataValidation type="list" allowBlank="1" showInputMessage="1" showErrorMessage="1" sqref="VII983045:VII983068">
      <formula1>項目!C17:$VIC$983041</formula1>
    </dataValidation>
    <dataValidation type="list" allowBlank="1" showInputMessage="1" showErrorMessage="1" sqref="VSE983045:VSE983068">
      <formula1>項目!C17:$VRY$983041</formula1>
    </dataValidation>
    <dataValidation type="list" allowBlank="1" showInputMessage="1" showErrorMessage="1" sqref="WCA983045:WCA983068">
      <formula1>項目!C17:$WBU$983041</formula1>
    </dataValidation>
    <dataValidation type="list" allowBlank="1" showInputMessage="1" showErrorMessage="1" sqref="WLW983045:WLW983068">
      <formula1>項目!C17:$WLQ$983041</formula1>
    </dataValidation>
    <dataValidation type="list" allowBlank="1" showInputMessage="1" showErrorMessage="1" sqref="WVS983045:WVS983068">
      <formula1>項目!C17:$WVM$983041</formula1>
    </dataValidation>
    <dataValidation type="list" allowBlank="1" showInputMessage="1" showErrorMessage="1" sqref="JC5:JC28">
      <formula1>項目!C1:$IW$17</formula1>
    </dataValidation>
    <dataValidation type="list" allowBlank="1" showInputMessage="1" showErrorMessage="1" sqref="JK5:JK28">
      <formula1>項目!C1:$JE$17</formula1>
    </dataValidation>
    <dataValidation type="list" allowBlank="1" showInputMessage="1" showErrorMessage="1" sqref="TG5:TG28">
      <formula1>項目!C1:$TA$17</formula1>
    </dataValidation>
    <dataValidation type="list" allowBlank="1" showInputMessage="1" showErrorMessage="1" sqref="ADC5:ADC28">
      <formula1>項目!C1:$ACW$17</formula1>
    </dataValidation>
    <dataValidation type="list" allowBlank="1" showInputMessage="1" showErrorMessage="1" sqref="AMY5:AMY28">
      <formula1>項目!C1:$AMS$17</formula1>
    </dataValidation>
    <dataValidation type="list" allowBlank="1" showInputMessage="1" showErrorMessage="1" sqref="AWU5:AWU28">
      <formula1>項目!C1:$AWO$17</formula1>
    </dataValidation>
    <dataValidation type="list" allowBlank="1" showInputMessage="1" showErrorMessage="1" sqref="BGQ5:BGQ28">
      <formula1>項目!C1:$BGK$17</formula1>
    </dataValidation>
    <dataValidation type="list" allowBlank="1" showInputMessage="1" showErrorMessage="1" sqref="BQM5:BQM28">
      <formula1>項目!C1:$BQG$17</formula1>
    </dataValidation>
    <dataValidation type="list" allowBlank="1" showInputMessage="1" showErrorMessage="1" sqref="CAI5:CAI28">
      <formula1>項目!C1:$CAC$17</formula1>
    </dataValidation>
    <dataValidation type="list" allowBlank="1" showInputMessage="1" showErrorMessage="1" sqref="CKE5:CKE28">
      <formula1>項目!C1:$CJY$17</formula1>
    </dataValidation>
    <dataValidation type="list" allowBlank="1" showInputMessage="1" showErrorMessage="1" sqref="CUA5:CUA28">
      <formula1>項目!C1:$CTU$17</formula1>
    </dataValidation>
    <dataValidation type="list" allowBlank="1" showInputMessage="1" showErrorMessage="1" sqref="DDW5:DDW28">
      <formula1>項目!C1:$DDQ$17</formula1>
    </dataValidation>
    <dataValidation type="list" allowBlank="1" showInputMessage="1" showErrorMessage="1" sqref="DNS5:DNS28">
      <formula1>項目!C1:$DNM$17</formula1>
    </dataValidation>
    <dataValidation type="list" allowBlank="1" showInputMessage="1" showErrorMessage="1" sqref="DXO5:DXO28">
      <formula1>項目!C1:$DXI$17</formula1>
    </dataValidation>
    <dataValidation type="list" allowBlank="1" showInputMessage="1" showErrorMessage="1" sqref="EHK5:EHK28">
      <formula1>項目!C1:$EHE$17</formula1>
    </dataValidation>
    <dataValidation type="list" allowBlank="1" showInputMessage="1" showErrorMessage="1" sqref="ERG5:ERG28">
      <formula1>項目!C1:$ERA$17</formula1>
    </dataValidation>
    <dataValidation type="list" allowBlank="1" showInputMessage="1" showErrorMessage="1" sqref="FBC5:FBC28">
      <formula1>項目!C1:$FAW$17</formula1>
    </dataValidation>
    <dataValidation type="list" allowBlank="1" showInputMessage="1" showErrorMessage="1" sqref="FKY5:FKY28">
      <formula1>項目!C1:$FKS$17</formula1>
    </dataValidation>
    <dataValidation type="list" allowBlank="1" showInputMessage="1" showErrorMessage="1" sqref="FUU5:FUU28">
      <formula1>項目!C1:$FUO$17</formula1>
    </dataValidation>
    <dataValidation type="list" allowBlank="1" showInputMessage="1" showErrorMessage="1" sqref="GEQ5:GEQ28">
      <formula1>項目!C1:$GEK$17</formula1>
    </dataValidation>
    <dataValidation type="list" allowBlank="1" showInputMessage="1" showErrorMessage="1" sqref="GOM5:GOM28">
      <formula1>項目!C1:$GOG$17</formula1>
    </dataValidation>
    <dataValidation type="list" allowBlank="1" showInputMessage="1" showErrorMessage="1" sqref="GYI5:GYI28">
      <formula1>項目!C1:$GYC$17</formula1>
    </dataValidation>
    <dataValidation type="list" allowBlank="1" showInputMessage="1" showErrorMessage="1" sqref="HIE5:HIE28">
      <formula1>項目!C1:$HHY$17</formula1>
    </dataValidation>
    <dataValidation type="list" allowBlank="1" showInputMessage="1" showErrorMessage="1" sqref="HSA5:HSA28">
      <formula1>項目!C1:$HRU$17</formula1>
    </dataValidation>
    <dataValidation type="list" allowBlank="1" showInputMessage="1" showErrorMessage="1" sqref="IBW5:IBW28">
      <formula1>項目!C1:$IBQ$17</formula1>
    </dataValidation>
    <dataValidation type="list" allowBlank="1" showInputMessage="1" showErrorMessage="1" sqref="ILS5:ILS28">
      <formula1>項目!C1:$ILM$17</formula1>
    </dataValidation>
    <dataValidation type="list" allowBlank="1" showInputMessage="1" showErrorMessage="1" sqref="IVO5:IVO28">
      <formula1>項目!C1:$IVI$17</formula1>
    </dataValidation>
    <dataValidation type="list" allowBlank="1" showInputMessage="1" showErrorMessage="1" sqref="JFK5:JFK28">
      <formula1>項目!C1:$JFE$17</formula1>
    </dataValidation>
    <dataValidation type="list" allowBlank="1" showInputMessage="1" showErrorMessage="1" sqref="JPG5:JPG28">
      <formula1>項目!C1:$JPA$17</formula1>
    </dataValidation>
    <dataValidation type="list" allowBlank="1" showInputMessage="1" showErrorMessage="1" sqref="JZC5:JZC28">
      <formula1>項目!C1:$JYW$17</formula1>
    </dataValidation>
    <dataValidation type="list" allowBlank="1" showInputMessage="1" showErrorMessage="1" sqref="KIY5:KIY28">
      <formula1>項目!C1:$KIS$17</formula1>
    </dataValidation>
    <dataValidation type="list" allowBlank="1" showInputMessage="1" showErrorMessage="1" sqref="KSU5:KSU28">
      <formula1>項目!C1:$KSO$17</formula1>
    </dataValidation>
    <dataValidation type="list" allowBlank="1" showInputMessage="1" showErrorMessage="1" sqref="LCQ5:LCQ28">
      <formula1>項目!C1:$LCK$17</formula1>
    </dataValidation>
    <dataValidation type="list" allowBlank="1" showInputMessage="1" showErrorMessage="1" sqref="LMM5:LMM28">
      <formula1>項目!C1:$LMG$17</formula1>
    </dataValidation>
    <dataValidation type="list" allowBlank="1" showInputMessage="1" showErrorMessage="1" sqref="LWI5:LWI28">
      <formula1>項目!C1:$LWC$17</formula1>
    </dataValidation>
    <dataValidation type="list" allowBlank="1" showInputMessage="1" showErrorMessage="1" sqref="MGE5:MGE28">
      <formula1>項目!C1:$MFY$17</formula1>
    </dataValidation>
    <dataValidation type="list" allowBlank="1" showInputMessage="1" showErrorMessage="1" sqref="MQA5:MQA28">
      <formula1>項目!C1:$MPU$17</formula1>
    </dataValidation>
    <dataValidation type="list" allowBlank="1" showInputMessage="1" showErrorMessage="1" sqref="MZW5:MZW28">
      <formula1>項目!C1:$MZQ$17</formula1>
    </dataValidation>
    <dataValidation type="list" allowBlank="1" showInputMessage="1" showErrorMessage="1" sqref="NJS5:NJS28">
      <formula1>項目!C1:$NJM$17</formula1>
    </dataValidation>
    <dataValidation type="list" allowBlank="1" showInputMessage="1" showErrorMessage="1" sqref="NTO5:NTO28">
      <formula1>項目!C1:$NTI$17</formula1>
    </dataValidation>
    <dataValidation type="list" allowBlank="1" showInputMessage="1" showErrorMessage="1" sqref="ODK5:ODK28">
      <formula1>項目!C1:$ODE$17</formula1>
    </dataValidation>
    <dataValidation type="list" allowBlank="1" showInputMessage="1" showErrorMessage="1" sqref="ONG5:ONG28">
      <formula1>項目!C1:$ONA$17</formula1>
    </dataValidation>
    <dataValidation type="list" allowBlank="1" showInputMessage="1" showErrorMessage="1" sqref="OXC5:OXC28">
      <formula1>項目!C1:$OWW$17</formula1>
    </dataValidation>
    <dataValidation type="list" allowBlank="1" showInputMessage="1" showErrorMessage="1" sqref="PGY5:PGY28">
      <formula1>項目!C1:$PGS$17</formula1>
    </dataValidation>
    <dataValidation type="list" allowBlank="1" showInputMessage="1" showErrorMessage="1" sqref="PQU5:PQU28">
      <formula1>項目!C1:$PQO$17</formula1>
    </dataValidation>
    <dataValidation type="list" allowBlank="1" showInputMessage="1" showErrorMessage="1" sqref="QAQ5:QAQ28">
      <formula1>項目!C1:$QAK$17</formula1>
    </dataValidation>
    <dataValidation type="list" allowBlank="1" showInputMessage="1" showErrorMessage="1" sqref="QKM5:QKM28">
      <formula1>項目!C1:$QKG$17</formula1>
    </dataValidation>
    <dataValidation type="list" allowBlank="1" showInputMessage="1" showErrorMessage="1" sqref="QUI5:QUI28">
      <formula1>項目!C1:$QUC$17</formula1>
    </dataValidation>
    <dataValidation type="list" allowBlank="1" showInputMessage="1" showErrorMessage="1" sqref="REE5:REE28">
      <formula1>項目!C1:$RDY$17</formula1>
    </dataValidation>
    <dataValidation type="list" allowBlank="1" showInputMessage="1" showErrorMessage="1" sqref="ROA5:ROA28">
      <formula1>項目!C1:$RNU$17</formula1>
    </dataValidation>
    <dataValidation type="list" allowBlank="1" showInputMessage="1" showErrorMessage="1" sqref="RXW5:RXW28">
      <formula1>項目!C1:$RXQ$17</formula1>
    </dataValidation>
    <dataValidation type="list" allowBlank="1" showInputMessage="1" showErrorMessage="1" sqref="SHS5:SHS28">
      <formula1>項目!C1:$SHM$17</formula1>
    </dataValidation>
    <dataValidation type="list" allowBlank="1" showInputMessage="1" showErrorMessage="1" sqref="SRO5:SRO28">
      <formula1>項目!C1:$SRI$17</formula1>
    </dataValidation>
    <dataValidation type="list" allowBlank="1" showInputMessage="1" showErrorMessage="1" sqref="TBK5:TBK28">
      <formula1>項目!C1:$TBE$17</formula1>
    </dataValidation>
    <dataValidation type="list" allowBlank="1" showInputMessage="1" showErrorMessage="1" sqref="TLG5:TLG28">
      <formula1>項目!C1:$TLA$17</formula1>
    </dataValidation>
    <dataValidation type="list" allowBlank="1" showInputMessage="1" showErrorMessage="1" sqref="TVC5:TVC28">
      <formula1>項目!C1:$TUW$17</formula1>
    </dataValidation>
    <dataValidation type="list" allowBlank="1" showInputMessage="1" showErrorMessage="1" sqref="UEY5:UEY28">
      <formula1>項目!C1:$UES$17</formula1>
    </dataValidation>
    <dataValidation type="list" allowBlank="1" showInputMessage="1" showErrorMessage="1" sqref="UOU5:UOU28">
      <formula1>項目!C1:$UOO$17</formula1>
    </dataValidation>
    <dataValidation type="list" allowBlank="1" showInputMessage="1" showErrorMessage="1" sqref="UYQ5:UYQ28">
      <formula1>項目!C1:$UYK$17</formula1>
    </dataValidation>
    <dataValidation type="list" allowBlank="1" showInputMessage="1" showErrorMessage="1" sqref="VIM5:VIM28">
      <formula1>項目!C1:$VIG$17</formula1>
    </dataValidation>
    <dataValidation type="list" allowBlank="1" showInputMessage="1" showErrorMessage="1" sqref="VSI5:VSI28">
      <formula1>項目!C1:$VSC$17</formula1>
    </dataValidation>
    <dataValidation type="list" allowBlank="1" showInputMessage="1" showErrorMessage="1" sqref="WCE5:WCE28">
      <formula1>項目!C1:$WBY$17</formula1>
    </dataValidation>
    <dataValidation type="list" allowBlank="1" showInputMessage="1" showErrorMessage="1" sqref="WMA5:WMA28">
      <formula1>項目!C1:$WLU$17</formula1>
    </dataValidation>
    <dataValidation type="list" allowBlank="1" showInputMessage="1" showErrorMessage="1" sqref="WVW5:WVW28">
      <formula1>項目!C1:$WVQ$17</formula1>
    </dataValidation>
    <dataValidation type="list" allowBlank="1" showInputMessage="1" showErrorMessage="1" sqref="O65541:O65564">
      <formula1>項目!C17:$J$65537</formula1>
    </dataValidation>
    <dataValidation type="list" allowBlank="1" showInputMessage="1" showErrorMessage="1" sqref="JK65541:JK65564">
      <formula1>項目!C17:$JE$65537</formula1>
    </dataValidation>
    <dataValidation type="list" allowBlank="1" showInputMessage="1" showErrorMessage="1" sqref="TG65541:TG65564">
      <formula1>項目!C17:$TA$65537</formula1>
    </dataValidation>
    <dataValidation type="list" allowBlank="1" showInputMessage="1" showErrorMessage="1" sqref="ADC65541:ADC65564">
      <formula1>項目!C17:$ACW$65537</formula1>
    </dataValidation>
    <dataValidation type="list" allowBlank="1" showInputMessage="1" showErrorMessage="1" sqref="AMY65541:AMY65564">
      <formula1>項目!C17:$AMS$65537</formula1>
    </dataValidation>
    <dataValidation type="list" allowBlank="1" showInputMessage="1" showErrorMessage="1" sqref="AWU65541:AWU65564">
      <formula1>項目!C17:$AWO$65537</formula1>
    </dataValidation>
    <dataValidation type="list" allowBlank="1" showInputMessage="1" showErrorMessage="1" sqref="BGQ65541:BGQ65564">
      <formula1>項目!C17:$BGK$65537</formula1>
    </dataValidation>
    <dataValidation type="list" allowBlank="1" showInputMessage="1" showErrorMessage="1" sqref="BQM65541:BQM65564">
      <formula1>項目!C17:$BQG$65537</formula1>
    </dataValidation>
    <dataValidation type="list" allowBlank="1" showInputMessage="1" showErrorMessage="1" sqref="CAI65541:CAI65564">
      <formula1>項目!C17:$CAC$65537</formula1>
    </dataValidation>
    <dataValidation type="list" allowBlank="1" showInputMessage="1" showErrorMessage="1" sqref="CKE65541:CKE65564">
      <formula1>項目!C17:$CJY$65537</formula1>
    </dataValidation>
    <dataValidation type="list" allowBlank="1" showInputMessage="1" showErrorMessage="1" sqref="CUA65541:CUA65564">
      <formula1>項目!C17:$CTU$65537</formula1>
    </dataValidation>
    <dataValidation type="list" allowBlank="1" showInputMessage="1" showErrorMessage="1" sqref="DDW65541:DDW65564">
      <formula1>項目!C17:$DDQ$65537</formula1>
    </dataValidation>
    <dataValidation type="list" allowBlank="1" showInputMessage="1" showErrorMessage="1" sqref="DNS65541:DNS65564">
      <formula1>項目!C17:$DNM$65537</formula1>
    </dataValidation>
    <dataValidation type="list" allowBlank="1" showInputMessage="1" showErrorMessage="1" sqref="DXO65541:DXO65564">
      <formula1>項目!C17:$DXI$65537</formula1>
    </dataValidation>
    <dataValidation type="list" allowBlank="1" showInputMessage="1" showErrorMessage="1" sqref="EHK65541:EHK65564">
      <formula1>項目!C17:$EHE$65537</formula1>
    </dataValidation>
    <dataValidation type="list" allowBlank="1" showInputMessage="1" showErrorMessage="1" sqref="ERG65541:ERG65564">
      <formula1>項目!C17:$ERA$65537</formula1>
    </dataValidation>
    <dataValidation type="list" allowBlank="1" showInputMessage="1" showErrorMessage="1" sqref="FBC65541:FBC65564">
      <formula1>項目!C17:$FAW$65537</formula1>
    </dataValidation>
    <dataValidation type="list" allowBlank="1" showInputMessage="1" showErrorMessage="1" sqref="FKY65541:FKY65564">
      <formula1>項目!C17:$FKS$65537</formula1>
    </dataValidation>
    <dataValidation type="list" allowBlank="1" showInputMessage="1" showErrorMessage="1" sqref="FUU65541:FUU65564">
      <formula1>項目!C17:$FUO$65537</formula1>
    </dataValidation>
    <dataValidation type="list" allowBlank="1" showInputMessage="1" showErrorMessage="1" sqref="GEQ65541:GEQ65564">
      <formula1>項目!C17:$GEK$65537</formula1>
    </dataValidation>
    <dataValidation type="list" allowBlank="1" showInputMessage="1" showErrorMessage="1" sqref="GOM65541:GOM65564">
      <formula1>項目!C17:$GOG$65537</formula1>
    </dataValidation>
    <dataValidation type="list" allowBlank="1" showInputMessage="1" showErrorMessage="1" sqref="GYI65541:GYI65564">
      <formula1>項目!C17:$GYC$65537</formula1>
    </dataValidation>
    <dataValidation type="list" allowBlank="1" showInputMessage="1" showErrorMessage="1" sqref="HIE65541:HIE65564">
      <formula1>項目!C17:$HHY$65537</formula1>
    </dataValidation>
    <dataValidation type="list" allowBlank="1" showInputMessage="1" showErrorMessage="1" sqref="HSA65541:HSA65564">
      <formula1>項目!C17:$HRU$65537</formula1>
    </dataValidation>
    <dataValidation type="list" allowBlank="1" showInputMessage="1" showErrorMessage="1" sqref="IBW65541:IBW65564">
      <formula1>項目!C17:$IBQ$65537</formula1>
    </dataValidation>
    <dataValidation type="list" allowBlank="1" showInputMessage="1" showErrorMessage="1" sqref="ILS65541:ILS65564">
      <formula1>項目!C17:$ILM$65537</formula1>
    </dataValidation>
    <dataValidation type="list" allowBlank="1" showInputMessage="1" showErrorMessage="1" sqref="IVO65541:IVO65564">
      <formula1>項目!C17:$IVI$65537</formula1>
    </dataValidation>
    <dataValidation type="list" allowBlank="1" showInputMessage="1" showErrorMessage="1" sqref="JFK65541:JFK65564">
      <formula1>項目!C17:$JFE$65537</formula1>
    </dataValidation>
    <dataValidation type="list" allowBlank="1" showInputMessage="1" showErrorMessage="1" sqref="JPG65541:JPG65564">
      <formula1>項目!C17:$JPA$65537</formula1>
    </dataValidation>
    <dataValidation type="list" allowBlank="1" showInputMessage="1" showErrorMessage="1" sqref="JZC65541:JZC65564">
      <formula1>項目!C17:$JYW$65537</formula1>
    </dataValidation>
    <dataValidation type="list" allowBlank="1" showInputMessage="1" showErrorMessage="1" sqref="KIY65541:KIY65564">
      <formula1>項目!C17:$KIS$65537</formula1>
    </dataValidation>
    <dataValidation type="list" allowBlank="1" showInputMessage="1" showErrorMessage="1" sqref="KSU65541:KSU65564">
      <formula1>項目!C17:$KSO$65537</formula1>
    </dataValidation>
    <dataValidation type="list" allowBlank="1" showInputMessage="1" showErrorMessage="1" sqref="LCQ65541:LCQ65564">
      <formula1>項目!C17:$LCK$65537</formula1>
    </dataValidation>
    <dataValidation type="list" allowBlank="1" showInputMessage="1" showErrorMessage="1" sqref="LMM65541:LMM65564">
      <formula1>項目!C17:$LMG$65537</formula1>
    </dataValidation>
    <dataValidation type="list" allowBlank="1" showInputMessage="1" showErrorMessage="1" sqref="LWI65541:LWI65564">
      <formula1>項目!C17:$LWC$65537</formula1>
    </dataValidation>
    <dataValidation type="list" allowBlank="1" showInputMessage="1" showErrorMessage="1" sqref="MGE65541:MGE65564">
      <formula1>項目!C17:$MFY$65537</formula1>
    </dataValidation>
    <dataValidation type="list" allowBlank="1" showInputMessage="1" showErrorMessage="1" sqref="MQA65541:MQA65564">
      <formula1>項目!C17:$MPU$65537</formula1>
    </dataValidation>
    <dataValidation type="list" allowBlank="1" showInputMessage="1" showErrorMessage="1" sqref="MZW65541:MZW65564">
      <formula1>項目!C17:$MZQ$65537</formula1>
    </dataValidation>
    <dataValidation type="list" allowBlank="1" showInputMessage="1" showErrorMessage="1" sqref="NJS65541:NJS65564">
      <formula1>項目!C17:$NJM$65537</formula1>
    </dataValidation>
    <dataValidation type="list" allowBlank="1" showInputMessage="1" showErrorMessage="1" sqref="NTO65541:NTO65564">
      <formula1>項目!C17:$NTI$65537</formula1>
    </dataValidation>
    <dataValidation type="list" allowBlank="1" showInputMessage="1" showErrorMessage="1" sqref="ODK65541:ODK65564">
      <formula1>項目!C17:$ODE$65537</formula1>
    </dataValidation>
    <dataValidation type="list" allowBlank="1" showInputMessage="1" showErrorMessage="1" sqref="ONG65541:ONG65564">
      <formula1>項目!C17:$ONA$65537</formula1>
    </dataValidation>
    <dataValidation type="list" allowBlank="1" showInputMessage="1" showErrorMessage="1" sqref="OXC65541:OXC65564">
      <formula1>項目!C17:$OWW$65537</formula1>
    </dataValidation>
    <dataValidation type="list" allowBlank="1" showInputMessage="1" showErrorMessage="1" sqref="PGY65541:PGY65564">
      <formula1>項目!C17:$PGS$65537</formula1>
    </dataValidation>
    <dataValidation type="list" allowBlank="1" showInputMessage="1" showErrorMessage="1" sqref="PQU65541:PQU65564">
      <formula1>項目!C17:$PQO$65537</formula1>
    </dataValidation>
    <dataValidation type="list" allowBlank="1" showInputMessage="1" showErrorMessage="1" sqref="QAQ65541:QAQ65564">
      <formula1>項目!C17:$QAK$65537</formula1>
    </dataValidation>
    <dataValidation type="list" allowBlank="1" showInputMessage="1" showErrorMessage="1" sqref="QKM65541:QKM65564">
      <formula1>項目!C17:$QKG$65537</formula1>
    </dataValidation>
    <dataValidation type="list" allowBlank="1" showInputMessage="1" showErrorMessage="1" sqref="QUI65541:QUI65564">
      <formula1>項目!C17:$QUC$65537</formula1>
    </dataValidation>
    <dataValidation type="list" allowBlank="1" showInputMessage="1" showErrorMessage="1" sqref="REE65541:REE65564">
      <formula1>項目!C17:$RDY$65537</formula1>
    </dataValidation>
    <dataValidation type="list" allowBlank="1" showInputMessage="1" showErrorMessage="1" sqref="ROA65541:ROA65564">
      <formula1>項目!C17:$RNU$65537</formula1>
    </dataValidation>
    <dataValidation type="list" allowBlank="1" showInputMessage="1" showErrorMessage="1" sqref="RXW65541:RXW65564">
      <formula1>項目!C17:$RXQ$65537</formula1>
    </dataValidation>
    <dataValidation type="list" allowBlank="1" showInputMessage="1" showErrorMessage="1" sqref="SHS65541:SHS65564">
      <formula1>項目!C17:$SHM$65537</formula1>
    </dataValidation>
    <dataValidation type="list" allowBlank="1" showInputMessage="1" showErrorMessage="1" sqref="SRO65541:SRO65564">
      <formula1>項目!C17:$SRI$65537</formula1>
    </dataValidation>
    <dataValidation type="list" allowBlank="1" showInputMessage="1" showErrorMessage="1" sqref="TBK65541:TBK65564">
      <formula1>項目!C17:$TBE$65537</formula1>
    </dataValidation>
    <dataValidation type="list" allowBlank="1" showInputMessage="1" showErrorMessage="1" sqref="TLG65541:TLG65564">
      <formula1>項目!C17:$TLA$65537</formula1>
    </dataValidation>
    <dataValidation type="list" allowBlank="1" showInputMessage="1" showErrorMessage="1" sqref="TVC65541:TVC65564">
      <formula1>項目!C17:$TUW$65537</formula1>
    </dataValidation>
    <dataValidation type="list" allowBlank="1" showInputMessage="1" showErrorMessage="1" sqref="UEY65541:UEY65564">
      <formula1>項目!C17:$UES$65537</formula1>
    </dataValidation>
    <dataValidation type="list" allowBlank="1" showInputMessage="1" showErrorMessage="1" sqref="UOU65541:UOU65564">
      <formula1>項目!C17:$UOO$65537</formula1>
    </dataValidation>
    <dataValidation type="list" allowBlank="1" showInputMessage="1" showErrorMessage="1" sqref="UYQ65541:UYQ65564">
      <formula1>項目!C17:$UYK$65537</formula1>
    </dataValidation>
    <dataValidation type="list" allowBlank="1" showInputMessage="1" showErrorMessage="1" sqref="VIM65541:VIM65564">
      <formula1>項目!C17:$VIG$65537</formula1>
    </dataValidation>
    <dataValidation type="list" allowBlank="1" showInputMessage="1" showErrorMessage="1" sqref="VSI65541:VSI65564">
      <formula1>項目!C17:$VSC$65537</formula1>
    </dataValidation>
    <dataValidation type="list" allowBlank="1" showInputMessage="1" showErrorMessage="1" sqref="WCE65541:WCE65564">
      <formula1>項目!C17:$WBY$65537</formula1>
    </dataValidation>
    <dataValidation type="list" allowBlank="1" showInputMessage="1" showErrorMessage="1" sqref="WMA65541:WMA65564">
      <formula1>項目!C17:$WLU$65537</formula1>
    </dataValidation>
    <dataValidation type="list" allowBlank="1" showInputMessage="1" showErrorMessage="1" sqref="WVW65541:WVW65564">
      <formula1>項目!C17:$WVQ$65537</formula1>
    </dataValidation>
    <dataValidation type="list" allowBlank="1" showInputMessage="1" showErrorMessage="1" sqref="O131077:O131100">
      <formula1>項目!C17:$J$131073</formula1>
    </dataValidation>
    <dataValidation type="list" allowBlank="1" showInputMessage="1" showErrorMessage="1" sqref="JK131077:JK131100">
      <formula1>項目!C17:$JE$131073</formula1>
    </dataValidation>
    <dataValidation type="list" allowBlank="1" showInputMessage="1" showErrorMessage="1" sqref="TG131077:TG131100">
      <formula1>項目!C17:$TA$131073</formula1>
    </dataValidation>
    <dataValidation type="list" allowBlank="1" showInputMessage="1" showErrorMessage="1" sqref="ADC131077:ADC131100">
      <formula1>項目!C17:$ACW$131073</formula1>
    </dataValidation>
    <dataValidation type="list" allowBlank="1" showInputMessage="1" showErrorMessage="1" sqref="AMY131077:AMY131100">
      <formula1>項目!C17:$AMS$131073</formula1>
    </dataValidation>
    <dataValidation type="list" allowBlank="1" showInputMessage="1" showErrorMessage="1" sqref="AWU131077:AWU131100">
      <formula1>項目!C17:$AWO$131073</formula1>
    </dataValidation>
    <dataValidation type="list" allowBlank="1" showInputMessage="1" showErrorMessage="1" sqref="BGQ131077:BGQ131100">
      <formula1>項目!C17:$BGK$131073</formula1>
    </dataValidation>
    <dataValidation type="list" allowBlank="1" showInputMessage="1" showErrorMessage="1" sqref="BQM131077:BQM131100">
      <formula1>項目!C17:$BQG$131073</formula1>
    </dataValidation>
    <dataValidation type="list" allowBlank="1" showInputMessage="1" showErrorMessage="1" sqref="CAI131077:CAI131100">
      <formula1>項目!C17:$CAC$131073</formula1>
    </dataValidation>
    <dataValidation type="list" allowBlank="1" showInputMessage="1" showErrorMessage="1" sqref="CKE131077:CKE131100">
      <formula1>項目!C17:$CJY$131073</formula1>
    </dataValidation>
    <dataValidation type="list" allowBlank="1" showInputMessage="1" showErrorMessage="1" sqref="CUA131077:CUA131100">
      <formula1>項目!C17:$CTU$131073</formula1>
    </dataValidation>
    <dataValidation type="list" allowBlank="1" showInputMessage="1" showErrorMessage="1" sqref="DDW131077:DDW131100">
      <formula1>項目!C17:$DDQ$131073</formula1>
    </dataValidation>
    <dataValidation type="list" allowBlank="1" showInputMessage="1" showErrorMessage="1" sqref="DNS131077:DNS131100">
      <formula1>項目!C17:$DNM$131073</formula1>
    </dataValidation>
    <dataValidation type="list" allowBlank="1" showInputMessage="1" showErrorMessage="1" sqref="DXO131077:DXO131100">
      <formula1>項目!C17:$DXI$131073</formula1>
    </dataValidation>
    <dataValidation type="list" allowBlank="1" showInputMessage="1" showErrorMessage="1" sqref="EHK131077:EHK131100">
      <formula1>項目!C17:$EHE$131073</formula1>
    </dataValidation>
    <dataValidation type="list" allowBlank="1" showInputMessage="1" showErrorMessage="1" sqref="ERG131077:ERG131100">
      <formula1>項目!C17:$ERA$131073</formula1>
    </dataValidation>
    <dataValidation type="list" allowBlank="1" showInputMessage="1" showErrorMessage="1" sqref="FBC131077:FBC131100">
      <formula1>項目!C17:$FAW$131073</formula1>
    </dataValidation>
    <dataValidation type="list" allowBlank="1" showInputMessage="1" showErrorMessage="1" sqref="FKY131077:FKY131100">
      <formula1>項目!C17:$FKS$131073</formula1>
    </dataValidation>
    <dataValidation type="list" allowBlank="1" showInputMessage="1" showErrorMessage="1" sqref="FUU131077:FUU131100">
      <formula1>項目!C17:$FUO$131073</formula1>
    </dataValidation>
    <dataValidation type="list" allowBlank="1" showInputMessage="1" showErrorMessage="1" sqref="GEQ131077:GEQ131100">
      <formula1>項目!C17:$GEK$131073</formula1>
    </dataValidation>
    <dataValidation type="list" allowBlank="1" showInputMessage="1" showErrorMessage="1" sqref="GOM131077:GOM131100">
      <formula1>項目!C17:$GOG$131073</formula1>
    </dataValidation>
    <dataValidation type="list" allowBlank="1" showInputMessage="1" showErrorMessage="1" sqref="GYI131077:GYI131100">
      <formula1>項目!C17:$GYC$131073</formula1>
    </dataValidation>
    <dataValidation type="list" allowBlank="1" showInputMessage="1" showErrorMessage="1" sqref="HIE131077:HIE131100">
      <formula1>項目!C17:$HHY$131073</formula1>
    </dataValidation>
    <dataValidation type="list" allowBlank="1" showInputMessage="1" showErrorMessage="1" sqref="HSA131077:HSA131100">
      <formula1>項目!C17:$HRU$131073</formula1>
    </dataValidation>
    <dataValidation type="list" allowBlank="1" showInputMessage="1" showErrorMessage="1" sqref="IBW131077:IBW131100">
      <formula1>項目!C17:$IBQ$131073</formula1>
    </dataValidation>
    <dataValidation type="list" allowBlank="1" showInputMessage="1" showErrorMessage="1" sqref="ILS131077:ILS131100">
      <formula1>項目!C17:$ILM$131073</formula1>
    </dataValidation>
    <dataValidation type="list" allowBlank="1" showInputMessage="1" showErrorMessage="1" sqref="IVO131077:IVO131100">
      <formula1>項目!C17:$IVI$131073</formula1>
    </dataValidation>
    <dataValidation type="list" allowBlank="1" showInputMessage="1" showErrorMessage="1" sqref="JFK131077:JFK131100">
      <formula1>項目!C17:$JFE$131073</formula1>
    </dataValidation>
    <dataValidation type="list" allowBlank="1" showInputMessage="1" showErrorMessage="1" sqref="JPG131077:JPG131100">
      <formula1>項目!C17:$JPA$131073</formula1>
    </dataValidation>
    <dataValidation type="list" allowBlank="1" showInputMessage="1" showErrorMessage="1" sqref="JZC131077:JZC131100">
      <formula1>項目!C17:$JYW$131073</formula1>
    </dataValidation>
    <dataValidation type="list" allowBlank="1" showInputMessage="1" showErrorMessage="1" sqref="KIY131077:KIY131100">
      <formula1>項目!C17:$KIS$131073</formula1>
    </dataValidation>
    <dataValidation type="list" allowBlank="1" showInputMessage="1" showErrorMessage="1" sqref="KSU131077:KSU131100">
      <formula1>項目!C17:$KSO$131073</formula1>
    </dataValidation>
    <dataValidation type="list" allowBlank="1" showInputMessage="1" showErrorMessage="1" sqref="LCQ131077:LCQ131100">
      <formula1>項目!C17:$LCK$131073</formula1>
    </dataValidation>
    <dataValidation type="list" allowBlank="1" showInputMessage="1" showErrorMessage="1" sqref="LMM131077:LMM131100">
      <formula1>項目!C17:$LMG$131073</formula1>
    </dataValidation>
    <dataValidation type="list" allowBlank="1" showInputMessage="1" showErrorMessage="1" sqref="LWI131077:LWI131100">
      <formula1>項目!C17:$LWC$131073</formula1>
    </dataValidation>
    <dataValidation type="list" allowBlank="1" showInputMessage="1" showErrorMessage="1" sqref="MGE131077:MGE131100">
      <formula1>項目!C17:$MFY$131073</formula1>
    </dataValidation>
    <dataValidation type="list" allowBlank="1" showInputMessage="1" showErrorMessage="1" sqref="MQA131077:MQA131100">
      <formula1>項目!C17:$MPU$131073</formula1>
    </dataValidation>
    <dataValidation type="list" allowBlank="1" showInputMessage="1" showErrorMessage="1" sqref="MZW131077:MZW131100">
      <formula1>項目!C17:$MZQ$131073</formula1>
    </dataValidation>
    <dataValidation type="list" allowBlank="1" showInputMessage="1" showErrorMessage="1" sqref="NJS131077:NJS131100">
      <formula1>項目!C17:$NJM$131073</formula1>
    </dataValidation>
    <dataValidation type="list" allowBlank="1" showInputMessage="1" showErrorMessage="1" sqref="NTO131077:NTO131100">
      <formula1>項目!C17:$NTI$131073</formula1>
    </dataValidation>
    <dataValidation type="list" allowBlank="1" showInputMessage="1" showErrorMessage="1" sqref="ODK131077:ODK131100">
      <formula1>項目!C17:$ODE$131073</formula1>
    </dataValidation>
    <dataValidation type="list" allowBlank="1" showInputMessage="1" showErrorMessage="1" sqref="ONG131077:ONG131100">
      <formula1>項目!C17:$ONA$131073</formula1>
    </dataValidation>
    <dataValidation type="list" allowBlank="1" showInputMessage="1" showErrorMessage="1" sqref="OXC131077:OXC131100">
      <formula1>項目!C17:$OWW$131073</formula1>
    </dataValidation>
    <dataValidation type="list" allowBlank="1" showInputMessage="1" showErrorMessage="1" sqref="PGY131077:PGY131100">
      <formula1>項目!C17:$PGS$131073</formula1>
    </dataValidation>
    <dataValidation type="list" allowBlank="1" showInputMessage="1" showErrorMessage="1" sqref="PQU131077:PQU131100">
      <formula1>項目!C17:$PQO$131073</formula1>
    </dataValidation>
    <dataValidation type="list" allowBlank="1" showInputMessage="1" showErrorMessage="1" sqref="QAQ131077:QAQ131100">
      <formula1>項目!C17:$QAK$131073</formula1>
    </dataValidation>
    <dataValidation type="list" allowBlank="1" showInputMessage="1" showErrorMessage="1" sqref="QKM131077:QKM131100">
      <formula1>項目!C17:$QKG$131073</formula1>
    </dataValidation>
    <dataValidation type="list" allowBlank="1" showInputMessage="1" showErrorMessage="1" sqref="QUI131077:QUI131100">
      <formula1>項目!C17:$QUC$131073</formula1>
    </dataValidation>
    <dataValidation type="list" allowBlank="1" showInputMessage="1" showErrorMessage="1" sqref="REE131077:REE131100">
      <formula1>項目!C17:$RDY$131073</formula1>
    </dataValidation>
    <dataValidation type="list" allowBlank="1" showInputMessage="1" showErrorMessage="1" sqref="ROA131077:ROA131100">
      <formula1>項目!C17:$RNU$131073</formula1>
    </dataValidation>
    <dataValidation type="list" allowBlank="1" showInputMessage="1" showErrorMessage="1" sqref="RXW131077:RXW131100">
      <formula1>項目!C17:$RXQ$131073</formula1>
    </dataValidation>
    <dataValidation type="list" allowBlank="1" showInputMessage="1" showErrorMessage="1" sqref="SHS131077:SHS131100">
      <formula1>項目!C17:$SHM$131073</formula1>
    </dataValidation>
    <dataValidation type="list" allowBlank="1" showInputMessage="1" showErrorMessage="1" sqref="SRO131077:SRO131100">
      <formula1>項目!C17:$SRI$131073</formula1>
    </dataValidation>
    <dataValidation type="list" allowBlank="1" showInputMessage="1" showErrorMessage="1" sqref="TBK131077:TBK131100">
      <formula1>項目!C17:$TBE$131073</formula1>
    </dataValidation>
    <dataValidation type="list" allowBlank="1" showInputMessage="1" showErrorMessage="1" sqref="TLG131077:TLG131100">
      <formula1>項目!C17:$TLA$131073</formula1>
    </dataValidation>
    <dataValidation type="list" allowBlank="1" showInputMessage="1" showErrorMessage="1" sqref="TVC131077:TVC131100">
      <formula1>項目!C17:$TUW$131073</formula1>
    </dataValidation>
    <dataValidation type="list" allowBlank="1" showInputMessage="1" showErrorMessage="1" sqref="UEY131077:UEY131100">
      <formula1>項目!C17:$UES$131073</formula1>
    </dataValidation>
    <dataValidation type="list" allowBlank="1" showInputMessage="1" showErrorMessage="1" sqref="UOU131077:UOU131100">
      <formula1>項目!C17:$UOO$131073</formula1>
    </dataValidation>
    <dataValidation type="list" allowBlank="1" showInputMessage="1" showErrorMessage="1" sqref="UYQ131077:UYQ131100">
      <formula1>項目!C17:$UYK$131073</formula1>
    </dataValidation>
    <dataValidation type="list" allowBlank="1" showInputMessage="1" showErrorMessage="1" sqref="VIM131077:VIM131100">
      <formula1>項目!C17:$VIG$131073</formula1>
    </dataValidation>
    <dataValidation type="list" allowBlank="1" showInputMessage="1" showErrorMessage="1" sqref="VSI131077:VSI131100">
      <formula1>項目!C17:$VSC$131073</formula1>
    </dataValidation>
    <dataValidation type="list" allowBlank="1" showInputMessage="1" showErrorMessage="1" sqref="WCE131077:WCE131100">
      <formula1>項目!C17:$WBY$131073</formula1>
    </dataValidation>
    <dataValidation type="list" allowBlank="1" showInputMessage="1" showErrorMessage="1" sqref="WMA131077:WMA131100">
      <formula1>項目!C17:$WLU$131073</formula1>
    </dataValidation>
    <dataValidation type="list" allowBlank="1" showInputMessage="1" showErrorMessage="1" sqref="WVW131077:WVW131100">
      <formula1>項目!C17:$WVQ$131073</formula1>
    </dataValidation>
    <dataValidation type="list" allowBlank="1" showInputMessage="1" showErrorMessage="1" sqref="O196613:O196636">
      <formula1>項目!C17:$J$196609</formula1>
    </dataValidation>
    <dataValidation type="list" allowBlank="1" showInputMessage="1" showErrorMessage="1" sqref="JK196613:JK196636">
      <formula1>項目!C17:$JE$196609</formula1>
    </dataValidation>
    <dataValidation type="list" allowBlank="1" showInputMessage="1" showErrorMessage="1" sqref="TG196613:TG196636">
      <formula1>項目!C17:$TA$196609</formula1>
    </dataValidation>
    <dataValidation type="list" allowBlank="1" showInputMessage="1" showErrorMessage="1" sqref="ADC196613:ADC196636">
      <formula1>項目!C17:$ACW$196609</formula1>
    </dataValidation>
    <dataValidation type="list" allowBlank="1" showInputMessage="1" showErrorMessage="1" sqref="AMY196613:AMY196636">
      <formula1>項目!C17:$AMS$196609</formula1>
    </dataValidation>
    <dataValidation type="list" allowBlank="1" showInputMessage="1" showErrorMessage="1" sqref="AWU196613:AWU196636">
      <formula1>項目!C17:$AWO$196609</formula1>
    </dataValidation>
    <dataValidation type="list" allowBlank="1" showInputMessage="1" showErrorMessage="1" sqref="BGQ196613:BGQ196636">
      <formula1>項目!C17:$BGK$196609</formula1>
    </dataValidation>
    <dataValidation type="list" allowBlank="1" showInputMessage="1" showErrorMessage="1" sqref="BQM196613:BQM196636">
      <formula1>項目!C17:$BQG$196609</formula1>
    </dataValidation>
    <dataValidation type="list" allowBlank="1" showInputMessage="1" showErrorMessage="1" sqref="CAI196613:CAI196636">
      <formula1>項目!C17:$CAC$196609</formula1>
    </dataValidation>
    <dataValidation type="list" allowBlank="1" showInputMessage="1" showErrorMessage="1" sqref="CKE196613:CKE196636">
      <formula1>項目!C17:$CJY$196609</formula1>
    </dataValidation>
    <dataValidation type="list" allowBlank="1" showInputMessage="1" showErrorMessage="1" sqref="CUA196613:CUA196636">
      <formula1>項目!C17:$CTU$196609</formula1>
    </dataValidation>
    <dataValidation type="list" allowBlank="1" showInputMessage="1" showErrorMessage="1" sqref="DDW196613:DDW196636">
      <formula1>項目!C17:$DDQ$196609</formula1>
    </dataValidation>
    <dataValidation type="list" allowBlank="1" showInputMessage="1" showErrorMessage="1" sqref="DNS196613:DNS196636">
      <formula1>項目!C17:$DNM$196609</formula1>
    </dataValidation>
    <dataValidation type="list" allowBlank="1" showInputMessage="1" showErrorMessage="1" sqref="DXO196613:DXO196636">
      <formula1>項目!C17:$DXI$196609</formula1>
    </dataValidation>
    <dataValidation type="list" allowBlank="1" showInputMessage="1" showErrorMessage="1" sqref="EHK196613:EHK196636">
      <formula1>項目!C17:$EHE$196609</formula1>
    </dataValidation>
    <dataValidation type="list" allowBlank="1" showInputMessage="1" showErrorMessage="1" sqref="ERG196613:ERG196636">
      <formula1>項目!C17:$ERA$196609</formula1>
    </dataValidation>
    <dataValidation type="list" allowBlank="1" showInputMessage="1" showErrorMessage="1" sqref="FBC196613:FBC196636">
      <formula1>項目!C17:$FAW$196609</formula1>
    </dataValidation>
    <dataValidation type="list" allowBlank="1" showInputMessage="1" showErrorMessage="1" sqref="FKY196613:FKY196636">
      <formula1>項目!C17:$FKS$196609</formula1>
    </dataValidation>
    <dataValidation type="list" allowBlank="1" showInputMessage="1" showErrorMessage="1" sqref="FUU196613:FUU196636">
      <formula1>項目!C17:$FUO$196609</formula1>
    </dataValidation>
    <dataValidation type="list" allowBlank="1" showInputMessage="1" showErrorMessage="1" sqref="GEQ196613:GEQ196636">
      <formula1>項目!C17:$GEK$196609</formula1>
    </dataValidation>
    <dataValidation type="list" allowBlank="1" showInputMessage="1" showErrorMessage="1" sqref="GOM196613:GOM196636">
      <formula1>項目!C17:$GOG$196609</formula1>
    </dataValidation>
    <dataValidation type="list" allowBlank="1" showInputMessage="1" showErrorMessage="1" sqref="GYI196613:GYI196636">
      <formula1>項目!C17:$GYC$196609</formula1>
    </dataValidation>
    <dataValidation type="list" allowBlank="1" showInputMessage="1" showErrorMessage="1" sqref="HIE196613:HIE196636">
      <formula1>項目!C17:$HHY$196609</formula1>
    </dataValidation>
    <dataValidation type="list" allowBlank="1" showInputMessage="1" showErrorMessage="1" sqref="HSA196613:HSA196636">
      <formula1>項目!C17:$HRU$196609</formula1>
    </dataValidation>
    <dataValidation type="list" allowBlank="1" showInputMessage="1" showErrorMessage="1" sqref="IBW196613:IBW196636">
      <formula1>項目!C17:$IBQ$196609</formula1>
    </dataValidation>
    <dataValidation type="list" allowBlank="1" showInputMessage="1" showErrorMessage="1" sqref="ILS196613:ILS196636">
      <formula1>項目!C17:$ILM$196609</formula1>
    </dataValidation>
    <dataValidation type="list" allowBlank="1" showInputMessage="1" showErrorMessage="1" sqref="IVO196613:IVO196636">
      <formula1>項目!C17:$IVI$196609</formula1>
    </dataValidation>
    <dataValidation type="list" allowBlank="1" showInputMessage="1" showErrorMessage="1" sqref="JFK196613:JFK196636">
      <formula1>項目!C17:$JFE$196609</formula1>
    </dataValidation>
    <dataValidation type="list" allowBlank="1" showInputMessage="1" showErrorMessage="1" sqref="JPG196613:JPG196636">
      <formula1>項目!C17:$JPA$196609</formula1>
    </dataValidation>
    <dataValidation type="list" allowBlank="1" showInputMessage="1" showErrorMessage="1" sqref="JZC196613:JZC196636">
      <formula1>項目!C17:$JYW$196609</formula1>
    </dataValidation>
    <dataValidation type="list" allowBlank="1" showInputMessage="1" showErrorMessage="1" sqref="KIY196613:KIY196636">
      <formula1>項目!C17:$KIS$196609</formula1>
    </dataValidation>
    <dataValidation type="list" allowBlank="1" showInputMessage="1" showErrorMessage="1" sqref="KSU196613:KSU196636">
      <formula1>項目!C17:$KSO$196609</formula1>
    </dataValidation>
    <dataValidation type="list" allowBlank="1" showInputMessage="1" showErrorMessage="1" sqref="LCQ196613:LCQ196636">
      <formula1>項目!C17:$LCK$196609</formula1>
    </dataValidation>
    <dataValidation type="list" allowBlank="1" showInputMessage="1" showErrorMessage="1" sqref="LMM196613:LMM196636">
      <formula1>項目!C17:$LMG$196609</formula1>
    </dataValidation>
    <dataValidation type="list" allowBlank="1" showInputMessage="1" showErrorMessage="1" sqref="LWI196613:LWI196636">
      <formula1>項目!C17:$LWC$196609</formula1>
    </dataValidation>
    <dataValidation type="list" allowBlank="1" showInputMessage="1" showErrorMessage="1" sqref="MGE196613:MGE196636">
      <formula1>項目!C17:$MFY$196609</formula1>
    </dataValidation>
    <dataValidation type="list" allowBlank="1" showInputMessage="1" showErrorMessage="1" sqref="MQA196613:MQA196636">
      <formula1>項目!C17:$MPU$196609</formula1>
    </dataValidation>
    <dataValidation type="list" allowBlank="1" showInputMessage="1" showErrorMessage="1" sqref="MZW196613:MZW196636">
      <formula1>項目!C17:$MZQ$196609</formula1>
    </dataValidation>
    <dataValidation type="list" allowBlank="1" showInputMessage="1" showErrorMessage="1" sqref="NJS196613:NJS196636">
      <formula1>項目!C17:$NJM$196609</formula1>
    </dataValidation>
    <dataValidation type="list" allowBlank="1" showInputMessage="1" showErrorMessage="1" sqref="NTO196613:NTO196636">
      <formula1>項目!C17:$NTI$196609</formula1>
    </dataValidation>
    <dataValidation type="list" allowBlank="1" showInputMessage="1" showErrorMessage="1" sqref="ODK196613:ODK196636">
      <formula1>項目!C17:$ODE$196609</formula1>
    </dataValidation>
    <dataValidation type="list" allowBlank="1" showInputMessage="1" showErrorMessage="1" sqref="ONG196613:ONG196636">
      <formula1>項目!C17:$ONA$196609</formula1>
    </dataValidation>
    <dataValidation type="list" allowBlank="1" showInputMessage="1" showErrorMessage="1" sqref="OXC196613:OXC196636">
      <formula1>項目!C17:$OWW$196609</formula1>
    </dataValidation>
    <dataValidation type="list" allowBlank="1" showInputMessage="1" showErrorMessage="1" sqref="PGY196613:PGY196636">
      <formula1>項目!C17:$PGS$196609</formula1>
    </dataValidation>
    <dataValidation type="list" allowBlank="1" showInputMessage="1" showErrorMessage="1" sqref="PQU196613:PQU196636">
      <formula1>項目!C17:$PQO$196609</formula1>
    </dataValidation>
    <dataValidation type="list" allowBlank="1" showInputMessage="1" showErrorMessage="1" sqref="QAQ196613:QAQ196636">
      <formula1>項目!C17:$QAK$196609</formula1>
    </dataValidation>
    <dataValidation type="list" allowBlank="1" showInputMessage="1" showErrorMessage="1" sqref="QKM196613:QKM196636">
      <formula1>項目!C17:$QKG$196609</formula1>
    </dataValidation>
    <dataValidation type="list" allowBlank="1" showInputMessage="1" showErrorMessage="1" sqref="QUI196613:QUI196636">
      <formula1>項目!C17:$QUC$196609</formula1>
    </dataValidation>
    <dataValidation type="list" allowBlank="1" showInputMessage="1" showErrorMessage="1" sqref="REE196613:REE196636">
      <formula1>項目!C17:$RDY$196609</formula1>
    </dataValidation>
    <dataValidation type="list" allowBlank="1" showInputMessage="1" showErrorMessage="1" sqref="ROA196613:ROA196636">
      <formula1>項目!C17:$RNU$196609</formula1>
    </dataValidation>
    <dataValidation type="list" allowBlank="1" showInputMessage="1" showErrorMessage="1" sqref="RXW196613:RXW196636">
      <formula1>項目!C17:$RXQ$196609</formula1>
    </dataValidation>
    <dataValidation type="list" allowBlank="1" showInputMessage="1" showErrorMessage="1" sqref="SHS196613:SHS196636">
      <formula1>項目!C17:$SHM$196609</formula1>
    </dataValidation>
    <dataValidation type="list" allowBlank="1" showInputMessage="1" showErrorMessage="1" sqref="SRO196613:SRO196636">
      <formula1>項目!C17:$SRI$196609</formula1>
    </dataValidation>
    <dataValidation type="list" allowBlank="1" showInputMessage="1" showErrorMessage="1" sqref="TBK196613:TBK196636">
      <formula1>項目!C17:$TBE$196609</formula1>
    </dataValidation>
    <dataValidation type="list" allowBlank="1" showInputMessage="1" showErrorMessage="1" sqref="TLG196613:TLG196636">
      <formula1>項目!C17:$TLA$196609</formula1>
    </dataValidation>
    <dataValidation type="list" allowBlank="1" showInputMessage="1" showErrorMessage="1" sqref="TVC196613:TVC196636">
      <formula1>項目!C17:$TUW$196609</formula1>
    </dataValidation>
    <dataValidation type="list" allowBlank="1" showInputMessage="1" showErrorMessage="1" sqref="UEY196613:UEY196636">
      <formula1>項目!C17:$UES$196609</formula1>
    </dataValidation>
    <dataValidation type="list" allowBlank="1" showInputMessage="1" showErrorMessage="1" sqref="UOU196613:UOU196636">
      <formula1>項目!C17:$UOO$196609</formula1>
    </dataValidation>
    <dataValidation type="list" allowBlank="1" showInputMessage="1" showErrorMessage="1" sqref="UYQ196613:UYQ196636">
      <formula1>項目!C17:$UYK$196609</formula1>
    </dataValidation>
    <dataValidation type="list" allowBlank="1" showInputMessage="1" showErrorMessage="1" sqref="VIM196613:VIM196636">
      <formula1>項目!C17:$VIG$196609</formula1>
    </dataValidation>
    <dataValidation type="list" allowBlank="1" showInputMessage="1" showErrorMessage="1" sqref="VSI196613:VSI196636">
      <formula1>項目!C17:$VSC$196609</formula1>
    </dataValidation>
    <dataValidation type="list" allowBlank="1" showInputMessage="1" showErrorMessage="1" sqref="WCE196613:WCE196636">
      <formula1>項目!C17:$WBY$196609</formula1>
    </dataValidation>
    <dataValidation type="list" allowBlank="1" showInputMessage="1" showErrorMessage="1" sqref="WMA196613:WMA196636">
      <formula1>項目!C17:$WLU$196609</formula1>
    </dataValidation>
    <dataValidation type="list" allowBlank="1" showInputMessage="1" showErrorMessage="1" sqref="WVW196613:WVW196636">
      <formula1>項目!C17:$WVQ$196609</formula1>
    </dataValidation>
    <dataValidation type="list" allowBlank="1" showInputMessage="1" showErrorMessage="1" sqref="O262149:O262172">
      <formula1>項目!C17:$J$262145</formula1>
    </dataValidation>
    <dataValidation type="list" allowBlank="1" showInputMessage="1" showErrorMessage="1" sqref="JK262149:JK262172">
      <formula1>項目!C17:$JE$262145</formula1>
    </dataValidation>
    <dataValidation type="list" allowBlank="1" showInputMessage="1" showErrorMessage="1" sqref="TG262149:TG262172">
      <formula1>項目!C17:$TA$262145</formula1>
    </dataValidation>
    <dataValidation type="list" allowBlank="1" showInputMessage="1" showErrorMessage="1" sqref="ADC262149:ADC262172">
      <formula1>項目!C17:$ACW$262145</formula1>
    </dataValidation>
    <dataValidation type="list" allowBlank="1" showInputMessage="1" showErrorMessage="1" sqref="AMY262149:AMY262172">
      <formula1>項目!C17:$AMS$262145</formula1>
    </dataValidation>
    <dataValidation type="list" allowBlank="1" showInputMessage="1" showErrorMessage="1" sqref="AWU262149:AWU262172">
      <formula1>項目!C17:$AWO$262145</formula1>
    </dataValidation>
    <dataValidation type="list" allowBlank="1" showInputMessage="1" showErrorMessage="1" sqref="BGQ262149:BGQ262172">
      <formula1>項目!C17:$BGK$262145</formula1>
    </dataValidation>
    <dataValidation type="list" allowBlank="1" showInputMessage="1" showErrorMessage="1" sqref="BQM262149:BQM262172">
      <formula1>項目!C17:$BQG$262145</formula1>
    </dataValidation>
    <dataValidation type="list" allowBlank="1" showInputMessage="1" showErrorMessage="1" sqref="CAI262149:CAI262172">
      <formula1>項目!C17:$CAC$262145</formula1>
    </dataValidation>
    <dataValidation type="list" allowBlank="1" showInputMessage="1" showErrorMessage="1" sqref="CKE262149:CKE262172">
      <formula1>項目!C17:$CJY$262145</formula1>
    </dataValidation>
    <dataValidation type="list" allowBlank="1" showInputMessage="1" showErrorMessage="1" sqref="CUA262149:CUA262172">
      <formula1>項目!C17:$CTU$262145</formula1>
    </dataValidation>
    <dataValidation type="list" allowBlank="1" showInputMessage="1" showErrorMessage="1" sqref="DDW262149:DDW262172">
      <formula1>項目!C17:$DDQ$262145</formula1>
    </dataValidation>
    <dataValidation type="list" allowBlank="1" showInputMessage="1" showErrorMessage="1" sqref="DNS262149:DNS262172">
      <formula1>項目!C17:$DNM$262145</formula1>
    </dataValidation>
    <dataValidation type="list" allowBlank="1" showInputMessage="1" showErrorMessage="1" sqref="DXO262149:DXO262172">
      <formula1>項目!C17:$DXI$262145</formula1>
    </dataValidation>
    <dataValidation type="list" allowBlank="1" showInputMessage="1" showErrorMessage="1" sqref="EHK262149:EHK262172">
      <formula1>項目!C17:$EHE$262145</formula1>
    </dataValidation>
    <dataValidation type="list" allowBlank="1" showInputMessage="1" showErrorMessage="1" sqref="ERG262149:ERG262172">
      <formula1>項目!C17:$ERA$262145</formula1>
    </dataValidation>
    <dataValidation type="list" allowBlank="1" showInputMessage="1" showErrorMessage="1" sqref="FBC262149:FBC262172">
      <formula1>項目!C17:$FAW$262145</formula1>
    </dataValidation>
    <dataValidation type="list" allowBlank="1" showInputMessage="1" showErrorMessage="1" sqref="FKY262149:FKY262172">
      <formula1>項目!C17:$FKS$262145</formula1>
    </dataValidation>
    <dataValidation type="list" allowBlank="1" showInputMessage="1" showErrorMessage="1" sqref="FUU262149:FUU262172">
      <formula1>項目!C17:$FUO$262145</formula1>
    </dataValidation>
    <dataValidation type="list" allowBlank="1" showInputMessage="1" showErrorMessage="1" sqref="GEQ262149:GEQ262172">
      <formula1>項目!C17:$GEK$262145</formula1>
    </dataValidation>
    <dataValidation type="list" allowBlank="1" showInputMessage="1" showErrorMessage="1" sqref="GOM262149:GOM262172">
      <formula1>項目!C17:$GOG$262145</formula1>
    </dataValidation>
    <dataValidation type="list" allowBlank="1" showInputMessage="1" showErrorMessage="1" sqref="GYI262149:GYI262172">
      <formula1>項目!C17:$GYC$262145</formula1>
    </dataValidation>
    <dataValidation type="list" allowBlank="1" showInputMessage="1" showErrorMessage="1" sqref="HIE262149:HIE262172">
      <formula1>項目!C17:$HHY$262145</formula1>
    </dataValidation>
    <dataValidation type="list" allowBlank="1" showInputMessage="1" showErrorMessage="1" sqref="HSA262149:HSA262172">
      <formula1>項目!C17:$HRU$262145</formula1>
    </dataValidation>
    <dataValidation type="list" allowBlank="1" showInputMessage="1" showErrorMessage="1" sqref="IBW262149:IBW262172">
      <formula1>項目!C17:$IBQ$262145</formula1>
    </dataValidation>
    <dataValidation type="list" allowBlank="1" showInputMessage="1" showErrorMessage="1" sqref="ILS262149:ILS262172">
      <formula1>項目!C17:$ILM$262145</formula1>
    </dataValidation>
    <dataValidation type="list" allowBlank="1" showInputMessage="1" showErrorMessage="1" sqref="IVO262149:IVO262172">
      <formula1>項目!C17:$IVI$262145</formula1>
    </dataValidation>
    <dataValidation type="list" allowBlank="1" showInputMessage="1" showErrorMessage="1" sqref="JFK262149:JFK262172">
      <formula1>項目!C17:$JFE$262145</formula1>
    </dataValidation>
    <dataValidation type="list" allowBlank="1" showInputMessage="1" showErrorMessage="1" sqref="JPG262149:JPG262172">
      <formula1>項目!C17:$JPA$262145</formula1>
    </dataValidation>
    <dataValidation type="list" allowBlank="1" showInputMessage="1" showErrorMessage="1" sqref="JZC262149:JZC262172">
      <formula1>項目!C17:$JYW$262145</formula1>
    </dataValidation>
    <dataValidation type="list" allowBlank="1" showInputMessage="1" showErrorMessage="1" sqref="KIY262149:KIY262172">
      <formula1>項目!C17:$KIS$262145</formula1>
    </dataValidation>
    <dataValidation type="list" allowBlank="1" showInputMessage="1" showErrorMessage="1" sqref="KSU262149:KSU262172">
      <formula1>項目!C17:$KSO$262145</formula1>
    </dataValidation>
    <dataValidation type="list" allowBlank="1" showInputMessage="1" showErrorMessage="1" sqref="LCQ262149:LCQ262172">
      <formula1>項目!C17:$LCK$262145</formula1>
    </dataValidation>
    <dataValidation type="list" allowBlank="1" showInputMessage="1" showErrorMessage="1" sqref="LMM262149:LMM262172">
      <formula1>項目!C17:$LMG$262145</formula1>
    </dataValidation>
    <dataValidation type="list" allowBlank="1" showInputMessage="1" showErrorMessage="1" sqref="LWI262149:LWI262172">
      <formula1>項目!C17:$LWC$262145</formula1>
    </dataValidation>
    <dataValidation type="list" allowBlank="1" showInputMessage="1" showErrorMessage="1" sqref="MGE262149:MGE262172">
      <formula1>項目!C17:$MFY$262145</formula1>
    </dataValidation>
    <dataValidation type="list" allowBlank="1" showInputMessage="1" showErrorMessage="1" sqref="MQA262149:MQA262172">
      <formula1>項目!C17:$MPU$262145</formula1>
    </dataValidation>
    <dataValidation type="list" allowBlank="1" showInputMessage="1" showErrorMessage="1" sqref="MZW262149:MZW262172">
      <formula1>項目!C17:$MZQ$262145</formula1>
    </dataValidation>
    <dataValidation type="list" allowBlank="1" showInputMessage="1" showErrorMessage="1" sqref="NJS262149:NJS262172">
      <formula1>項目!C17:$NJM$262145</formula1>
    </dataValidation>
    <dataValidation type="list" allowBlank="1" showInputMessage="1" showErrorMessage="1" sqref="NTO262149:NTO262172">
      <formula1>項目!C17:$NTI$262145</formula1>
    </dataValidation>
    <dataValidation type="list" allowBlank="1" showInputMessage="1" showErrorMessage="1" sqref="ODK262149:ODK262172">
      <formula1>項目!C17:$ODE$262145</formula1>
    </dataValidation>
    <dataValidation type="list" allowBlank="1" showInputMessage="1" showErrorMessage="1" sqref="ONG262149:ONG262172">
      <formula1>項目!C17:$ONA$262145</formula1>
    </dataValidation>
    <dataValidation type="list" allowBlank="1" showInputMessage="1" showErrorMessage="1" sqref="OXC262149:OXC262172">
      <formula1>項目!C17:$OWW$262145</formula1>
    </dataValidation>
    <dataValidation type="list" allowBlank="1" showInputMessage="1" showErrorMessage="1" sqref="PGY262149:PGY262172">
      <formula1>項目!C17:$PGS$262145</formula1>
    </dataValidation>
    <dataValidation type="list" allowBlank="1" showInputMessage="1" showErrorMessage="1" sqref="PQU262149:PQU262172">
      <formula1>項目!C17:$PQO$262145</formula1>
    </dataValidation>
    <dataValidation type="list" allowBlank="1" showInputMessage="1" showErrorMessage="1" sqref="QAQ262149:QAQ262172">
      <formula1>項目!C17:$QAK$262145</formula1>
    </dataValidation>
    <dataValidation type="list" allowBlank="1" showInputMessage="1" showErrorMessage="1" sqref="QKM262149:QKM262172">
      <formula1>項目!C17:$QKG$262145</formula1>
    </dataValidation>
    <dataValidation type="list" allowBlank="1" showInputMessage="1" showErrorMessage="1" sqref="QUI262149:QUI262172">
      <formula1>項目!C17:$QUC$262145</formula1>
    </dataValidation>
    <dataValidation type="list" allowBlank="1" showInputMessage="1" showErrorMessage="1" sqref="REE262149:REE262172">
      <formula1>項目!C17:$RDY$262145</formula1>
    </dataValidation>
    <dataValidation type="list" allowBlank="1" showInputMessage="1" showErrorMessage="1" sqref="ROA262149:ROA262172">
      <formula1>項目!C17:$RNU$262145</formula1>
    </dataValidation>
    <dataValidation type="list" allowBlank="1" showInputMessage="1" showErrorMessage="1" sqref="RXW262149:RXW262172">
      <formula1>項目!C17:$RXQ$262145</formula1>
    </dataValidation>
    <dataValidation type="list" allowBlank="1" showInputMessage="1" showErrorMessage="1" sqref="SHS262149:SHS262172">
      <formula1>項目!C17:$SHM$262145</formula1>
    </dataValidation>
    <dataValidation type="list" allowBlank="1" showInputMessage="1" showErrorMessage="1" sqref="SRO262149:SRO262172">
      <formula1>項目!C17:$SRI$262145</formula1>
    </dataValidation>
    <dataValidation type="list" allowBlank="1" showInputMessage="1" showErrorMessage="1" sqref="TBK262149:TBK262172">
      <formula1>項目!C17:$TBE$262145</formula1>
    </dataValidation>
    <dataValidation type="list" allowBlank="1" showInputMessage="1" showErrorMessage="1" sqref="TLG262149:TLG262172">
      <formula1>項目!C17:$TLA$262145</formula1>
    </dataValidation>
    <dataValidation type="list" allowBlank="1" showInputMessage="1" showErrorMessage="1" sqref="TVC262149:TVC262172">
      <formula1>項目!C17:$TUW$262145</formula1>
    </dataValidation>
    <dataValidation type="list" allowBlank="1" showInputMessage="1" showErrorMessage="1" sqref="UEY262149:UEY262172">
      <formula1>項目!C17:$UES$262145</formula1>
    </dataValidation>
    <dataValidation type="list" allowBlank="1" showInputMessage="1" showErrorMessage="1" sqref="UOU262149:UOU262172">
      <formula1>項目!C17:$UOO$262145</formula1>
    </dataValidation>
    <dataValidation type="list" allowBlank="1" showInputMessage="1" showErrorMessage="1" sqref="UYQ262149:UYQ262172">
      <formula1>項目!C17:$UYK$262145</formula1>
    </dataValidation>
    <dataValidation type="list" allowBlank="1" showInputMessage="1" showErrorMessage="1" sqref="VIM262149:VIM262172">
      <formula1>項目!C17:$VIG$262145</formula1>
    </dataValidation>
    <dataValidation type="list" allowBlank="1" showInputMessage="1" showErrorMessage="1" sqref="VSI262149:VSI262172">
      <formula1>項目!C17:$VSC$262145</formula1>
    </dataValidation>
    <dataValidation type="list" allowBlank="1" showInputMessage="1" showErrorMessage="1" sqref="WCE262149:WCE262172">
      <formula1>項目!C17:$WBY$262145</formula1>
    </dataValidation>
    <dataValidation type="list" allowBlank="1" showInputMessage="1" showErrorMessage="1" sqref="WMA262149:WMA262172">
      <formula1>項目!C17:$WLU$262145</formula1>
    </dataValidation>
    <dataValidation type="list" allowBlank="1" showInputMessage="1" showErrorMessage="1" sqref="WVW262149:WVW262172">
      <formula1>項目!C17:$WVQ$262145</formula1>
    </dataValidation>
    <dataValidation type="list" allowBlank="1" showInputMessage="1" showErrorMessage="1" sqref="O327685:O327708">
      <formula1>項目!C17:$J$327681</formula1>
    </dataValidation>
    <dataValidation type="list" allowBlank="1" showInputMessage="1" showErrorMessage="1" sqref="JK327685:JK327708">
      <formula1>項目!C17:$JE$327681</formula1>
    </dataValidation>
    <dataValidation type="list" allowBlank="1" showInputMessage="1" showErrorMessage="1" sqref="TG327685:TG327708">
      <formula1>項目!C17:$TA$327681</formula1>
    </dataValidation>
    <dataValidation type="list" allowBlank="1" showInputMessage="1" showErrorMessage="1" sqref="ADC327685:ADC327708">
      <formula1>項目!C17:$ACW$327681</formula1>
    </dataValidation>
    <dataValidation type="list" allowBlank="1" showInputMessage="1" showErrorMessage="1" sqref="AMY327685:AMY327708">
      <formula1>項目!C17:$AMS$327681</formula1>
    </dataValidation>
    <dataValidation type="list" allowBlank="1" showInputMessage="1" showErrorMessage="1" sqref="AWU327685:AWU327708">
      <formula1>項目!C17:$AWO$327681</formula1>
    </dataValidation>
    <dataValidation type="list" allowBlank="1" showInputMessage="1" showErrorMessage="1" sqref="BGQ327685:BGQ327708">
      <formula1>項目!C17:$BGK$327681</formula1>
    </dataValidation>
    <dataValidation type="list" allowBlank="1" showInputMessage="1" showErrorMessage="1" sqref="BQM327685:BQM327708">
      <formula1>項目!C17:$BQG$327681</formula1>
    </dataValidation>
    <dataValidation type="list" allowBlank="1" showInputMessage="1" showErrorMessage="1" sqref="CAI327685:CAI327708">
      <formula1>項目!C17:$CAC$327681</formula1>
    </dataValidation>
    <dataValidation type="list" allowBlank="1" showInputMessage="1" showErrorMessage="1" sqref="CKE327685:CKE327708">
      <formula1>項目!C17:$CJY$327681</formula1>
    </dataValidation>
    <dataValidation type="list" allowBlank="1" showInputMessage="1" showErrorMessage="1" sqref="CUA327685:CUA327708">
      <formula1>項目!C17:$CTU$327681</formula1>
    </dataValidation>
    <dataValidation type="list" allowBlank="1" showInputMessage="1" showErrorMessage="1" sqref="DDW327685:DDW327708">
      <formula1>項目!C17:$DDQ$327681</formula1>
    </dataValidation>
    <dataValidation type="list" allowBlank="1" showInputMessage="1" showErrorMessage="1" sqref="DNS327685:DNS327708">
      <formula1>項目!C17:$DNM$327681</formula1>
    </dataValidation>
    <dataValidation type="list" allowBlank="1" showInputMessage="1" showErrorMessage="1" sqref="DXO327685:DXO327708">
      <formula1>項目!C17:$DXI$327681</formula1>
    </dataValidation>
    <dataValidation type="list" allowBlank="1" showInputMessage="1" showErrorMessage="1" sqref="EHK327685:EHK327708">
      <formula1>項目!C17:$EHE$327681</formula1>
    </dataValidation>
    <dataValidation type="list" allowBlank="1" showInputMessage="1" showErrorMessage="1" sqref="ERG327685:ERG327708">
      <formula1>項目!C17:$ERA$327681</formula1>
    </dataValidation>
    <dataValidation type="list" allowBlank="1" showInputMessage="1" showErrorMessage="1" sqref="FBC327685:FBC327708">
      <formula1>項目!C17:$FAW$327681</formula1>
    </dataValidation>
    <dataValidation type="list" allowBlank="1" showInputMessage="1" showErrorMessage="1" sqref="FKY327685:FKY327708">
      <formula1>項目!C17:$FKS$327681</formula1>
    </dataValidation>
    <dataValidation type="list" allowBlank="1" showInputMessage="1" showErrorMessage="1" sqref="FUU327685:FUU327708">
      <formula1>項目!C17:$FUO$327681</formula1>
    </dataValidation>
    <dataValidation type="list" allowBlank="1" showInputMessage="1" showErrorMessage="1" sqref="GEQ327685:GEQ327708">
      <formula1>項目!C17:$GEK$327681</formula1>
    </dataValidation>
    <dataValidation type="list" allowBlank="1" showInputMessage="1" showErrorMessage="1" sqref="GOM327685:GOM327708">
      <formula1>項目!C17:$GOG$327681</formula1>
    </dataValidation>
    <dataValidation type="list" allowBlank="1" showInputMessage="1" showErrorMessage="1" sqref="GYI327685:GYI327708">
      <formula1>項目!C17:$GYC$327681</formula1>
    </dataValidation>
    <dataValidation type="list" allowBlank="1" showInputMessage="1" showErrorMessage="1" sqref="HIE327685:HIE327708">
      <formula1>項目!C17:$HHY$327681</formula1>
    </dataValidation>
    <dataValidation type="list" allowBlank="1" showInputMessage="1" showErrorMessage="1" sqref="HSA327685:HSA327708">
      <formula1>項目!C17:$HRU$327681</formula1>
    </dataValidation>
    <dataValidation type="list" allowBlank="1" showInputMessage="1" showErrorMessage="1" sqref="IBW327685:IBW327708">
      <formula1>項目!C17:$IBQ$327681</formula1>
    </dataValidation>
    <dataValidation type="list" allowBlank="1" showInputMessage="1" showErrorMessage="1" sqref="ILS327685:ILS327708">
      <formula1>項目!C17:$ILM$327681</formula1>
    </dataValidation>
    <dataValidation type="list" allowBlank="1" showInputMessage="1" showErrorMessage="1" sqref="IVO327685:IVO327708">
      <formula1>項目!C17:$IVI$327681</formula1>
    </dataValidation>
    <dataValidation type="list" allowBlank="1" showInputMessage="1" showErrorMessage="1" sqref="JFK327685:JFK327708">
      <formula1>項目!C17:$JFE$327681</formula1>
    </dataValidation>
    <dataValidation type="list" allowBlank="1" showInputMessage="1" showErrorMessage="1" sqref="JPG327685:JPG327708">
      <formula1>項目!C17:$JPA$327681</formula1>
    </dataValidation>
    <dataValidation type="list" allowBlank="1" showInputMessage="1" showErrorMessage="1" sqref="JZC327685:JZC327708">
      <formula1>項目!C17:$JYW$327681</formula1>
    </dataValidation>
    <dataValidation type="list" allowBlank="1" showInputMessage="1" showErrorMessage="1" sqref="KIY327685:KIY327708">
      <formula1>項目!C17:$KIS$327681</formula1>
    </dataValidation>
    <dataValidation type="list" allowBlank="1" showInputMessage="1" showErrorMessage="1" sqref="KSU327685:KSU327708">
      <formula1>項目!C17:$KSO$327681</formula1>
    </dataValidation>
    <dataValidation type="list" allowBlank="1" showInputMessage="1" showErrorMessage="1" sqref="LCQ327685:LCQ327708">
      <formula1>項目!C17:$LCK$327681</formula1>
    </dataValidation>
    <dataValidation type="list" allowBlank="1" showInputMessage="1" showErrorMessage="1" sqref="LMM327685:LMM327708">
      <formula1>項目!C17:$LMG$327681</formula1>
    </dataValidation>
    <dataValidation type="list" allowBlank="1" showInputMessage="1" showErrorMessage="1" sqref="LWI327685:LWI327708">
      <formula1>項目!C17:$LWC$327681</formula1>
    </dataValidation>
    <dataValidation type="list" allowBlank="1" showInputMessage="1" showErrorMessage="1" sqref="MGE327685:MGE327708">
      <formula1>項目!C17:$MFY$327681</formula1>
    </dataValidation>
    <dataValidation type="list" allowBlank="1" showInputMessage="1" showErrorMessage="1" sqref="MQA327685:MQA327708">
      <formula1>項目!C17:$MPU$327681</formula1>
    </dataValidation>
    <dataValidation type="list" allowBlank="1" showInputMessage="1" showErrorMessage="1" sqref="MZW327685:MZW327708">
      <formula1>項目!C17:$MZQ$327681</formula1>
    </dataValidation>
    <dataValidation type="list" allowBlank="1" showInputMessage="1" showErrorMessage="1" sqref="NJS327685:NJS327708">
      <formula1>項目!C17:$NJM$327681</formula1>
    </dataValidation>
    <dataValidation type="list" allowBlank="1" showInputMessage="1" showErrorMessage="1" sqref="NTO327685:NTO327708">
      <formula1>項目!C17:$NTI$327681</formula1>
    </dataValidation>
    <dataValidation type="list" allowBlank="1" showInputMessage="1" showErrorMessage="1" sqref="ODK327685:ODK327708">
      <formula1>項目!C17:$ODE$327681</formula1>
    </dataValidation>
    <dataValidation type="list" allowBlank="1" showInputMessage="1" showErrorMessage="1" sqref="ONG327685:ONG327708">
      <formula1>項目!C17:$ONA$327681</formula1>
    </dataValidation>
    <dataValidation type="list" allowBlank="1" showInputMessage="1" showErrorMessage="1" sqref="OXC327685:OXC327708">
      <formula1>項目!C17:$OWW$327681</formula1>
    </dataValidation>
    <dataValidation type="list" allowBlank="1" showInputMessage="1" showErrorMessage="1" sqref="PGY327685:PGY327708">
      <formula1>項目!C17:$PGS$327681</formula1>
    </dataValidation>
    <dataValidation type="list" allowBlank="1" showInputMessage="1" showErrorMessage="1" sqref="PQU327685:PQU327708">
      <formula1>項目!C17:$PQO$327681</formula1>
    </dataValidation>
    <dataValidation type="list" allowBlank="1" showInputMessage="1" showErrorMessage="1" sqref="QAQ327685:QAQ327708">
      <formula1>項目!C17:$QAK$327681</formula1>
    </dataValidation>
    <dataValidation type="list" allowBlank="1" showInputMessage="1" showErrorMessage="1" sqref="QKM327685:QKM327708">
      <formula1>項目!C17:$QKG$327681</formula1>
    </dataValidation>
    <dataValidation type="list" allowBlank="1" showInputMessage="1" showErrorMessage="1" sqref="QUI327685:QUI327708">
      <formula1>項目!C17:$QUC$327681</formula1>
    </dataValidation>
    <dataValidation type="list" allowBlank="1" showInputMessage="1" showErrorMessage="1" sqref="REE327685:REE327708">
      <formula1>項目!C17:$RDY$327681</formula1>
    </dataValidation>
    <dataValidation type="list" allowBlank="1" showInputMessage="1" showErrorMessage="1" sqref="ROA327685:ROA327708">
      <formula1>項目!C17:$RNU$327681</formula1>
    </dataValidation>
    <dataValidation type="list" allowBlank="1" showInputMessage="1" showErrorMessage="1" sqref="RXW327685:RXW327708">
      <formula1>項目!C17:$RXQ$327681</formula1>
    </dataValidation>
    <dataValidation type="list" allowBlank="1" showInputMessage="1" showErrorMessage="1" sqref="SHS327685:SHS327708">
      <formula1>項目!C17:$SHM$327681</formula1>
    </dataValidation>
    <dataValidation type="list" allowBlank="1" showInputMessage="1" showErrorMessage="1" sqref="SRO327685:SRO327708">
      <formula1>項目!C17:$SRI$327681</formula1>
    </dataValidation>
    <dataValidation type="list" allowBlank="1" showInputMessage="1" showErrorMessage="1" sqref="TBK327685:TBK327708">
      <formula1>項目!C17:$TBE$327681</formula1>
    </dataValidation>
    <dataValidation type="list" allowBlank="1" showInputMessage="1" showErrorMessage="1" sqref="TLG327685:TLG327708">
      <formula1>項目!C17:$TLA$327681</formula1>
    </dataValidation>
    <dataValidation type="list" allowBlank="1" showInputMessage="1" showErrorMessage="1" sqref="TVC327685:TVC327708">
      <formula1>項目!C17:$TUW$327681</formula1>
    </dataValidation>
    <dataValidation type="list" allowBlank="1" showInputMessage="1" showErrorMessage="1" sqref="UEY327685:UEY327708">
      <formula1>項目!C17:$UES$327681</formula1>
    </dataValidation>
    <dataValidation type="list" allowBlank="1" showInputMessage="1" showErrorMessage="1" sqref="UOU327685:UOU327708">
      <formula1>項目!C17:$UOO$327681</formula1>
    </dataValidation>
    <dataValidation type="list" allowBlank="1" showInputMessage="1" showErrorMessage="1" sqref="UYQ327685:UYQ327708">
      <formula1>項目!C17:$UYK$327681</formula1>
    </dataValidation>
    <dataValidation type="list" allowBlank="1" showInputMessage="1" showErrorMessage="1" sqref="VIM327685:VIM327708">
      <formula1>項目!C17:$VIG$327681</formula1>
    </dataValidation>
    <dataValidation type="list" allowBlank="1" showInputMessage="1" showErrorMessage="1" sqref="VSI327685:VSI327708">
      <formula1>項目!C17:$VSC$327681</formula1>
    </dataValidation>
    <dataValidation type="list" allowBlank="1" showInputMessage="1" showErrorMessage="1" sqref="WCE327685:WCE327708">
      <formula1>項目!C17:$WBY$327681</formula1>
    </dataValidation>
    <dataValidation type="list" allowBlank="1" showInputMessage="1" showErrorMessage="1" sqref="WMA327685:WMA327708">
      <formula1>項目!C17:$WLU$327681</formula1>
    </dataValidation>
    <dataValidation type="list" allowBlank="1" showInputMessage="1" showErrorMessage="1" sqref="WVW327685:WVW327708">
      <formula1>項目!C17:$WVQ$327681</formula1>
    </dataValidation>
    <dataValidation type="list" allowBlank="1" showInputMessage="1" showErrorMessage="1" sqref="O393221:O393244">
      <formula1>項目!C17:$J$393217</formula1>
    </dataValidation>
    <dataValidation type="list" allowBlank="1" showInputMessage="1" showErrorMessage="1" sqref="JK393221:JK393244">
      <formula1>項目!C17:$JE$393217</formula1>
    </dataValidation>
    <dataValidation type="list" allowBlank="1" showInputMessage="1" showErrorMessage="1" sqref="TG393221:TG393244">
      <formula1>項目!C17:$TA$393217</formula1>
    </dataValidation>
    <dataValidation type="list" allowBlank="1" showInputMessage="1" showErrorMessage="1" sqref="ADC393221:ADC393244">
      <formula1>項目!C17:$ACW$393217</formula1>
    </dataValidation>
    <dataValidation type="list" allowBlank="1" showInputMessage="1" showErrorMessage="1" sqref="AMY393221:AMY393244">
      <formula1>項目!C17:$AMS$393217</formula1>
    </dataValidation>
    <dataValidation type="list" allowBlank="1" showInputMessage="1" showErrorMessage="1" sqref="AWU393221:AWU393244">
      <formula1>項目!C17:$AWO$393217</formula1>
    </dataValidation>
    <dataValidation type="list" allowBlank="1" showInputMessage="1" showErrorMessage="1" sqref="BGQ393221:BGQ393244">
      <formula1>項目!C17:$BGK$393217</formula1>
    </dataValidation>
    <dataValidation type="list" allowBlank="1" showInputMessage="1" showErrorMessage="1" sqref="BQM393221:BQM393244">
      <formula1>項目!C17:$BQG$393217</formula1>
    </dataValidation>
    <dataValidation type="list" allowBlank="1" showInputMessage="1" showErrorMessage="1" sqref="CAI393221:CAI393244">
      <formula1>項目!C17:$CAC$393217</formula1>
    </dataValidation>
    <dataValidation type="list" allowBlank="1" showInputMessage="1" showErrorMessage="1" sqref="CKE393221:CKE393244">
      <formula1>項目!C17:$CJY$393217</formula1>
    </dataValidation>
    <dataValidation type="list" allowBlank="1" showInputMessage="1" showErrorMessage="1" sqref="CUA393221:CUA393244">
      <formula1>項目!C17:$CTU$393217</formula1>
    </dataValidation>
    <dataValidation type="list" allowBlank="1" showInputMessage="1" showErrorMessage="1" sqref="DDW393221:DDW393244">
      <formula1>項目!C17:$DDQ$393217</formula1>
    </dataValidation>
    <dataValidation type="list" allowBlank="1" showInputMessage="1" showErrorMessage="1" sqref="DNS393221:DNS393244">
      <formula1>項目!C17:$DNM$393217</formula1>
    </dataValidation>
    <dataValidation type="list" allowBlank="1" showInputMessage="1" showErrorMessage="1" sqref="DXO393221:DXO393244">
      <formula1>項目!C17:$DXI$393217</formula1>
    </dataValidation>
    <dataValidation type="list" allowBlank="1" showInputMessage="1" showErrorMessage="1" sqref="EHK393221:EHK393244">
      <formula1>項目!C17:$EHE$393217</formula1>
    </dataValidation>
    <dataValidation type="list" allowBlank="1" showInputMessage="1" showErrorMessage="1" sqref="ERG393221:ERG393244">
      <formula1>項目!C17:$ERA$393217</formula1>
    </dataValidation>
    <dataValidation type="list" allowBlank="1" showInputMessage="1" showErrorMessage="1" sqref="FBC393221:FBC393244">
      <formula1>項目!C17:$FAW$393217</formula1>
    </dataValidation>
    <dataValidation type="list" allowBlank="1" showInputMessage="1" showErrorMessage="1" sqref="FKY393221:FKY393244">
      <formula1>項目!C17:$FKS$393217</formula1>
    </dataValidation>
    <dataValidation type="list" allowBlank="1" showInputMessage="1" showErrorMessage="1" sqref="FUU393221:FUU393244">
      <formula1>項目!C17:$FUO$393217</formula1>
    </dataValidation>
    <dataValidation type="list" allowBlank="1" showInputMessage="1" showErrorMessage="1" sqref="GEQ393221:GEQ393244">
      <formula1>項目!C17:$GEK$393217</formula1>
    </dataValidation>
    <dataValidation type="list" allowBlank="1" showInputMessage="1" showErrorMessage="1" sqref="GOM393221:GOM393244">
      <formula1>項目!C17:$GOG$393217</formula1>
    </dataValidation>
    <dataValidation type="list" allowBlank="1" showInputMessage="1" showErrorMessage="1" sqref="GYI393221:GYI393244">
      <formula1>項目!C17:$GYC$393217</formula1>
    </dataValidation>
    <dataValidation type="list" allowBlank="1" showInputMessage="1" showErrorMessage="1" sqref="HIE393221:HIE393244">
      <formula1>項目!C17:$HHY$393217</formula1>
    </dataValidation>
    <dataValidation type="list" allowBlank="1" showInputMessage="1" showErrorMessage="1" sqref="HSA393221:HSA393244">
      <formula1>項目!C17:$HRU$393217</formula1>
    </dataValidation>
    <dataValidation type="list" allowBlank="1" showInputMessage="1" showErrorMessage="1" sqref="IBW393221:IBW393244">
      <formula1>項目!C17:$IBQ$393217</formula1>
    </dataValidation>
    <dataValidation type="list" allowBlank="1" showInputMessage="1" showErrorMessage="1" sqref="ILS393221:ILS393244">
      <formula1>項目!C17:$ILM$393217</formula1>
    </dataValidation>
    <dataValidation type="list" allowBlank="1" showInputMessage="1" showErrorMessage="1" sqref="IVO393221:IVO393244">
      <formula1>項目!C17:$IVI$393217</formula1>
    </dataValidation>
    <dataValidation type="list" allowBlank="1" showInputMessage="1" showErrorMessage="1" sqref="JFK393221:JFK393244">
      <formula1>項目!C17:$JFE$393217</formula1>
    </dataValidation>
    <dataValidation type="list" allowBlank="1" showInputMessage="1" showErrorMessage="1" sqref="JPG393221:JPG393244">
      <formula1>項目!C17:$JPA$393217</formula1>
    </dataValidation>
    <dataValidation type="list" allowBlank="1" showInputMessage="1" showErrorMessage="1" sqref="JZC393221:JZC393244">
      <formula1>項目!C17:$JYW$393217</formula1>
    </dataValidation>
    <dataValidation type="list" allowBlank="1" showInputMessage="1" showErrorMessage="1" sqref="KIY393221:KIY393244">
      <formula1>項目!C17:$KIS$393217</formula1>
    </dataValidation>
    <dataValidation type="list" allowBlank="1" showInputMessage="1" showErrorMessage="1" sqref="KSU393221:KSU393244">
      <formula1>項目!C17:$KSO$393217</formula1>
    </dataValidation>
    <dataValidation type="list" allowBlank="1" showInputMessage="1" showErrorMessage="1" sqref="LCQ393221:LCQ393244">
      <formula1>項目!C17:$LCK$393217</formula1>
    </dataValidation>
    <dataValidation type="list" allowBlank="1" showInputMessage="1" showErrorMessage="1" sqref="LMM393221:LMM393244">
      <formula1>項目!C17:$LMG$393217</formula1>
    </dataValidation>
    <dataValidation type="list" allowBlank="1" showInputMessage="1" showErrorMessage="1" sqref="LWI393221:LWI393244">
      <formula1>項目!C17:$LWC$393217</formula1>
    </dataValidation>
    <dataValidation type="list" allowBlank="1" showInputMessage="1" showErrorMessage="1" sqref="MGE393221:MGE393244">
      <formula1>項目!C17:$MFY$393217</formula1>
    </dataValidation>
    <dataValidation type="list" allowBlank="1" showInputMessage="1" showErrorMessage="1" sqref="MQA393221:MQA393244">
      <formula1>項目!C17:$MPU$393217</formula1>
    </dataValidation>
    <dataValidation type="list" allowBlank="1" showInputMessage="1" showErrorMessage="1" sqref="MZW393221:MZW393244">
      <formula1>項目!C17:$MZQ$393217</formula1>
    </dataValidation>
    <dataValidation type="list" allowBlank="1" showInputMessage="1" showErrorMessage="1" sqref="NJS393221:NJS393244">
      <formula1>項目!C17:$NJM$393217</formula1>
    </dataValidation>
    <dataValidation type="list" allowBlank="1" showInputMessage="1" showErrorMessage="1" sqref="NTO393221:NTO393244">
      <formula1>項目!C17:$NTI$393217</formula1>
    </dataValidation>
    <dataValidation type="list" allowBlank="1" showInputMessage="1" showErrorMessage="1" sqref="ODK393221:ODK393244">
      <formula1>項目!C17:$ODE$393217</formula1>
    </dataValidation>
    <dataValidation type="list" allowBlank="1" showInputMessage="1" showErrorMessage="1" sqref="ONG393221:ONG393244">
      <formula1>項目!C17:$ONA$393217</formula1>
    </dataValidation>
    <dataValidation type="list" allowBlank="1" showInputMessage="1" showErrorMessage="1" sqref="OXC393221:OXC393244">
      <formula1>項目!C17:$OWW$393217</formula1>
    </dataValidation>
    <dataValidation type="list" allowBlank="1" showInputMessage="1" showErrorMessage="1" sqref="PGY393221:PGY393244">
      <formula1>項目!C17:$PGS$393217</formula1>
    </dataValidation>
    <dataValidation type="list" allowBlank="1" showInputMessage="1" showErrorMessage="1" sqref="PQU393221:PQU393244">
      <formula1>項目!C17:$PQO$393217</formula1>
    </dataValidation>
    <dataValidation type="list" allowBlank="1" showInputMessage="1" showErrorMessage="1" sqref="QAQ393221:QAQ393244">
      <formula1>項目!C17:$QAK$393217</formula1>
    </dataValidation>
    <dataValidation type="list" allowBlank="1" showInputMessage="1" showErrorMessage="1" sqref="QKM393221:QKM393244">
      <formula1>項目!C17:$QKG$393217</formula1>
    </dataValidation>
    <dataValidation type="list" allowBlank="1" showInputMessage="1" showErrorMessage="1" sqref="QUI393221:QUI393244">
      <formula1>項目!C17:$QUC$393217</formula1>
    </dataValidation>
    <dataValidation type="list" allowBlank="1" showInputMessage="1" showErrorMessage="1" sqref="REE393221:REE393244">
      <formula1>項目!C17:$RDY$393217</formula1>
    </dataValidation>
    <dataValidation type="list" allowBlank="1" showInputMessage="1" showErrorMessage="1" sqref="ROA393221:ROA393244">
      <formula1>項目!C17:$RNU$393217</formula1>
    </dataValidation>
    <dataValidation type="list" allowBlank="1" showInputMessage="1" showErrorMessage="1" sqref="RXW393221:RXW393244">
      <formula1>項目!C17:$RXQ$393217</formula1>
    </dataValidation>
    <dataValidation type="list" allowBlank="1" showInputMessage="1" showErrorMessage="1" sqref="SHS393221:SHS393244">
      <formula1>項目!C17:$SHM$393217</formula1>
    </dataValidation>
    <dataValidation type="list" allowBlank="1" showInputMessage="1" showErrorMessage="1" sqref="SRO393221:SRO393244">
      <formula1>項目!C17:$SRI$393217</formula1>
    </dataValidation>
    <dataValidation type="list" allowBlank="1" showInputMessage="1" showErrorMessage="1" sqref="TBK393221:TBK393244">
      <formula1>項目!C17:$TBE$393217</formula1>
    </dataValidation>
    <dataValidation type="list" allowBlank="1" showInputMessage="1" showErrorMessage="1" sqref="TLG393221:TLG393244">
      <formula1>項目!C17:$TLA$393217</formula1>
    </dataValidation>
    <dataValidation type="list" allowBlank="1" showInputMessage="1" showErrorMessage="1" sqref="TVC393221:TVC393244">
      <formula1>項目!C17:$TUW$393217</formula1>
    </dataValidation>
    <dataValidation type="list" allowBlank="1" showInputMessage="1" showErrorMessage="1" sqref="UEY393221:UEY393244">
      <formula1>項目!C17:$UES$393217</formula1>
    </dataValidation>
    <dataValidation type="list" allowBlank="1" showInputMessage="1" showErrorMessage="1" sqref="UOU393221:UOU393244">
      <formula1>項目!C17:$UOO$393217</formula1>
    </dataValidation>
    <dataValidation type="list" allowBlank="1" showInputMessage="1" showErrorMessage="1" sqref="UYQ393221:UYQ393244">
      <formula1>項目!C17:$UYK$393217</formula1>
    </dataValidation>
    <dataValidation type="list" allowBlank="1" showInputMessage="1" showErrorMessage="1" sqref="VIM393221:VIM393244">
      <formula1>項目!C17:$VIG$393217</formula1>
    </dataValidation>
    <dataValidation type="list" allowBlank="1" showInputMessage="1" showErrorMessage="1" sqref="VSI393221:VSI393244">
      <formula1>項目!C17:$VSC$393217</formula1>
    </dataValidation>
    <dataValidation type="list" allowBlank="1" showInputMessage="1" showErrorMessage="1" sqref="WCE393221:WCE393244">
      <formula1>項目!C17:$WBY$393217</formula1>
    </dataValidation>
    <dataValidation type="list" allowBlank="1" showInputMessage="1" showErrorMessage="1" sqref="WMA393221:WMA393244">
      <formula1>項目!C17:$WLU$393217</formula1>
    </dataValidation>
    <dataValidation type="list" allowBlank="1" showInputMessage="1" showErrorMessage="1" sqref="WVW393221:WVW393244">
      <formula1>項目!C17:$WVQ$393217</formula1>
    </dataValidation>
    <dataValidation type="list" allowBlank="1" showInputMessage="1" showErrorMessage="1" sqref="O458757:O458780">
      <formula1>項目!C17:$J$458753</formula1>
    </dataValidation>
    <dataValidation type="list" allowBlank="1" showInputMessage="1" showErrorMessage="1" sqref="JK458757:JK458780">
      <formula1>項目!C17:$JE$458753</formula1>
    </dataValidation>
    <dataValidation type="list" allowBlank="1" showInputMessage="1" showErrorMessage="1" sqref="TG458757:TG458780">
      <formula1>項目!C17:$TA$458753</formula1>
    </dataValidation>
    <dataValidation type="list" allowBlank="1" showInputMessage="1" showErrorMessage="1" sqref="ADC458757:ADC458780">
      <formula1>項目!C17:$ACW$458753</formula1>
    </dataValidation>
    <dataValidation type="list" allowBlank="1" showInputMessage="1" showErrorMessage="1" sqref="AMY458757:AMY458780">
      <formula1>項目!C17:$AMS$458753</formula1>
    </dataValidation>
    <dataValidation type="list" allowBlank="1" showInputMessage="1" showErrorMessage="1" sqref="AWU458757:AWU458780">
      <formula1>項目!C17:$AWO$458753</formula1>
    </dataValidation>
    <dataValidation type="list" allowBlank="1" showInputMessage="1" showErrorMessage="1" sqref="BGQ458757:BGQ458780">
      <formula1>項目!C17:$BGK$458753</formula1>
    </dataValidation>
    <dataValidation type="list" allowBlank="1" showInputMessage="1" showErrorMessage="1" sqref="BQM458757:BQM458780">
      <formula1>項目!C17:$BQG$458753</formula1>
    </dataValidation>
    <dataValidation type="list" allowBlank="1" showInputMessage="1" showErrorMessage="1" sqref="CAI458757:CAI458780">
      <formula1>項目!C17:$CAC$458753</formula1>
    </dataValidation>
    <dataValidation type="list" allowBlank="1" showInputMessage="1" showErrorMessage="1" sqref="CKE458757:CKE458780">
      <formula1>項目!C17:$CJY$458753</formula1>
    </dataValidation>
    <dataValidation type="list" allowBlank="1" showInputMessage="1" showErrorMessage="1" sqref="CUA458757:CUA458780">
      <formula1>項目!C17:$CTU$458753</formula1>
    </dataValidation>
    <dataValidation type="list" allowBlank="1" showInputMessage="1" showErrorMessage="1" sqref="DDW458757:DDW458780">
      <formula1>項目!C17:$DDQ$458753</formula1>
    </dataValidation>
    <dataValidation type="list" allowBlank="1" showInputMessage="1" showErrorMessage="1" sqref="DNS458757:DNS458780">
      <formula1>項目!C17:$DNM$458753</formula1>
    </dataValidation>
    <dataValidation type="list" allowBlank="1" showInputMessage="1" showErrorMessage="1" sqref="DXO458757:DXO458780">
      <formula1>項目!C17:$DXI$458753</formula1>
    </dataValidation>
    <dataValidation type="list" allowBlank="1" showInputMessage="1" showErrorMessage="1" sqref="EHK458757:EHK458780">
      <formula1>項目!C17:$EHE$458753</formula1>
    </dataValidation>
    <dataValidation type="list" allowBlank="1" showInputMessage="1" showErrorMessage="1" sqref="ERG458757:ERG458780">
      <formula1>項目!C17:$ERA$458753</formula1>
    </dataValidation>
    <dataValidation type="list" allowBlank="1" showInputMessage="1" showErrorMessage="1" sqref="FBC458757:FBC458780">
      <formula1>項目!C17:$FAW$458753</formula1>
    </dataValidation>
    <dataValidation type="list" allowBlank="1" showInputMessage="1" showErrorMessage="1" sqref="FKY458757:FKY458780">
      <formula1>項目!C17:$FKS$458753</formula1>
    </dataValidation>
    <dataValidation type="list" allowBlank="1" showInputMessage="1" showErrorMessage="1" sqref="FUU458757:FUU458780">
      <formula1>項目!C17:$FUO$458753</formula1>
    </dataValidation>
    <dataValidation type="list" allowBlank="1" showInputMessage="1" showErrorMessage="1" sqref="GEQ458757:GEQ458780">
      <formula1>項目!C17:$GEK$458753</formula1>
    </dataValidation>
    <dataValidation type="list" allowBlank="1" showInputMessage="1" showErrorMessage="1" sqref="GOM458757:GOM458780">
      <formula1>項目!C17:$GOG$458753</formula1>
    </dataValidation>
    <dataValidation type="list" allowBlank="1" showInputMessage="1" showErrorMessage="1" sqref="GYI458757:GYI458780">
      <formula1>項目!C17:$GYC$458753</formula1>
    </dataValidation>
    <dataValidation type="list" allowBlank="1" showInputMessage="1" showErrorMessage="1" sqref="HIE458757:HIE458780">
      <formula1>項目!C17:$HHY$458753</formula1>
    </dataValidation>
    <dataValidation type="list" allowBlank="1" showInputMessage="1" showErrorMessage="1" sqref="HSA458757:HSA458780">
      <formula1>項目!C17:$HRU$458753</formula1>
    </dataValidation>
    <dataValidation type="list" allowBlank="1" showInputMessage="1" showErrorMessage="1" sqref="IBW458757:IBW458780">
      <formula1>項目!C17:$IBQ$458753</formula1>
    </dataValidation>
    <dataValidation type="list" allowBlank="1" showInputMessage="1" showErrorMessage="1" sqref="ILS458757:ILS458780">
      <formula1>項目!C17:$ILM$458753</formula1>
    </dataValidation>
    <dataValidation type="list" allowBlank="1" showInputMessage="1" showErrorMessage="1" sqref="IVO458757:IVO458780">
      <formula1>項目!C17:$IVI$458753</formula1>
    </dataValidation>
    <dataValidation type="list" allowBlank="1" showInputMessage="1" showErrorMessage="1" sqref="JFK458757:JFK458780">
      <formula1>項目!C17:$JFE$458753</formula1>
    </dataValidation>
    <dataValidation type="list" allowBlank="1" showInputMessage="1" showErrorMessage="1" sqref="JPG458757:JPG458780">
      <formula1>項目!C17:$JPA$458753</formula1>
    </dataValidation>
    <dataValidation type="list" allowBlank="1" showInputMessage="1" showErrorMessage="1" sqref="JZC458757:JZC458780">
      <formula1>項目!C17:$JYW$458753</formula1>
    </dataValidation>
    <dataValidation type="list" allowBlank="1" showInputMessage="1" showErrorMessage="1" sqref="KIY458757:KIY458780">
      <formula1>項目!C17:$KIS$458753</formula1>
    </dataValidation>
    <dataValidation type="list" allowBlank="1" showInputMessage="1" showErrorMessage="1" sqref="KSU458757:KSU458780">
      <formula1>項目!C17:$KSO$458753</formula1>
    </dataValidation>
    <dataValidation type="list" allowBlank="1" showInputMessage="1" showErrorMessage="1" sqref="LCQ458757:LCQ458780">
      <formula1>項目!C17:$LCK$458753</formula1>
    </dataValidation>
    <dataValidation type="list" allowBlank="1" showInputMessage="1" showErrorMessage="1" sqref="LMM458757:LMM458780">
      <formula1>項目!C17:$LMG$458753</formula1>
    </dataValidation>
    <dataValidation type="list" allowBlank="1" showInputMessage="1" showErrorMessage="1" sqref="LWI458757:LWI458780">
      <formula1>項目!C17:$LWC$458753</formula1>
    </dataValidation>
    <dataValidation type="list" allowBlank="1" showInputMessage="1" showErrorMessage="1" sqref="MGE458757:MGE458780">
      <formula1>項目!C17:$MFY$458753</formula1>
    </dataValidation>
    <dataValidation type="list" allowBlank="1" showInputMessage="1" showErrorMessage="1" sqref="MQA458757:MQA458780">
      <formula1>項目!C17:$MPU$458753</formula1>
    </dataValidation>
    <dataValidation type="list" allowBlank="1" showInputMessage="1" showErrorMessage="1" sqref="MZW458757:MZW458780">
      <formula1>項目!C17:$MZQ$458753</formula1>
    </dataValidation>
    <dataValidation type="list" allowBlank="1" showInputMessage="1" showErrorMessage="1" sqref="NJS458757:NJS458780">
      <formula1>項目!C17:$NJM$458753</formula1>
    </dataValidation>
    <dataValidation type="list" allowBlank="1" showInputMessage="1" showErrorMessage="1" sqref="NTO458757:NTO458780">
      <formula1>項目!C17:$NTI$458753</formula1>
    </dataValidation>
    <dataValidation type="list" allowBlank="1" showInputMessage="1" showErrorMessage="1" sqref="ODK458757:ODK458780">
      <formula1>項目!C17:$ODE$458753</formula1>
    </dataValidation>
    <dataValidation type="list" allowBlank="1" showInputMessage="1" showErrorMessage="1" sqref="ONG458757:ONG458780">
      <formula1>項目!C17:$ONA$458753</formula1>
    </dataValidation>
    <dataValidation type="list" allowBlank="1" showInputMessage="1" showErrorMessage="1" sqref="OXC458757:OXC458780">
      <formula1>項目!C17:$OWW$458753</formula1>
    </dataValidation>
    <dataValidation type="list" allowBlank="1" showInputMessage="1" showErrorMessage="1" sqref="PGY458757:PGY458780">
      <formula1>項目!C17:$PGS$458753</formula1>
    </dataValidation>
    <dataValidation type="list" allowBlank="1" showInputMessage="1" showErrorMessage="1" sqref="PQU458757:PQU458780">
      <formula1>項目!C17:$PQO$458753</formula1>
    </dataValidation>
    <dataValidation type="list" allowBlank="1" showInputMessage="1" showErrorMessage="1" sqref="QAQ458757:QAQ458780">
      <formula1>項目!C17:$QAK$458753</formula1>
    </dataValidation>
    <dataValidation type="list" allowBlank="1" showInputMessage="1" showErrorMessage="1" sqref="QKM458757:QKM458780">
      <formula1>項目!C17:$QKG$458753</formula1>
    </dataValidation>
    <dataValidation type="list" allowBlank="1" showInputMessage="1" showErrorMessage="1" sqref="QUI458757:QUI458780">
      <formula1>項目!C17:$QUC$458753</formula1>
    </dataValidation>
    <dataValidation type="list" allowBlank="1" showInputMessage="1" showErrorMessage="1" sqref="REE458757:REE458780">
      <formula1>項目!C17:$RDY$458753</formula1>
    </dataValidation>
    <dataValidation type="list" allowBlank="1" showInputMessage="1" showErrorMessage="1" sqref="ROA458757:ROA458780">
      <formula1>項目!C17:$RNU$458753</formula1>
    </dataValidation>
    <dataValidation type="list" allowBlank="1" showInputMessage="1" showErrorMessage="1" sqref="RXW458757:RXW458780">
      <formula1>項目!C17:$RXQ$458753</formula1>
    </dataValidation>
    <dataValidation type="list" allowBlank="1" showInputMessage="1" showErrorMessage="1" sqref="SHS458757:SHS458780">
      <formula1>項目!C17:$SHM$458753</formula1>
    </dataValidation>
    <dataValidation type="list" allowBlank="1" showInputMessage="1" showErrorMessage="1" sqref="SRO458757:SRO458780">
      <formula1>項目!C17:$SRI$458753</formula1>
    </dataValidation>
    <dataValidation type="list" allowBlank="1" showInputMessage="1" showErrorMessage="1" sqref="TBK458757:TBK458780">
      <formula1>項目!C17:$TBE$458753</formula1>
    </dataValidation>
    <dataValidation type="list" allowBlank="1" showInputMessage="1" showErrorMessage="1" sqref="TLG458757:TLG458780">
      <formula1>項目!C17:$TLA$458753</formula1>
    </dataValidation>
    <dataValidation type="list" allowBlank="1" showInputMessage="1" showErrorMessage="1" sqref="TVC458757:TVC458780">
      <formula1>項目!C17:$TUW$458753</formula1>
    </dataValidation>
    <dataValidation type="list" allowBlank="1" showInputMessage="1" showErrorMessage="1" sqref="UEY458757:UEY458780">
      <formula1>項目!C17:$UES$458753</formula1>
    </dataValidation>
    <dataValidation type="list" allowBlank="1" showInputMessage="1" showErrorMessage="1" sqref="UOU458757:UOU458780">
      <formula1>項目!C17:$UOO$458753</formula1>
    </dataValidation>
    <dataValidation type="list" allowBlank="1" showInputMessage="1" showErrorMessage="1" sqref="UYQ458757:UYQ458780">
      <formula1>項目!C17:$UYK$458753</formula1>
    </dataValidation>
    <dataValidation type="list" allowBlank="1" showInputMessage="1" showErrorMessage="1" sqref="VIM458757:VIM458780">
      <formula1>項目!C17:$VIG$458753</formula1>
    </dataValidation>
    <dataValidation type="list" allowBlank="1" showInputMessage="1" showErrorMessage="1" sqref="VSI458757:VSI458780">
      <formula1>項目!C17:$VSC$458753</formula1>
    </dataValidation>
    <dataValidation type="list" allowBlank="1" showInputMessage="1" showErrorMessage="1" sqref="WCE458757:WCE458780">
      <formula1>項目!C17:$WBY$458753</formula1>
    </dataValidation>
    <dataValidation type="list" allowBlank="1" showInputMessage="1" showErrorMessage="1" sqref="WMA458757:WMA458780">
      <formula1>項目!C17:$WLU$458753</formula1>
    </dataValidation>
    <dataValidation type="list" allowBlank="1" showInputMessage="1" showErrorMessage="1" sqref="WVW458757:WVW458780">
      <formula1>項目!C17:$WVQ$458753</formula1>
    </dataValidation>
    <dataValidation type="list" allowBlank="1" showInputMessage="1" showErrorMessage="1" sqref="O524293:O524316">
      <formula1>項目!C17:$J$524289</formula1>
    </dataValidation>
    <dataValidation type="list" allowBlank="1" showInputMessage="1" showErrorMessage="1" sqref="JK524293:JK524316">
      <formula1>項目!C17:$JE$524289</formula1>
    </dataValidation>
    <dataValidation type="list" allowBlank="1" showInputMessage="1" showErrorMessage="1" sqref="TG524293:TG524316">
      <formula1>項目!C17:$TA$524289</formula1>
    </dataValidation>
    <dataValidation type="list" allowBlank="1" showInputMessage="1" showErrorMessage="1" sqref="ADC524293:ADC524316">
      <formula1>項目!C17:$ACW$524289</formula1>
    </dataValidation>
    <dataValidation type="list" allowBlank="1" showInputMessage="1" showErrorMessage="1" sqref="AMY524293:AMY524316">
      <formula1>項目!C17:$AMS$524289</formula1>
    </dataValidation>
    <dataValidation type="list" allowBlank="1" showInputMessage="1" showErrorMessage="1" sqref="AWU524293:AWU524316">
      <formula1>項目!C17:$AWO$524289</formula1>
    </dataValidation>
    <dataValidation type="list" allowBlank="1" showInputMessage="1" showErrorMessage="1" sqref="BGQ524293:BGQ524316">
      <formula1>項目!C17:$BGK$524289</formula1>
    </dataValidation>
    <dataValidation type="list" allowBlank="1" showInputMessage="1" showErrorMessage="1" sqref="BQM524293:BQM524316">
      <formula1>項目!C17:$BQG$524289</formula1>
    </dataValidation>
    <dataValidation type="list" allowBlank="1" showInputMessage="1" showErrorMessage="1" sqref="CAI524293:CAI524316">
      <formula1>項目!C17:$CAC$524289</formula1>
    </dataValidation>
    <dataValidation type="list" allowBlank="1" showInputMessage="1" showErrorMessage="1" sqref="CKE524293:CKE524316">
      <formula1>項目!C17:$CJY$524289</formula1>
    </dataValidation>
    <dataValidation type="list" allowBlank="1" showInputMessage="1" showErrorMessage="1" sqref="CUA524293:CUA524316">
      <formula1>項目!C17:$CTU$524289</formula1>
    </dataValidation>
    <dataValidation type="list" allowBlank="1" showInputMessage="1" showErrorMessage="1" sqref="DDW524293:DDW524316">
      <formula1>項目!C17:$DDQ$524289</formula1>
    </dataValidation>
    <dataValidation type="list" allowBlank="1" showInputMessage="1" showErrorMessage="1" sqref="DNS524293:DNS524316">
      <formula1>項目!C17:$DNM$524289</formula1>
    </dataValidation>
    <dataValidation type="list" allowBlank="1" showInputMessage="1" showErrorMessage="1" sqref="DXO524293:DXO524316">
      <formula1>項目!C17:$DXI$524289</formula1>
    </dataValidation>
    <dataValidation type="list" allowBlank="1" showInputMessage="1" showErrorMessage="1" sqref="EHK524293:EHK524316">
      <formula1>項目!C17:$EHE$524289</formula1>
    </dataValidation>
    <dataValidation type="list" allowBlank="1" showInputMessage="1" showErrorMessage="1" sqref="ERG524293:ERG524316">
      <formula1>項目!C17:$ERA$524289</formula1>
    </dataValidation>
    <dataValidation type="list" allowBlank="1" showInputMessage="1" showErrorMessage="1" sqref="FBC524293:FBC524316">
      <formula1>項目!C17:$FAW$524289</formula1>
    </dataValidation>
    <dataValidation type="list" allowBlank="1" showInputMessage="1" showErrorMessage="1" sqref="FKY524293:FKY524316">
      <formula1>項目!C17:$FKS$524289</formula1>
    </dataValidation>
    <dataValidation type="list" allowBlank="1" showInputMessage="1" showErrorMessage="1" sqref="FUU524293:FUU524316">
      <formula1>項目!C17:$FUO$524289</formula1>
    </dataValidation>
    <dataValidation type="list" allowBlank="1" showInputMessage="1" showErrorMessage="1" sqref="GEQ524293:GEQ524316">
      <formula1>項目!C17:$GEK$524289</formula1>
    </dataValidation>
    <dataValidation type="list" allowBlank="1" showInputMessage="1" showErrorMessage="1" sqref="GOM524293:GOM524316">
      <formula1>項目!C17:$GOG$524289</formula1>
    </dataValidation>
    <dataValidation type="list" allowBlank="1" showInputMessage="1" showErrorMessage="1" sqref="GYI524293:GYI524316">
      <formula1>項目!C17:$GYC$524289</formula1>
    </dataValidation>
    <dataValidation type="list" allowBlank="1" showInputMessage="1" showErrorMessage="1" sqref="HIE524293:HIE524316">
      <formula1>項目!C17:$HHY$524289</formula1>
    </dataValidation>
    <dataValidation type="list" allowBlank="1" showInputMessage="1" showErrorMessage="1" sqref="HSA524293:HSA524316">
      <formula1>項目!C17:$HRU$524289</formula1>
    </dataValidation>
    <dataValidation type="list" allowBlank="1" showInputMessage="1" showErrorMessage="1" sqref="IBW524293:IBW524316">
      <formula1>項目!C17:$IBQ$524289</formula1>
    </dataValidation>
    <dataValidation type="list" allowBlank="1" showInputMessage="1" showErrorMessage="1" sqref="ILS524293:ILS524316">
      <formula1>項目!C17:$ILM$524289</formula1>
    </dataValidation>
    <dataValidation type="list" allowBlank="1" showInputMessage="1" showErrorMessage="1" sqref="IVO524293:IVO524316">
      <formula1>項目!C17:$IVI$524289</formula1>
    </dataValidation>
    <dataValidation type="list" allowBlank="1" showInputMessage="1" showErrorMessage="1" sqref="JFK524293:JFK524316">
      <formula1>項目!C17:$JFE$524289</formula1>
    </dataValidation>
    <dataValidation type="list" allowBlank="1" showInputMessage="1" showErrorMessage="1" sqref="JPG524293:JPG524316">
      <formula1>項目!C17:$JPA$524289</formula1>
    </dataValidation>
    <dataValidation type="list" allowBlank="1" showInputMessage="1" showErrorMessage="1" sqref="JZC524293:JZC524316">
      <formula1>項目!C17:$JYW$524289</formula1>
    </dataValidation>
    <dataValidation type="list" allowBlank="1" showInputMessage="1" showErrorMessage="1" sqref="KIY524293:KIY524316">
      <formula1>項目!C17:$KIS$524289</formula1>
    </dataValidation>
    <dataValidation type="list" allowBlank="1" showInputMessage="1" showErrorMessage="1" sqref="KSU524293:KSU524316">
      <formula1>項目!C17:$KSO$524289</formula1>
    </dataValidation>
    <dataValidation type="list" allowBlank="1" showInputMessage="1" showErrorMessage="1" sqref="LCQ524293:LCQ524316">
      <formula1>項目!C17:$LCK$524289</formula1>
    </dataValidation>
    <dataValidation type="list" allowBlank="1" showInputMessage="1" showErrorMessage="1" sqref="LMM524293:LMM524316">
      <formula1>項目!C17:$LMG$524289</formula1>
    </dataValidation>
    <dataValidation type="list" allowBlank="1" showInputMessage="1" showErrorMessage="1" sqref="LWI524293:LWI524316">
      <formula1>項目!C17:$LWC$524289</formula1>
    </dataValidation>
    <dataValidation type="list" allowBlank="1" showInputMessage="1" showErrorMessage="1" sqref="MGE524293:MGE524316">
      <formula1>項目!C17:$MFY$524289</formula1>
    </dataValidation>
    <dataValidation type="list" allowBlank="1" showInputMessage="1" showErrorMessage="1" sqref="MQA524293:MQA524316">
      <formula1>項目!C17:$MPU$524289</formula1>
    </dataValidation>
    <dataValidation type="list" allowBlank="1" showInputMessage="1" showErrorMessage="1" sqref="MZW524293:MZW524316">
      <formula1>項目!C17:$MZQ$524289</formula1>
    </dataValidation>
    <dataValidation type="list" allowBlank="1" showInputMessage="1" showErrorMessage="1" sqref="NJS524293:NJS524316">
      <formula1>項目!C17:$NJM$524289</formula1>
    </dataValidation>
    <dataValidation type="list" allowBlank="1" showInputMessage="1" showErrorMessage="1" sqref="NTO524293:NTO524316">
      <formula1>項目!C17:$NTI$524289</formula1>
    </dataValidation>
    <dataValidation type="list" allowBlank="1" showInputMessage="1" showErrorMessage="1" sqref="ODK524293:ODK524316">
      <formula1>項目!C17:$ODE$524289</formula1>
    </dataValidation>
    <dataValidation type="list" allowBlank="1" showInputMessage="1" showErrorMessage="1" sqref="ONG524293:ONG524316">
      <formula1>項目!C17:$ONA$524289</formula1>
    </dataValidation>
    <dataValidation type="list" allowBlank="1" showInputMessage="1" showErrorMessage="1" sqref="OXC524293:OXC524316">
      <formula1>項目!C17:$OWW$524289</formula1>
    </dataValidation>
    <dataValidation type="list" allowBlank="1" showInputMessage="1" showErrorMessage="1" sqref="PGY524293:PGY524316">
      <formula1>項目!C17:$PGS$524289</formula1>
    </dataValidation>
    <dataValidation type="list" allowBlank="1" showInputMessage="1" showErrorMessage="1" sqref="PQU524293:PQU524316">
      <formula1>項目!C17:$PQO$524289</formula1>
    </dataValidation>
    <dataValidation type="list" allowBlank="1" showInputMessage="1" showErrorMessage="1" sqref="QAQ524293:QAQ524316">
      <formula1>項目!C17:$QAK$524289</formula1>
    </dataValidation>
    <dataValidation type="list" allowBlank="1" showInputMessage="1" showErrorMessage="1" sqref="QKM524293:QKM524316">
      <formula1>項目!C17:$QKG$524289</formula1>
    </dataValidation>
    <dataValidation type="list" allowBlank="1" showInputMessage="1" showErrorMessage="1" sqref="QUI524293:QUI524316">
      <formula1>項目!C17:$QUC$524289</formula1>
    </dataValidation>
    <dataValidation type="list" allowBlank="1" showInputMessage="1" showErrorMessage="1" sqref="REE524293:REE524316">
      <formula1>項目!C17:$RDY$524289</formula1>
    </dataValidation>
    <dataValidation type="list" allowBlank="1" showInputMessage="1" showErrorMessage="1" sqref="ROA524293:ROA524316">
      <formula1>項目!C17:$RNU$524289</formula1>
    </dataValidation>
    <dataValidation type="list" allowBlank="1" showInputMessage="1" showErrorMessage="1" sqref="RXW524293:RXW524316">
      <formula1>項目!C17:$RXQ$524289</formula1>
    </dataValidation>
    <dataValidation type="list" allowBlank="1" showInputMessage="1" showErrorMessage="1" sqref="SHS524293:SHS524316">
      <formula1>項目!C17:$SHM$524289</formula1>
    </dataValidation>
    <dataValidation type="list" allowBlank="1" showInputMessage="1" showErrorMessage="1" sqref="SRO524293:SRO524316">
      <formula1>項目!C17:$SRI$524289</formula1>
    </dataValidation>
    <dataValidation type="list" allowBlank="1" showInputMessage="1" showErrorMessage="1" sqref="TBK524293:TBK524316">
      <formula1>項目!C17:$TBE$524289</formula1>
    </dataValidation>
    <dataValidation type="list" allowBlank="1" showInputMessage="1" showErrorMessage="1" sqref="TLG524293:TLG524316">
      <formula1>項目!C17:$TLA$524289</formula1>
    </dataValidation>
    <dataValidation type="list" allowBlank="1" showInputMessage="1" showErrorMessage="1" sqref="TVC524293:TVC524316">
      <formula1>項目!C17:$TUW$524289</formula1>
    </dataValidation>
    <dataValidation type="list" allowBlank="1" showInputMessage="1" showErrorMessage="1" sqref="UEY524293:UEY524316">
      <formula1>項目!C17:$UES$524289</formula1>
    </dataValidation>
    <dataValidation type="list" allowBlank="1" showInputMessage="1" showErrorMessage="1" sqref="UOU524293:UOU524316">
      <formula1>項目!C17:$UOO$524289</formula1>
    </dataValidation>
    <dataValidation type="list" allowBlank="1" showInputMessage="1" showErrorMessage="1" sqref="UYQ524293:UYQ524316">
      <formula1>項目!C17:$UYK$524289</formula1>
    </dataValidation>
    <dataValidation type="list" allowBlank="1" showInputMessage="1" showErrorMessage="1" sqref="VIM524293:VIM524316">
      <formula1>項目!C17:$VIG$524289</formula1>
    </dataValidation>
    <dataValidation type="list" allowBlank="1" showInputMessage="1" showErrorMessage="1" sqref="VSI524293:VSI524316">
      <formula1>項目!C17:$VSC$524289</formula1>
    </dataValidation>
    <dataValidation type="list" allowBlank="1" showInputMessage="1" showErrorMessage="1" sqref="WCE524293:WCE524316">
      <formula1>項目!C17:$WBY$524289</formula1>
    </dataValidation>
    <dataValidation type="list" allowBlank="1" showInputMessage="1" showErrorMessage="1" sqref="WMA524293:WMA524316">
      <formula1>項目!C17:$WLU$524289</formula1>
    </dataValidation>
    <dataValidation type="list" allowBlank="1" showInputMessage="1" showErrorMessage="1" sqref="WVW524293:WVW524316">
      <formula1>項目!C17:$WVQ$524289</formula1>
    </dataValidation>
    <dataValidation type="list" allowBlank="1" showInputMessage="1" showErrorMessage="1" sqref="O589829:O589852">
      <formula1>項目!C17:$J$589825</formula1>
    </dataValidation>
    <dataValidation type="list" allowBlank="1" showInputMessage="1" showErrorMessage="1" sqref="JK589829:JK589852">
      <formula1>項目!C17:$JE$589825</formula1>
    </dataValidation>
    <dataValidation type="list" allowBlank="1" showInputMessage="1" showErrorMessage="1" sqref="TG589829:TG589852">
      <formula1>項目!C17:$TA$589825</formula1>
    </dataValidation>
    <dataValidation type="list" allowBlank="1" showInputMessage="1" showErrorMessage="1" sqref="ADC589829:ADC589852">
      <formula1>項目!C17:$ACW$589825</formula1>
    </dataValidation>
    <dataValidation type="list" allowBlank="1" showInputMessage="1" showErrorMessage="1" sqref="AMY589829:AMY589852">
      <formula1>項目!C17:$AMS$589825</formula1>
    </dataValidation>
    <dataValidation type="list" allowBlank="1" showInputMessage="1" showErrorMessage="1" sqref="AWU589829:AWU589852">
      <formula1>項目!C17:$AWO$589825</formula1>
    </dataValidation>
    <dataValidation type="list" allowBlank="1" showInputMessage="1" showErrorMessage="1" sqref="BGQ589829:BGQ589852">
      <formula1>項目!C17:$BGK$589825</formula1>
    </dataValidation>
    <dataValidation type="list" allowBlank="1" showInputMessage="1" showErrorMessage="1" sqref="BQM589829:BQM589852">
      <formula1>項目!C17:$BQG$589825</formula1>
    </dataValidation>
    <dataValidation type="list" allowBlank="1" showInputMessage="1" showErrorMessage="1" sqref="CAI589829:CAI589852">
      <formula1>項目!C17:$CAC$589825</formula1>
    </dataValidation>
    <dataValidation type="list" allowBlank="1" showInputMessage="1" showErrorMessage="1" sqref="CKE589829:CKE589852">
      <formula1>項目!C17:$CJY$589825</formula1>
    </dataValidation>
    <dataValidation type="list" allowBlank="1" showInputMessage="1" showErrorMessage="1" sqref="CUA589829:CUA589852">
      <formula1>項目!C17:$CTU$589825</formula1>
    </dataValidation>
    <dataValidation type="list" allowBlank="1" showInputMessage="1" showErrorMessage="1" sqref="DDW589829:DDW589852">
      <formula1>項目!C17:$DDQ$589825</formula1>
    </dataValidation>
    <dataValidation type="list" allowBlank="1" showInputMessage="1" showErrorMessage="1" sqref="DNS589829:DNS589852">
      <formula1>項目!C17:$DNM$589825</formula1>
    </dataValidation>
    <dataValidation type="list" allowBlank="1" showInputMessage="1" showErrorMessage="1" sqref="DXO589829:DXO589852">
      <formula1>項目!C17:$DXI$589825</formula1>
    </dataValidation>
    <dataValidation type="list" allowBlank="1" showInputMessage="1" showErrorMessage="1" sqref="EHK589829:EHK589852">
      <formula1>項目!C17:$EHE$589825</formula1>
    </dataValidation>
    <dataValidation type="list" allowBlank="1" showInputMessage="1" showErrorMessage="1" sqref="ERG589829:ERG589852">
      <formula1>項目!C17:$ERA$589825</formula1>
    </dataValidation>
    <dataValidation type="list" allowBlank="1" showInputMessage="1" showErrorMessage="1" sqref="FBC589829:FBC589852">
      <formula1>項目!C17:$FAW$589825</formula1>
    </dataValidation>
    <dataValidation type="list" allowBlank="1" showInputMessage="1" showErrorMessage="1" sqref="FKY589829:FKY589852">
      <formula1>項目!C17:$FKS$589825</formula1>
    </dataValidation>
    <dataValidation type="list" allowBlank="1" showInputMessage="1" showErrorMessage="1" sqref="FUU589829:FUU589852">
      <formula1>項目!C17:$FUO$589825</formula1>
    </dataValidation>
    <dataValidation type="list" allowBlank="1" showInputMessage="1" showErrorMessage="1" sqref="GEQ589829:GEQ589852">
      <formula1>項目!C17:$GEK$589825</formula1>
    </dataValidation>
    <dataValidation type="list" allowBlank="1" showInputMessage="1" showErrorMessage="1" sqref="GOM589829:GOM589852">
      <formula1>項目!C17:$GOG$589825</formula1>
    </dataValidation>
    <dataValidation type="list" allowBlank="1" showInputMessage="1" showErrorMessage="1" sqref="GYI589829:GYI589852">
      <formula1>項目!C17:$GYC$589825</formula1>
    </dataValidation>
    <dataValidation type="list" allowBlank="1" showInputMessage="1" showErrorMessage="1" sqref="HIE589829:HIE589852">
      <formula1>項目!C17:$HHY$589825</formula1>
    </dataValidation>
    <dataValidation type="list" allowBlank="1" showInputMessage="1" showErrorMessage="1" sqref="HSA589829:HSA589852">
      <formula1>項目!C17:$HRU$589825</formula1>
    </dataValidation>
    <dataValidation type="list" allowBlank="1" showInputMessage="1" showErrorMessage="1" sqref="IBW589829:IBW589852">
      <formula1>項目!C17:$IBQ$589825</formula1>
    </dataValidation>
    <dataValidation type="list" allowBlank="1" showInputMessage="1" showErrorMessage="1" sqref="ILS589829:ILS589852">
      <formula1>項目!C17:$ILM$589825</formula1>
    </dataValidation>
    <dataValidation type="list" allowBlank="1" showInputMessage="1" showErrorMessage="1" sqref="IVO589829:IVO589852">
      <formula1>項目!C17:$IVI$589825</formula1>
    </dataValidation>
    <dataValidation type="list" allowBlank="1" showInputMessage="1" showErrorMessage="1" sqref="JFK589829:JFK589852">
      <formula1>項目!C17:$JFE$589825</formula1>
    </dataValidation>
    <dataValidation type="list" allowBlank="1" showInputMessage="1" showErrorMessage="1" sqref="JPG589829:JPG589852">
      <formula1>項目!C17:$JPA$589825</formula1>
    </dataValidation>
    <dataValidation type="list" allowBlank="1" showInputMessage="1" showErrorMessage="1" sqref="JZC589829:JZC589852">
      <formula1>項目!C17:$JYW$589825</formula1>
    </dataValidation>
    <dataValidation type="list" allowBlank="1" showInputMessage="1" showErrorMessage="1" sqref="KIY589829:KIY589852">
      <formula1>項目!C17:$KIS$589825</formula1>
    </dataValidation>
    <dataValidation type="list" allowBlank="1" showInputMessage="1" showErrorMessage="1" sqref="KSU589829:KSU589852">
      <formula1>項目!C17:$KSO$589825</formula1>
    </dataValidation>
    <dataValidation type="list" allowBlank="1" showInputMessage="1" showErrorMessage="1" sqref="LCQ589829:LCQ589852">
      <formula1>項目!C17:$LCK$589825</formula1>
    </dataValidation>
    <dataValidation type="list" allowBlank="1" showInputMessage="1" showErrorMessage="1" sqref="LMM589829:LMM589852">
      <formula1>項目!C17:$LMG$589825</formula1>
    </dataValidation>
    <dataValidation type="list" allowBlank="1" showInputMessage="1" showErrorMessage="1" sqref="LWI589829:LWI589852">
      <formula1>項目!C17:$LWC$589825</formula1>
    </dataValidation>
    <dataValidation type="list" allowBlank="1" showInputMessage="1" showErrorMessage="1" sqref="MGE589829:MGE589852">
      <formula1>項目!C17:$MFY$589825</formula1>
    </dataValidation>
    <dataValidation type="list" allowBlank="1" showInputMessage="1" showErrorMessage="1" sqref="MQA589829:MQA589852">
      <formula1>項目!C17:$MPU$589825</formula1>
    </dataValidation>
    <dataValidation type="list" allowBlank="1" showInputMessage="1" showErrorMessage="1" sqref="MZW589829:MZW589852">
      <formula1>項目!C17:$MZQ$589825</formula1>
    </dataValidation>
    <dataValidation type="list" allowBlank="1" showInputMessage="1" showErrorMessage="1" sqref="NJS589829:NJS589852">
      <formula1>項目!C17:$NJM$589825</formula1>
    </dataValidation>
    <dataValidation type="list" allowBlank="1" showInputMessage="1" showErrorMessage="1" sqref="NTO589829:NTO589852">
      <formula1>項目!C17:$NTI$589825</formula1>
    </dataValidation>
    <dataValidation type="list" allowBlank="1" showInputMessage="1" showErrorMessage="1" sqref="ODK589829:ODK589852">
      <formula1>項目!C17:$ODE$589825</formula1>
    </dataValidation>
    <dataValidation type="list" allowBlank="1" showInputMessage="1" showErrorMessage="1" sqref="ONG589829:ONG589852">
      <formula1>項目!C17:$ONA$589825</formula1>
    </dataValidation>
    <dataValidation type="list" allowBlank="1" showInputMessage="1" showErrorMessage="1" sqref="OXC589829:OXC589852">
      <formula1>項目!C17:$OWW$589825</formula1>
    </dataValidation>
    <dataValidation type="list" allowBlank="1" showInputMessage="1" showErrorMessage="1" sqref="PGY589829:PGY589852">
      <formula1>項目!C17:$PGS$589825</formula1>
    </dataValidation>
    <dataValidation type="list" allowBlank="1" showInputMessage="1" showErrorMessage="1" sqref="PQU589829:PQU589852">
      <formula1>項目!C17:$PQO$589825</formula1>
    </dataValidation>
    <dataValidation type="list" allowBlank="1" showInputMessage="1" showErrorMessage="1" sqref="QAQ589829:QAQ589852">
      <formula1>項目!C17:$QAK$589825</formula1>
    </dataValidation>
    <dataValidation type="list" allowBlank="1" showInputMessage="1" showErrorMessage="1" sqref="QKM589829:QKM589852">
      <formula1>項目!C17:$QKG$589825</formula1>
    </dataValidation>
    <dataValidation type="list" allowBlank="1" showInputMessage="1" showErrorMessage="1" sqref="QUI589829:QUI589852">
      <formula1>項目!C17:$QUC$589825</formula1>
    </dataValidation>
    <dataValidation type="list" allowBlank="1" showInputMessage="1" showErrorMessage="1" sqref="REE589829:REE589852">
      <formula1>項目!C17:$RDY$589825</formula1>
    </dataValidation>
    <dataValidation type="list" allowBlank="1" showInputMessage="1" showErrorMessage="1" sqref="ROA589829:ROA589852">
      <formula1>項目!C17:$RNU$589825</formula1>
    </dataValidation>
    <dataValidation type="list" allowBlank="1" showInputMessage="1" showErrorMessage="1" sqref="RXW589829:RXW589852">
      <formula1>項目!C17:$RXQ$589825</formula1>
    </dataValidation>
    <dataValidation type="list" allowBlank="1" showInputMessage="1" showErrorMessage="1" sqref="SHS589829:SHS589852">
      <formula1>項目!C17:$SHM$589825</formula1>
    </dataValidation>
    <dataValidation type="list" allowBlank="1" showInputMessage="1" showErrorMessage="1" sqref="SRO589829:SRO589852">
      <formula1>項目!C17:$SRI$589825</formula1>
    </dataValidation>
    <dataValidation type="list" allowBlank="1" showInputMessage="1" showErrorMessage="1" sqref="TBK589829:TBK589852">
      <formula1>項目!C17:$TBE$589825</formula1>
    </dataValidation>
    <dataValidation type="list" allowBlank="1" showInputMessage="1" showErrorMessage="1" sqref="TLG589829:TLG589852">
      <formula1>項目!C17:$TLA$589825</formula1>
    </dataValidation>
    <dataValidation type="list" allowBlank="1" showInputMessage="1" showErrorMessage="1" sqref="TVC589829:TVC589852">
      <formula1>項目!C17:$TUW$589825</formula1>
    </dataValidation>
    <dataValidation type="list" allowBlank="1" showInputMessage="1" showErrorMessage="1" sqref="UEY589829:UEY589852">
      <formula1>項目!C17:$UES$589825</formula1>
    </dataValidation>
    <dataValidation type="list" allowBlank="1" showInputMessage="1" showErrorMessage="1" sqref="UOU589829:UOU589852">
      <formula1>項目!C17:$UOO$589825</formula1>
    </dataValidation>
    <dataValidation type="list" allowBlank="1" showInputMessage="1" showErrorMessage="1" sqref="UYQ589829:UYQ589852">
      <formula1>項目!C17:$UYK$589825</formula1>
    </dataValidation>
    <dataValidation type="list" allowBlank="1" showInputMessage="1" showErrorMessage="1" sqref="VIM589829:VIM589852">
      <formula1>項目!C17:$VIG$589825</formula1>
    </dataValidation>
    <dataValidation type="list" allowBlank="1" showInputMessage="1" showErrorMessage="1" sqref="VSI589829:VSI589852">
      <formula1>項目!C17:$VSC$589825</formula1>
    </dataValidation>
    <dataValidation type="list" allowBlank="1" showInputMessage="1" showErrorMessage="1" sqref="WCE589829:WCE589852">
      <formula1>項目!C17:$WBY$589825</formula1>
    </dataValidation>
    <dataValidation type="list" allowBlank="1" showInputMessage="1" showErrorMessage="1" sqref="WMA589829:WMA589852">
      <formula1>項目!C17:$WLU$589825</formula1>
    </dataValidation>
    <dataValidation type="list" allowBlank="1" showInputMessage="1" showErrorMessage="1" sqref="WVW589829:WVW589852">
      <formula1>項目!C17:$WVQ$589825</formula1>
    </dataValidation>
    <dataValidation type="list" allowBlank="1" showInputMessage="1" showErrorMessage="1" sqref="O655365:O655388">
      <formula1>項目!C17:$J$655361</formula1>
    </dataValidation>
    <dataValidation type="list" allowBlank="1" showInputMessage="1" showErrorMessage="1" sqref="JK655365:JK655388">
      <formula1>項目!C17:$JE$655361</formula1>
    </dataValidation>
    <dataValidation type="list" allowBlank="1" showInputMessage="1" showErrorMessage="1" sqref="TG655365:TG655388">
      <formula1>項目!C17:$TA$655361</formula1>
    </dataValidation>
    <dataValidation type="list" allowBlank="1" showInputMessage="1" showErrorMessage="1" sqref="ADC655365:ADC655388">
      <formula1>項目!C17:$ACW$655361</formula1>
    </dataValidation>
    <dataValidation type="list" allowBlank="1" showInputMessage="1" showErrorMessage="1" sqref="AMY655365:AMY655388">
      <formula1>項目!C17:$AMS$655361</formula1>
    </dataValidation>
    <dataValidation type="list" allowBlank="1" showInputMessage="1" showErrorMessage="1" sqref="AWU655365:AWU655388">
      <formula1>項目!C17:$AWO$655361</formula1>
    </dataValidation>
    <dataValidation type="list" allowBlank="1" showInputMessage="1" showErrorMessage="1" sqref="BGQ655365:BGQ655388">
      <formula1>項目!C17:$BGK$655361</formula1>
    </dataValidation>
    <dataValidation type="list" allowBlank="1" showInputMessage="1" showErrorMessage="1" sqref="BQM655365:BQM655388">
      <formula1>項目!C17:$BQG$655361</formula1>
    </dataValidation>
    <dataValidation type="list" allowBlank="1" showInputMessage="1" showErrorMessage="1" sqref="CAI655365:CAI655388">
      <formula1>項目!C17:$CAC$655361</formula1>
    </dataValidation>
    <dataValidation type="list" allowBlank="1" showInputMessage="1" showErrorMessage="1" sqref="CKE655365:CKE655388">
      <formula1>項目!C17:$CJY$655361</formula1>
    </dataValidation>
    <dataValidation type="list" allowBlank="1" showInputMessage="1" showErrorMessage="1" sqref="CUA655365:CUA655388">
      <formula1>項目!C17:$CTU$655361</formula1>
    </dataValidation>
    <dataValidation type="list" allowBlank="1" showInputMessage="1" showErrorMessage="1" sqref="DDW655365:DDW655388">
      <formula1>項目!C17:$DDQ$655361</formula1>
    </dataValidation>
    <dataValidation type="list" allowBlank="1" showInputMessage="1" showErrorMessage="1" sqref="DNS655365:DNS655388">
      <formula1>項目!C17:$DNM$655361</formula1>
    </dataValidation>
    <dataValidation type="list" allowBlank="1" showInputMessage="1" showErrorMessage="1" sqref="DXO655365:DXO655388">
      <formula1>項目!C17:$DXI$655361</formula1>
    </dataValidation>
    <dataValidation type="list" allowBlank="1" showInputMessage="1" showErrorMessage="1" sqref="EHK655365:EHK655388">
      <formula1>項目!C17:$EHE$655361</formula1>
    </dataValidation>
    <dataValidation type="list" allowBlank="1" showInputMessage="1" showErrorMessage="1" sqref="ERG655365:ERG655388">
      <formula1>項目!C17:$ERA$655361</formula1>
    </dataValidation>
    <dataValidation type="list" allowBlank="1" showInputMessage="1" showErrorMessage="1" sqref="FBC655365:FBC655388">
      <formula1>項目!C17:$FAW$655361</formula1>
    </dataValidation>
    <dataValidation type="list" allowBlank="1" showInputMessage="1" showErrorMessage="1" sqref="FKY655365:FKY655388">
      <formula1>項目!C17:$FKS$655361</formula1>
    </dataValidation>
    <dataValidation type="list" allowBlank="1" showInputMessage="1" showErrorMessage="1" sqref="FUU655365:FUU655388">
      <formula1>項目!C17:$FUO$655361</formula1>
    </dataValidation>
    <dataValidation type="list" allowBlank="1" showInputMessage="1" showErrorMessage="1" sqref="GEQ655365:GEQ655388">
      <formula1>項目!C17:$GEK$655361</formula1>
    </dataValidation>
    <dataValidation type="list" allowBlank="1" showInputMessage="1" showErrorMessage="1" sqref="GOM655365:GOM655388">
      <formula1>項目!C17:$GOG$655361</formula1>
    </dataValidation>
    <dataValidation type="list" allowBlank="1" showInputMessage="1" showErrorMessage="1" sqref="GYI655365:GYI655388">
      <formula1>項目!C17:$GYC$655361</formula1>
    </dataValidation>
    <dataValidation type="list" allowBlank="1" showInputMessage="1" showErrorMessage="1" sqref="HIE655365:HIE655388">
      <formula1>項目!C17:$HHY$655361</formula1>
    </dataValidation>
    <dataValidation type="list" allowBlank="1" showInputMessage="1" showErrorMessage="1" sqref="HSA655365:HSA655388">
      <formula1>項目!C17:$HRU$655361</formula1>
    </dataValidation>
    <dataValidation type="list" allowBlank="1" showInputMessage="1" showErrorMessage="1" sqref="IBW655365:IBW655388">
      <formula1>項目!C17:$IBQ$655361</formula1>
    </dataValidation>
    <dataValidation type="list" allowBlank="1" showInputMessage="1" showErrorMessage="1" sqref="ILS655365:ILS655388">
      <formula1>項目!C17:$ILM$655361</formula1>
    </dataValidation>
    <dataValidation type="list" allowBlank="1" showInputMessage="1" showErrorMessage="1" sqref="IVO655365:IVO655388">
      <formula1>項目!C17:$IVI$655361</formula1>
    </dataValidation>
    <dataValidation type="list" allowBlank="1" showInputMessage="1" showErrorMessage="1" sqref="JFK655365:JFK655388">
      <formula1>項目!C17:$JFE$655361</formula1>
    </dataValidation>
    <dataValidation type="list" allowBlank="1" showInputMessage="1" showErrorMessage="1" sqref="JPG655365:JPG655388">
      <formula1>項目!C17:$JPA$655361</formula1>
    </dataValidation>
    <dataValidation type="list" allowBlank="1" showInputMessage="1" showErrorMessage="1" sqref="JZC655365:JZC655388">
      <formula1>項目!C17:$JYW$655361</formula1>
    </dataValidation>
    <dataValidation type="list" allowBlank="1" showInputMessage="1" showErrorMessage="1" sqref="KIY655365:KIY655388">
      <formula1>項目!C17:$KIS$655361</formula1>
    </dataValidation>
    <dataValidation type="list" allowBlank="1" showInputMessage="1" showErrorMessage="1" sqref="KSU655365:KSU655388">
      <formula1>項目!C17:$KSO$655361</formula1>
    </dataValidation>
    <dataValidation type="list" allowBlank="1" showInputMessage="1" showErrorMessage="1" sqref="LCQ655365:LCQ655388">
      <formula1>項目!C17:$LCK$655361</formula1>
    </dataValidation>
    <dataValidation type="list" allowBlank="1" showInputMessage="1" showErrorMessage="1" sqref="LMM655365:LMM655388">
      <formula1>項目!C17:$LMG$655361</formula1>
    </dataValidation>
    <dataValidation type="list" allowBlank="1" showInputMessage="1" showErrorMessage="1" sqref="LWI655365:LWI655388">
      <formula1>項目!C17:$LWC$655361</formula1>
    </dataValidation>
    <dataValidation type="list" allowBlank="1" showInputMessage="1" showErrorMessage="1" sqref="MGE655365:MGE655388">
      <formula1>項目!C17:$MFY$655361</formula1>
    </dataValidation>
    <dataValidation type="list" allowBlank="1" showInputMessage="1" showErrorMessage="1" sqref="MQA655365:MQA655388">
      <formula1>項目!C17:$MPU$655361</formula1>
    </dataValidation>
    <dataValidation type="list" allowBlank="1" showInputMessage="1" showErrorMessage="1" sqref="MZW655365:MZW655388">
      <formula1>項目!C17:$MZQ$655361</formula1>
    </dataValidation>
    <dataValidation type="list" allowBlank="1" showInputMessage="1" showErrorMessage="1" sqref="NJS655365:NJS655388">
      <formula1>項目!C17:$NJM$655361</formula1>
    </dataValidation>
    <dataValidation type="list" allowBlank="1" showInputMessage="1" showErrorMessage="1" sqref="NTO655365:NTO655388">
      <formula1>項目!C17:$NTI$655361</formula1>
    </dataValidation>
    <dataValidation type="list" allowBlank="1" showInputMessage="1" showErrorMessage="1" sqref="ODK655365:ODK655388">
      <formula1>項目!C17:$ODE$655361</formula1>
    </dataValidation>
    <dataValidation type="list" allowBlank="1" showInputMessage="1" showErrorMessage="1" sqref="ONG655365:ONG655388">
      <formula1>項目!C17:$ONA$655361</formula1>
    </dataValidation>
    <dataValidation type="list" allowBlank="1" showInputMessage="1" showErrorMessage="1" sqref="OXC655365:OXC655388">
      <formula1>項目!C17:$OWW$655361</formula1>
    </dataValidation>
    <dataValidation type="list" allowBlank="1" showInputMessage="1" showErrorMessage="1" sqref="PGY655365:PGY655388">
      <formula1>項目!C17:$PGS$655361</formula1>
    </dataValidation>
    <dataValidation type="list" allowBlank="1" showInputMessage="1" showErrorMessage="1" sqref="PQU655365:PQU655388">
      <formula1>項目!C17:$PQO$655361</formula1>
    </dataValidation>
    <dataValidation type="list" allowBlank="1" showInputMessage="1" showErrorMessage="1" sqref="QAQ655365:QAQ655388">
      <formula1>項目!C17:$QAK$655361</formula1>
    </dataValidation>
    <dataValidation type="list" allowBlank="1" showInputMessage="1" showErrorMessage="1" sqref="QKM655365:QKM655388">
      <formula1>項目!C17:$QKG$655361</formula1>
    </dataValidation>
    <dataValidation type="list" allowBlank="1" showInputMessage="1" showErrorMessage="1" sqref="QUI655365:QUI655388">
      <formula1>項目!C17:$QUC$655361</formula1>
    </dataValidation>
    <dataValidation type="list" allowBlank="1" showInputMessage="1" showErrorMessage="1" sqref="REE655365:REE655388">
      <formula1>項目!C17:$RDY$655361</formula1>
    </dataValidation>
    <dataValidation type="list" allowBlank="1" showInputMessage="1" showErrorMessage="1" sqref="ROA655365:ROA655388">
      <formula1>項目!C17:$RNU$655361</formula1>
    </dataValidation>
    <dataValidation type="list" allowBlank="1" showInputMessage="1" showErrorMessage="1" sqref="RXW655365:RXW655388">
      <formula1>項目!C17:$RXQ$655361</formula1>
    </dataValidation>
    <dataValidation type="list" allowBlank="1" showInputMessage="1" showErrorMessage="1" sqref="SHS655365:SHS655388">
      <formula1>項目!C17:$SHM$655361</formula1>
    </dataValidation>
    <dataValidation type="list" allowBlank="1" showInputMessage="1" showErrorMessage="1" sqref="SRO655365:SRO655388">
      <formula1>項目!C17:$SRI$655361</formula1>
    </dataValidation>
    <dataValidation type="list" allowBlank="1" showInputMessage="1" showErrorMessage="1" sqref="TBK655365:TBK655388">
      <formula1>項目!C17:$TBE$655361</formula1>
    </dataValidation>
    <dataValidation type="list" allowBlank="1" showInputMessage="1" showErrorMessage="1" sqref="TLG655365:TLG655388">
      <formula1>項目!C17:$TLA$655361</formula1>
    </dataValidation>
    <dataValidation type="list" allowBlank="1" showInputMessage="1" showErrorMessage="1" sqref="TVC655365:TVC655388">
      <formula1>項目!C17:$TUW$655361</formula1>
    </dataValidation>
    <dataValidation type="list" allowBlank="1" showInputMessage="1" showErrorMessage="1" sqref="UEY655365:UEY655388">
      <formula1>項目!C17:$UES$655361</formula1>
    </dataValidation>
    <dataValidation type="list" allowBlank="1" showInputMessage="1" showErrorMessage="1" sqref="UOU655365:UOU655388">
      <formula1>項目!C17:$UOO$655361</formula1>
    </dataValidation>
    <dataValidation type="list" allowBlank="1" showInputMessage="1" showErrorMessage="1" sqref="UYQ655365:UYQ655388">
      <formula1>項目!C17:$UYK$655361</formula1>
    </dataValidation>
    <dataValidation type="list" allowBlank="1" showInputMessage="1" showErrorMessage="1" sqref="VIM655365:VIM655388">
      <formula1>項目!C17:$VIG$655361</formula1>
    </dataValidation>
    <dataValidation type="list" allowBlank="1" showInputMessage="1" showErrorMessage="1" sqref="VSI655365:VSI655388">
      <formula1>項目!C17:$VSC$655361</formula1>
    </dataValidation>
    <dataValidation type="list" allowBlank="1" showInputMessage="1" showErrorMessage="1" sqref="WCE655365:WCE655388">
      <formula1>項目!C17:$WBY$655361</formula1>
    </dataValidation>
    <dataValidation type="list" allowBlank="1" showInputMessage="1" showErrorMessage="1" sqref="WMA655365:WMA655388">
      <formula1>項目!C17:$WLU$655361</formula1>
    </dataValidation>
    <dataValidation type="list" allowBlank="1" showInputMessage="1" showErrorMessage="1" sqref="WVW655365:WVW655388">
      <formula1>項目!C17:$WVQ$655361</formula1>
    </dataValidation>
    <dataValidation type="list" allowBlank="1" showInputMessage="1" showErrorMessage="1" sqref="O720901:O720924">
      <formula1>項目!C17:$J$720897</formula1>
    </dataValidation>
    <dataValidation type="list" allowBlank="1" showInputMessage="1" showErrorMessage="1" sqref="JK720901:JK720924">
      <formula1>項目!C17:$JE$720897</formula1>
    </dataValidation>
    <dataValidation type="list" allowBlank="1" showInputMessage="1" showErrorMessage="1" sqref="TG720901:TG720924">
      <formula1>項目!C17:$TA$720897</formula1>
    </dataValidation>
    <dataValidation type="list" allowBlank="1" showInputMessage="1" showErrorMessage="1" sqref="ADC720901:ADC720924">
      <formula1>項目!C17:$ACW$720897</formula1>
    </dataValidation>
    <dataValidation type="list" allowBlank="1" showInputMessage="1" showErrorMessage="1" sqref="AMY720901:AMY720924">
      <formula1>項目!C17:$AMS$720897</formula1>
    </dataValidation>
    <dataValidation type="list" allowBlank="1" showInputMessage="1" showErrorMessage="1" sqref="AWU720901:AWU720924">
      <formula1>項目!C17:$AWO$720897</formula1>
    </dataValidation>
    <dataValidation type="list" allowBlank="1" showInputMessage="1" showErrorMessage="1" sqref="BGQ720901:BGQ720924">
      <formula1>項目!C17:$BGK$720897</formula1>
    </dataValidation>
    <dataValidation type="list" allowBlank="1" showInputMessage="1" showErrorMessage="1" sqref="BQM720901:BQM720924">
      <formula1>項目!C17:$BQG$720897</formula1>
    </dataValidation>
    <dataValidation type="list" allowBlank="1" showInputMessage="1" showErrorMessage="1" sqref="CAI720901:CAI720924">
      <formula1>項目!C17:$CAC$720897</formula1>
    </dataValidation>
    <dataValidation type="list" allowBlank="1" showInputMessage="1" showErrorMessage="1" sqref="CKE720901:CKE720924">
      <formula1>項目!C17:$CJY$720897</formula1>
    </dataValidation>
    <dataValidation type="list" allowBlank="1" showInputMessage="1" showErrorMessage="1" sqref="CUA720901:CUA720924">
      <formula1>項目!C17:$CTU$720897</formula1>
    </dataValidation>
    <dataValidation type="list" allowBlank="1" showInputMessage="1" showErrorMessage="1" sqref="DDW720901:DDW720924">
      <formula1>項目!C17:$DDQ$720897</formula1>
    </dataValidation>
    <dataValidation type="list" allowBlank="1" showInputMessage="1" showErrorMessage="1" sqref="DNS720901:DNS720924">
      <formula1>項目!C17:$DNM$720897</formula1>
    </dataValidation>
    <dataValidation type="list" allowBlank="1" showInputMessage="1" showErrorMessage="1" sqref="DXO720901:DXO720924">
      <formula1>項目!C17:$DXI$720897</formula1>
    </dataValidation>
    <dataValidation type="list" allowBlank="1" showInputMessage="1" showErrorMessage="1" sqref="EHK720901:EHK720924">
      <formula1>項目!C17:$EHE$720897</formula1>
    </dataValidation>
    <dataValidation type="list" allowBlank="1" showInputMessage="1" showErrorMessage="1" sqref="ERG720901:ERG720924">
      <formula1>項目!C17:$ERA$720897</formula1>
    </dataValidation>
    <dataValidation type="list" allowBlank="1" showInputMessage="1" showErrorMessage="1" sqref="FBC720901:FBC720924">
      <formula1>項目!C17:$FAW$720897</formula1>
    </dataValidation>
    <dataValidation type="list" allowBlank="1" showInputMessage="1" showErrorMessage="1" sqref="FKY720901:FKY720924">
      <formula1>項目!C17:$FKS$720897</formula1>
    </dataValidation>
    <dataValidation type="list" allowBlank="1" showInputMessage="1" showErrorMessage="1" sqref="FUU720901:FUU720924">
      <formula1>項目!C17:$FUO$720897</formula1>
    </dataValidation>
    <dataValidation type="list" allowBlank="1" showInputMessage="1" showErrorMessage="1" sqref="GEQ720901:GEQ720924">
      <formula1>項目!C17:$GEK$720897</formula1>
    </dataValidation>
    <dataValidation type="list" allowBlank="1" showInputMessage="1" showErrorMessage="1" sqref="GOM720901:GOM720924">
      <formula1>項目!C17:$GOG$720897</formula1>
    </dataValidation>
    <dataValidation type="list" allowBlank="1" showInputMessage="1" showErrorMessage="1" sqref="GYI720901:GYI720924">
      <formula1>項目!C17:$GYC$720897</formula1>
    </dataValidation>
    <dataValidation type="list" allowBlank="1" showInputMessage="1" showErrorMessage="1" sqref="HIE720901:HIE720924">
      <formula1>項目!C17:$HHY$720897</formula1>
    </dataValidation>
    <dataValidation type="list" allowBlank="1" showInputMessage="1" showErrorMessage="1" sqref="HSA720901:HSA720924">
      <formula1>項目!C17:$HRU$720897</formula1>
    </dataValidation>
    <dataValidation type="list" allowBlank="1" showInputMessage="1" showErrorMessage="1" sqref="IBW720901:IBW720924">
      <formula1>項目!C17:$IBQ$720897</formula1>
    </dataValidation>
    <dataValidation type="list" allowBlank="1" showInputMessage="1" showErrorMessage="1" sqref="ILS720901:ILS720924">
      <formula1>項目!C17:$ILM$720897</formula1>
    </dataValidation>
    <dataValidation type="list" allowBlank="1" showInputMessage="1" showErrorMessage="1" sqref="IVO720901:IVO720924">
      <formula1>項目!C17:$IVI$720897</formula1>
    </dataValidation>
    <dataValidation type="list" allowBlank="1" showInputMessage="1" showErrorMessage="1" sqref="JFK720901:JFK720924">
      <formula1>項目!C17:$JFE$720897</formula1>
    </dataValidation>
    <dataValidation type="list" allowBlank="1" showInputMessage="1" showErrorMessage="1" sqref="JPG720901:JPG720924">
      <formula1>項目!C17:$JPA$720897</formula1>
    </dataValidation>
    <dataValidation type="list" allowBlank="1" showInputMessage="1" showErrorMessage="1" sqref="JZC720901:JZC720924">
      <formula1>項目!C17:$JYW$720897</formula1>
    </dataValidation>
    <dataValidation type="list" allowBlank="1" showInputMessage="1" showErrorMessage="1" sqref="KIY720901:KIY720924">
      <formula1>項目!C17:$KIS$720897</formula1>
    </dataValidation>
    <dataValidation type="list" allowBlank="1" showInputMessage="1" showErrorMessage="1" sqref="KSU720901:KSU720924">
      <formula1>項目!C17:$KSO$720897</formula1>
    </dataValidation>
    <dataValidation type="list" allowBlank="1" showInputMessage="1" showErrorMessage="1" sqref="LCQ720901:LCQ720924">
      <formula1>項目!C17:$LCK$720897</formula1>
    </dataValidation>
    <dataValidation type="list" allowBlank="1" showInputMessage="1" showErrorMessage="1" sqref="LMM720901:LMM720924">
      <formula1>項目!C17:$LMG$720897</formula1>
    </dataValidation>
    <dataValidation type="list" allowBlank="1" showInputMessage="1" showErrorMessage="1" sqref="LWI720901:LWI720924">
      <formula1>項目!C17:$LWC$720897</formula1>
    </dataValidation>
    <dataValidation type="list" allowBlank="1" showInputMessage="1" showErrorMessage="1" sqref="MGE720901:MGE720924">
      <formula1>項目!C17:$MFY$720897</formula1>
    </dataValidation>
    <dataValidation type="list" allowBlank="1" showInputMessage="1" showErrorMessage="1" sqref="MQA720901:MQA720924">
      <formula1>項目!C17:$MPU$720897</formula1>
    </dataValidation>
    <dataValidation type="list" allowBlank="1" showInputMessage="1" showErrorMessage="1" sqref="MZW720901:MZW720924">
      <formula1>項目!C17:$MZQ$720897</formula1>
    </dataValidation>
    <dataValidation type="list" allowBlank="1" showInputMessage="1" showErrorMessage="1" sqref="NJS720901:NJS720924">
      <formula1>項目!C17:$NJM$720897</formula1>
    </dataValidation>
    <dataValidation type="list" allowBlank="1" showInputMessage="1" showErrorMessage="1" sqref="NTO720901:NTO720924">
      <formula1>項目!C17:$NTI$720897</formula1>
    </dataValidation>
    <dataValidation type="list" allowBlank="1" showInputMessage="1" showErrorMessage="1" sqref="ODK720901:ODK720924">
      <formula1>項目!C17:$ODE$720897</formula1>
    </dataValidation>
    <dataValidation type="list" allowBlank="1" showInputMessage="1" showErrorMessage="1" sqref="ONG720901:ONG720924">
      <formula1>項目!C17:$ONA$720897</formula1>
    </dataValidation>
    <dataValidation type="list" allowBlank="1" showInputMessage="1" showErrorMessage="1" sqref="OXC720901:OXC720924">
      <formula1>項目!C17:$OWW$720897</formula1>
    </dataValidation>
    <dataValidation type="list" allowBlank="1" showInputMessage="1" showErrorMessage="1" sqref="PGY720901:PGY720924">
      <formula1>項目!C17:$PGS$720897</formula1>
    </dataValidation>
    <dataValidation type="list" allowBlank="1" showInputMessage="1" showErrorMessage="1" sqref="PQU720901:PQU720924">
      <formula1>項目!C17:$PQO$720897</formula1>
    </dataValidation>
    <dataValidation type="list" allowBlank="1" showInputMessage="1" showErrorMessage="1" sqref="QAQ720901:QAQ720924">
      <formula1>項目!C17:$QAK$720897</formula1>
    </dataValidation>
    <dataValidation type="list" allowBlank="1" showInputMessage="1" showErrorMessage="1" sqref="QKM720901:QKM720924">
      <formula1>項目!C17:$QKG$720897</formula1>
    </dataValidation>
    <dataValidation type="list" allowBlank="1" showInputMessage="1" showErrorMessage="1" sqref="QUI720901:QUI720924">
      <formula1>項目!C17:$QUC$720897</formula1>
    </dataValidation>
    <dataValidation type="list" allowBlank="1" showInputMessage="1" showErrorMessage="1" sqref="REE720901:REE720924">
      <formula1>項目!C17:$RDY$720897</formula1>
    </dataValidation>
    <dataValidation type="list" allowBlank="1" showInputMessage="1" showErrorMessage="1" sqref="ROA720901:ROA720924">
      <formula1>項目!C17:$RNU$720897</formula1>
    </dataValidation>
    <dataValidation type="list" allowBlank="1" showInputMessage="1" showErrorMessage="1" sqref="RXW720901:RXW720924">
      <formula1>項目!C17:$RXQ$720897</formula1>
    </dataValidation>
    <dataValidation type="list" allowBlank="1" showInputMessage="1" showErrorMessage="1" sqref="SHS720901:SHS720924">
      <formula1>項目!C17:$SHM$720897</formula1>
    </dataValidation>
    <dataValidation type="list" allowBlank="1" showInputMessage="1" showErrorMessage="1" sqref="SRO720901:SRO720924">
      <formula1>項目!C17:$SRI$720897</formula1>
    </dataValidation>
    <dataValidation type="list" allowBlank="1" showInputMessage="1" showErrorMessage="1" sqref="TBK720901:TBK720924">
      <formula1>項目!C17:$TBE$720897</formula1>
    </dataValidation>
    <dataValidation type="list" allowBlank="1" showInputMessage="1" showErrorMessage="1" sqref="TLG720901:TLG720924">
      <formula1>項目!C17:$TLA$720897</formula1>
    </dataValidation>
    <dataValidation type="list" allowBlank="1" showInputMessage="1" showErrorMessage="1" sqref="TVC720901:TVC720924">
      <formula1>項目!C17:$TUW$720897</formula1>
    </dataValidation>
    <dataValidation type="list" allowBlank="1" showInputMessage="1" showErrorMessage="1" sqref="UEY720901:UEY720924">
      <formula1>項目!C17:$UES$720897</formula1>
    </dataValidation>
    <dataValidation type="list" allowBlank="1" showInputMessage="1" showErrorMessage="1" sqref="UOU720901:UOU720924">
      <formula1>項目!C17:$UOO$720897</formula1>
    </dataValidation>
    <dataValidation type="list" allowBlank="1" showInputMessage="1" showErrorMessage="1" sqref="UYQ720901:UYQ720924">
      <formula1>項目!C17:$UYK$720897</formula1>
    </dataValidation>
    <dataValidation type="list" allowBlank="1" showInputMessage="1" showErrorMessage="1" sqref="VIM720901:VIM720924">
      <formula1>項目!C17:$VIG$720897</formula1>
    </dataValidation>
    <dataValidation type="list" allowBlank="1" showInputMessage="1" showErrorMessage="1" sqref="VSI720901:VSI720924">
      <formula1>項目!C17:$VSC$720897</formula1>
    </dataValidation>
    <dataValidation type="list" allowBlank="1" showInputMessage="1" showErrorMessage="1" sqref="WCE720901:WCE720924">
      <formula1>項目!C17:$WBY$720897</formula1>
    </dataValidation>
    <dataValidation type="list" allowBlank="1" showInputMessage="1" showErrorMessage="1" sqref="WMA720901:WMA720924">
      <formula1>項目!C17:$WLU$720897</formula1>
    </dataValidation>
    <dataValidation type="list" allowBlank="1" showInputMessage="1" showErrorMessage="1" sqref="WVW720901:WVW720924">
      <formula1>項目!C17:$WVQ$720897</formula1>
    </dataValidation>
    <dataValidation type="list" allowBlank="1" showInputMessage="1" showErrorMessage="1" sqref="O786437:O786460">
      <formula1>項目!C17:$J$786433</formula1>
    </dataValidation>
    <dataValidation type="list" allowBlank="1" showInputMessage="1" showErrorMessage="1" sqref="JK786437:JK786460">
      <formula1>項目!C17:$JE$786433</formula1>
    </dataValidation>
    <dataValidation type="list" allowBlank="1" showInputMessage="1" showErrorMessage="1" sqref="TG786437:TG786460">
      <formula1>項目!C17:$TA$786433</formula1>
    </dataValidation>
    <dataValidation type="list" allowBlank="1" showInputMessage="1" showErrorMessage="1" sqref="ADC786437:ADC786460">
      <formula1>項目!C17:$ACW$786433</formula1>
    </dataValidation>
    <dataValidation type="list" allowBlank="1" showInputMessage="1" showErrorMessage="1" sqref="AMY786437:AMY786460">
      <formula1>項目!C17:$AMS$786433</formula1>
    </dataValidation>
    <dataValidation type="list" allowBlank="1" showInputMessage="1" showErrorMessage="1" sqref="AWU786437:AWU786460">
      <formula1>項目!C17:$AWO$786433</formula1>
    </dataValidation>
    <dataValidation type="list" allowBlank="1" showInputMessage="1" showErrorMessage="1" sqref="BGQ786437:BGQ786460">
      <formula1>項目!C17:$BGK$786433</formula1>
    </dataValidation>
    <dataValidation type="list" allowBlank="1" showInputMessage="1" showErrorMessage="1" sqref="BQM786437:BQM786460">
      <formula1>項目!C17:$BQG$786433</formula1>
    </dataValidation>
    <dataValidation type="list" allowBlank="1" showInputMessage="1" showErrorMessage="1" sqref="CAI786437:CAI786460">
      <formula1>項目!C17:$CAC$786433</formula1>
    </dataValidation>
    <dataValidation type="list" allowBlank="1" showInputMessage="1" showErrorMessage="1" sqref="CKE786437:CKE786460">
      <formula1>項目!C17:$CJY$786433</formula1>
    </dataValidation>
    <dataValidation type="list" allowBlank="1" showInputMessage="1" showErrorMessage="1" sqref="CUA786437:CUA786460">
      <formula1>項目!C17:$CTU$786433</formula1>
    </dataValidation>
    <dataValidation type="list" allowBlank="1" showInputMessage="1" showErrorMessage="1" sqref="DDW786437:DDW786460">
      <formula1>項目!C17:$DDQ$786433</formula1>
    </dataValidation>
    <dataValidation type="list" allowBlank="1" showInputMessage="1" showErrorMessage="1" sqref="DNS786437:DNS786460">
      <formula1>項目!C17:$DNM$786433</formula1>
    </dataValidation>
    <dataValidation type="list" allowBlank="1" showInputMessage="1" showErrorMessage="1" sqref="DXO786437:DXO786460">
      <formula1>項目!C17:$DXI$786433</formula1>
    </dataValidation>
    <dataValidation type="list" allowBlank="1" showInputMessage="1" showErrorMessage="1" sqref="EHK786437:EHK786460">
      <formula1>項目!C17:$EHE$786433</formula1>
    </dataValidation>
    <dataValidation type="list" allowBlank="1" showInputMessage="1" showErrorMessage="1" sqref="ERG786437:ERG786460">
      <formula1>項目!C17:$ERA$786433</formula1>
    </dataValidation>
    <dataValidation type="list" allowBlank="1" showInputMessage="1" showErrorMessage="1" sqref="FBC786437:FBC786460">
      <formula1>項目!C17:$FAW$786433</formula1>
    </dataValidation>
    <dataValidation type="list" allowBlank="1" showInputMessage="1" showErrorMessage="1" sqref="FKY786437:FKY786460">
      <formula1>項目!C17:$FKS$786433</formula1>
    </dataValidation>
    <dataValidation type="list" allowBlank="1" showInputMessage="1" showErrorMessage="1" sqref="FUU786437:FUU786460">
      <formula1>項目!C17:$FUO$786433</formula1>
    </dataValidation>
    <dataValidation type="list" allowBlank="1" showInputMessage="1" showErrorMessage="1" sqref="GEQ786437:GEQ786460">
      <formula1>項目!C17:$GEK$786433</formula1>
    </dataValidation>
    <dataValidation type="list" allowBlank="1" showInputMessage="1" showErrorMessage="1" sqref="GOM786437:GOM786460">
      <formula1>項目!C17:$GOG$786433</formula1>
    </dataValidation>
    <dataValidation type="list" allowBlank="1" showInputMessage="1" showErrorMessage="1" sqref="GYI786437:GYI786460">
      <formula1>項目!C17:$GYC$786433</formula1>
    </dataValidation>
    <dataValidation type="list" allowBlank="1" showInputMessage="1" showErrorMessage="1" sqref="HIE786437:HIE786460">
      <formula1>項目!C17:$HHY$786433</formula1>
    </dataValidation>
    <dataValidation type="list" allowBlank="1" showInputMessage="1" showErrorMessage="1" sqref="HSA786437:HSA786460">
      <formula1>項目!C17:$HRU$786433</formula1>
    </dataValidation>
    <dataValidation type="list" allowBlank="1" showInputMessage="1" showErrorMessage="1" sqref="IBW786437:IBW786460">
      <formula1>項目!C17:$IBQ$786433</formula1>
    </dataValidation>
    <dataValidation type="list" allowBlank="1" showInputMessage="1" showErrorMessage="1" sqref="ILS786437:ILS786460">
      <formula1>項目!C17:$ILM$786433</formula1>
    </dataValidation>
    <dataValidation type="list" allowBlank="1" showInputMessage="1" showErrorMessage="1" sqref="IVO786437:IVO786460">
      <formula1>項目!C17:$IVI$786433</formula1>
    </dataValidation>
    <dataValidation type="list" allowBlank="1" showInputMessage="1" showErrorMessage="1" sqref="JFK786437:JFK786460">
      <formula1>項目!C17:$JFE$786433</formula1>
    </dataValidation>
    <dataValidation type="list" allowBlank="1" showInputMessage="1" showErrorMessage="1" sqref="JPG786437:JPG786460">
      <formula1>項目!C17:$JPA$786433</formula1>
    </dataValidation>
    <dataValidation type="list" allowBlank="1" showInputMessage="1" showErrorMessage="1" sqref="JZC786437:JZC786460">
      <formula1>項目!C17:$JYW$786433</formula1>
    </dataValidation>
    <dataValidation type="list" allowBlank="1" showInputMessage="1" showErrorMessage="1" sqref="KIY786437:KIY786460">
      <formula1>項目!C17:$KIS$786433</formula1>
    </dataValidation>
    <dataValidation type="list" allowBlank="1" showInputMessage="1" showErrorMessage="1" sqref="KSU786437:KSU786460">
      <formula1>項目!C17:$KSO$786433</formula1>
    </dataValidation>
    <dataValidation type="list" allowBlank="1" showInputMessage="1" showErrorMessage="1" sqref="LCQ786437:LCQ786460">
      <formula1>項目!C17:$LCK$786433</formula1>
    </dataValidation>
    <dataValidation type="list" allowBlank="1" showInputMessage="1" showErrorMessage="1" sqref="LMM786437:LMM786460">
      <formula1>項目!C17:$LMG$786433</formula1>
    </dataValidation>
    <dataValidation type="list" allowBlank="1" showInputMessage="1" showErrorMessage="1" sqref="LWI786437:LWI786460">
      <formula1>項目!C17:$LWC$786433</formula1>
    </dataValidation>
    <dataValidation type="list" allowBlank="1" showInputMessage="1" showErrorMessage="1" sqref="MGE786437:MGE786460">
      <formula1>項目!C17:$MFY$786433</formula1>
    </dataValidation>
    <dataValidation type="list" allowBlank="1" showInputMessage="1" showErrorMessage="1" sqref="MQA786437:MQA786460">
      <formula1>項目!C17:$MPU$786433</formula1>
    </dataValidation>
    <dataValidation type="list" allowBlank="1" showInputMessage="1" showErrorMessage="1" sqref="MZW786437:MZW786460">
      <formula1>項目!C17:$MZQ$786433</formula1>
    </dataValidation>
    <dataValidation type="list" allowBlank="1" showInputMessage="1" showErrorMessage="1" sqref="NJS786437:NJS786460">
      <formula1>項目!C17:$NJM$786433</formula1>
    </dataValidation>
    <dataValidation type="list" allowBlank="1" showInputMessage="1" showErrorMessage="1" sqref="NTO786437:NTO786460">
      <formula1>項目!C17:$NTI$786433</formula1>
    </dataValidation>
    <dataValidation type="list" allowBlank="1" showInputMessage="1" showErrorMessage="1" sqref="ODK786437:ODK786460">
      <formula1>項目!C17:$ODE$786433</formula1>
    </dataValidation>
    <dataValidation type="list" allowBlank="1" showInputMessage="1" showErrorMessage="1" sqref="ONG786437:ONG786460">
      <formula1>項目!C17:$ONA$786433</formula1>
    </dataValidation>
    <dataValidation type="list" allowBlank="1" showInputMessage="1" showErrorMessage="1" sqref="OXC786437:OXC786460">
      <formula1>項目!C17:$OWW$786433</formula1>
    </dataValidation>
    <dataValidation type="list" allowBlank="1" showInputMessage="1" showErrorMessage="1" sqref="PGY786437:PGY786460">
      <formula1>項目!C17:$PGS$786433</formula1>
    </dataValidation>
    <dataValidation type="list" allowBlank="1" showInputMessage="1" showErrorMessage="1" sqref="PQU786437:PQU786460">
      <formula1>項目!C17:$PQO$786433</formula1>
    </dataValidation>
    <dataValidation type="list" allowBlank="1" showInputMessage="1" showErrorMessage="1" sqref="QAQ786437:QAQ786460">
      <formula1>項目!C17:$QAK$786433</formula1>
    </dataValidation>
    <dataValidation type="list" allowBlank="1" showInputMessage="1" showErrorMessage="1" sqref="QKM786437:QKM786460">
      <formula1>項目!C17:$QKG$786433</formula1>
    </dataValidation>
    <dataValidation type="list" allowBlank="1" showInputMessage="1" showErrorMessage="1" sqref="QUI786437:QUI786460">
      <formula1>項目!C17:$QUC$786433</formula1>
    </dataValidation>
    <dataValidation type="list" allowBlank="1" showInputMessage="1" showErrorMessage="1" sqref="REE786437:REE786460">
      <formula1>項目!C17:$RDY$786433</formula1>
    </dataValidation>
    <dataValidation type="list" allowBlank="1" showInputMessage="1" showErrorMessage="1" sqref="ROA786437:ROA786460">
      <formula1>項目!C17:$RNU$786433</formula1>
    </dataValidation>
    <dataValidation type="list" allowBlank="1" showInputMessage="1" showErrorMessage="1" sqref="RXW786437:RXW786460">
      <formula1>項目!C17:$RXQ$786433</formula1>
    </dataValidation>
    <dataValidation type="list" allowBlank="1" showInputMessage="1" showErrorMessage="1" sqref="SHS786437:SHS786460">
      <formula1>項目!C17:$SHM$786433</formula1>
    </dataValidation>
    <dataValidation type="list" allowBlank="1" showInputMessage="1" showErrorMessage="1" sqref="SRO786437:SRO786460">
      <formula1>項目!C17:$SRI$786433</formula1>
    </dataValidation>
    <dataValidation type="list" allowBlank="1" showInputMessage="1" showErrorMessage="1" sqref="TBK786437:TBK786460">
      <formula1>項目!C17:$TBE$786433</formula1>
    </dataValidation>
    <dataValidation type="list" allowBlank="1" showInputMessage="1" showErrorMessage="1" sqref="TLG786437:TLG786460">
      <formula1>項目!C17:$TLA$786433</formula1>
    </dataValidation>
    <dataValidation type="list" allowBlank="1" showInputMessage="1" showErrorMessage="1" sqref="TVC786437:TVC786460">
      <formula1>項目!C17:$TUW$786433</formula1>
    </dataValidation>
    <dataValidation type="list" allowBlank="1" showInputMessage="1" showErrorMessage="1" sqref="UEY786437:UEY786460">
      <formula1>項目!C17:$UES$786433</formula1>
    </dataValidation>
    <dataValidation type="list" allowBlank="1" showInputMessage="1" showErrorMessage="1" sqref="UOU786437:UOU786460">
      <formula1>項目!C17:$UOO$786433</formula1>
    </dataValidation>
    <dataValidation type="list" allowBlank="1" showInputMessage="1" showErrorMessage="1" sqref="UYQ786437:UYQ786460">
      <formula1>項目!C17:$UYK$786433</formula1>
    </dataValidation>
    <dataValidation type="list" allowBlank="1" showInputMessage="1" showErrorMessage="1" sqref="VIM786437:VIM786460">
      <formula1>項目!C17:$VIG$786433</formula1>
    </dataValidation>
    <dataValidation type="list" allowBlank="1" showInputMessage="1" showErrorMessage="1" sqref="VSI786437:VSI786460">
      <formula1>項目!C17:$VSC$786433</formula1>
    </dataValidation>
    <dataValidation type="list" allowBlank="1" showInputMessage="1" showErrorMessage="1" sqref="WCE786437:WCE786460">
      <formula1>項目!C17:$WBY$786433</formula1>
    </dataValidation>
    <dataValidation type="list" allowBlank="1" showInputMessage="1" showErrorMessage="1" sqref="WMA786437:WMA786460">
      <formula1>項目!C17:$WLU$786433</formula1>
    </dataValidation>
    <dataValidation type="list" allowBlank="1" showInputMessage="1" showErrorMessage="1" sqref="WVW786437:WVW786460">
      <formula1>項目!C17:$WVQ$786433</formula1>
    </dataValidation>
    <dataValidation type="list" allowBlank="1" showInputMessage="1" showErrorMessage="1" sqref="O851973:O851996">
      <formula1>項目!C17:$J$851969</formula1>
    </dataValidation>
    <dataValidation type="list" allowBlank="1" showInputMessage="1" showErrorMessage="1" sqref="JK851973:JK851996">
      <formula1>項目!C17:$JE$851969</formula1>
    </dataValidation>
    <dataValidation type="list" allowBlank="1" showInputMessage="1" showErrorMessage="1" sqref="TG851973:TG851996">
      <formula1>項目!C17:$TA$851969</formula1>
    </dataValidation>
    <dataValidation type="list" allowBlank="1" showInputMessage="1" showErrorMessage="1" sqref="ADC851973:ADC851996">
      <formula1>項目!C17:$ACW$851969</formula1>
    </dataValidation>
    <dataValidation type="list" allowBlank="1" showInputMessage="1" showErrorMessage="1" sqref="AMY851973:AMY851996">
      <formula1>項目!C17:$AMS$851969</formula1>
    </dataValidation>
    <dataValidation type="list" allowBlank="1" showInputMessage="1" showErrorMessage="1" sqref="AWU851973:AWU851996">
      <formula1>項目!C17:$AWO$851969</formula1>
    </dataValidation>
    <dataValidation type="list" allowBlank="1" showInputMessage="1" showErrorMessage="1" sqref="BGQ851973:BGQ851996">
      <formula1>項目!C17:$BGK$851969</formula1>
    </dataValidation>
    <dataValidation type="list" allowBlank="1" showInputMessage="1" showErrorMessage="1" sqref="BQM851973:BQM851996">
      <formula1>項目!C17:$BQG$851969</formula1>
    </dataValidation>
    <dataValidation type="list" allowBlank="1" showInputMessage="1" showErrorMessage="1" sqref="CAI851973:CAI851996">
      <formula1>項目!C17:$CAC$851969</formula1>
    </dataValidation>
    <dataValidation type="list" allowBlank="1" showInputMessage="1" showErrorMessage="1" sqref="CKE851973:CKE851996">
      <formula1>項目!C17:$CJY$851969</formula1>
    </dataValidation>
    <dataValidation type="list" allowBlank="1" showInputMessage="1" showErrorMessage="1" sqref="CUA851973:CUA851996">
      <formula1>項目!C17:$CTU$851969</formula1>
    </dataValidation>
    <dataValidation type="list" allowBlank="1" showInputMessage="1" showErrorMessage="1" sqref="DDW851973:DDW851996">
      <formula1>項目!C17:$DDQ$851969</formula1>
    </dataValidation>
    <dataValidation type="list" allowBlank="1" showInputMessage="1" showErrorMessage="1" sqref="DNS851973:DNS851996">
      <formula1>項目!C17:$DNM$851969</formula1>
    </dataValidation>
    <dataValidation type="list" allowBlank="1" showInputMessage="1" showErrorMessage="1" sqref="DXO851973:DXO851996">
      <formula1>項目!C17:$DXI$851969</formula1>
    </dataValidation>
    <dataValidation type="list" allowBlank="1" showInputMessage="1" showErrorMessage="1" sqref="EHK851973:EHK851996">
      <formula1>項目!C17:$EHE$851969</formula1>
    </dataValidation>
    <dataValidation type="list" allowBlank="1" showInputMessage="1" showErrorMessage="1" sqref="ERG851973:ERG851996">
      <formula1>項目!C17:$ERA$851969</formula1>
    </dataValidation>
    <dataValidation type="list" allowBlank="1" showInputMessage="1" showErrorMessage="1" sqref="FBC851973:FBC851996">
      <formula1>項目!C17:$FAW$851969</formula1>
    </dataValidation>
    <dataValidation type="list" allowBlank="1" showInputMessage="1" showErrorMessage="1" sqref="FKY851973:FKY851996">
      <formula1>項目!C17:$FKS$851969</formula1>
    </dataValidation>
    <dataValidation type="list" allowBlank="1" showInputMessage="1" showErrorMessage="1" sqref="FUU851973:FUU851996">
      <formula1>項目!C17:$FUO$851969</formula1>
    </dataValidation>
    <dataValidation type="list" allowBlank="1" showInputMessage="1" showErrorMessage="1" sqref="GEQ851973:GEQ851996">
      <formula1>項目!C17:$GEK$851969</formula1>
    </dataValidation>
    <dataValidation type="list" allowBlank="1" showInputMessage="1" showErrorMessage="1" sqref="GOM851973:GOM851996">
      <formula1>項目!C17:$GOG$851969</formula1>
    </dataValidation>
    <dataValidation type="list" allowBlank="1" showInputMessage="1" showErrorMessage="1" sqref="GYI851973:GYI851996">
      <formula1>項目!C17:$GYC$851969</formula1>
    </dataValidation>
    <dataValidation type="list" allowBlank="1" showInputMessage="1" showErrorMessage="1" sqref="HIE851973:HIE851996">
      <formula1>項目!C17:$HHY$851969</formula1>
    </dataValidation>
    <dataValidation type="list" allowBlank="1" showInputMessage="1" showErrorMessage="1" sqref="HSA851973:HSA851996">
      <formula1>項目!C17:$HRU$851969</formula1>
    </dataValidation>
    <dataValidation type="list" allowBlank="1" showInputMessage="1" showErrorMessage="1" sqref="IBW851973:IBW851996">
      <formula1>項目!C17:$IBQ$851969</formula1>
    </dataValidation>
    <dataValidation type="list" allowBlank="1" showInputMessage="1" showErrorMessage="1" sqref="ILS851973:ILS851996">
      <formula1>項目!C17:$ILM$851969</formula1>
    </dataValidation>
    <dataValidation type="list" allowBlank="1" showInputMessage="1" showErrorMessage="1" sqref="IVO851973:IVO851996">
      <formula1>項目!C17:$IVI$851969</formula1>
    </dataValidation>
    <dataValidation type="list" allowBlank="1" showInputMessage="1" showErrorMessage="1" sqref="JFK851973:JFK851996">
      <formula1>項目!C17:$JFE$851969</formula1>
    </dataValidation>
    <dataValidation type="list" allowBlank="1" showInputMessage="1" showErrorMessage="1" sqref="JPG851973:JPG851996">
      <formula1>項目!C17:$JPA$851969</formula1>
    </dataValidation>
    <dataValidation type="list" allowBlank="1" showInputMessage="1" showErrorMessage="1" sqref="JZC851973:JZC851996">
      <formula1>項目!C17:$JYW$851969</formula1>
    </dataValidation>
    <dataValidation type="list" allowBlank="1" showInputMessage="1" showErrorMessage="1" sqref="KIY851973:KIY851996">
      <formula1>項目!C17:$KIS$851969</formula1>
    </dataValidation>
    <dataValidation type="list" allowBlank="1" showInputMessage="1" showErrorMessage="1" sqref="KSU851973:KSU851996">
      <formula1>項目!C17:$KSO$851969</formula1>
    </dataValidation>
    <dataValidation type="list" allowBlank="1" showInputMessage="1" showErrorMessage="1" sqref="LCQ851973:LCQ851996">
      <formula1>項目!C17:$LCK$851969</formula1>
    </dataValidation>
    <dataValidation type="list" allowBlank="1" showInputMessage="1" showErrorMessage="1" sqref="LMM851973:LMM851996">
      <formula1>項目!C17:$LMG$851969</formula1>
    </dataValidation>
    <dataValidation type="list" allowBlank="1" showInputMessage="1" showErrorMessage="1" sqref="LWI851973:LWI851996">
      <formula1>項目!C17:$LWC$851969</formula1>
    </dataValidation>
    <dataValidation type="list" allowBlank="1" showInputMessage="1" showErrorMessage="1" sqref="MGE851973:MGE851996">
      <formula1>項目!C17:$MFY$851969</formula1>
    </dataValidation>
    <dataValidation type="list" allowBlank="1" showInputMessage="1" showErrorMessage="1" sqref="MQA851973:MQA851996">
      <formula1>項目!C17:$MPU$851969</formula1>
    </dataValidation>
    <dataValidation type="list" allowBlank="1" showInputMessage="1" showErrorMessage="1" sqref="MZW851973:MZW851996">
      <formula1>項目!C17:$MZQ$851969</formula1>
    </dataValidation>
    <dataValidation type="list" allowBlank="1" showInputMessage="1" showErrorMessage="1" sqref="NJS851973:NJS851996">
      <formula1>項目!C17:$NJM$851969</formula1>
    </dataValidation>
    <dataValidation type="list" allowBlank="1" showInputMessage="1" showErrorMessage="1" sqref="NTO851973:NTO851996">
      <formula1>項目!C17:$NTI$851969</formula1>
    </dataValidation>
    <dataValidation type="list" allowBlank="1" showInputMessage="1" showErrorMessage="1" sqref="ODK851973:ODK851996">
      <formula1>項目!C17:$ODE$851969</formula1>
    </dataValidation>
    <dataValidation type="list" allowBlank="1" showInputMessage="1" showErrorMessage="1" sqref="ONG851973:ONG851996">
      <formula1>項目!C17:$ONA$851969</formula1>
    </dataValidation>
    <dataValidation type="list" allowBlank="1" showInputMessage="1" showErrorMessage="1" sqref="OXC851973:OXC851996">
      <formula1>項目!C17:$OWW$851969</formula1>
    </dataValidation>
    <dataValidation type="list" allowBlank="1" showInputMessage="1" showErrorMessage="1" sqref="PGY851973:PGY851996">
      <formula1>項目!C17:$PGS$851969</formula1>
    </dataValidation>
    <dataValidation type="list" allowBlank="1" showInputMessage="1" showErrorMessage="1" sqref="PQU851973:PQU851996">
      <formula1>項目!C17:$PQO$851969</formula1>
    </dataValidation>
    <dataValidation type="list" allowBlank="1" showInputMessage="1" showErrorMessage="1" sqref="QAQ851973:QAQ851996">
      <formula1>項目!C17:$QAK$851969</formula1>
    </dataValidation>
    <dataValidation type="list" allowBlank="1" showInputMessage="1" showErrorMessage="1" sqref="QKM851973:QKM851996">
      <formula1>項目!C17:$QKG$851969</formula1>
    </dataValidation>
    <dataValidation type="list" allowBlank="1" showInputMessage="1" showErrorMessage="1" sqref="QUI851973:QUI851996">
      <formula1>項目!C17:$QUC$851969</formula1>
    </dataValidation>
    <dataValidation type="list" allowBlank="1" showInputMessage="1" showErrorMessage="1" sqref="REE851973:REE851996">
      <formula1>項目!C17:$RDY$851969</formula1>
    </dataValidation>
    <dataValidation type="list" allowBlank="1" showInputMessage="1" showErrorMessage="1" sqref="ROA851973:ROA851996">
      <formula1>項目!C17:$RNU$851969</formula1>
    </dataValidation>
    <dataValidation type="list" allowBlank="1" showInputMessage="1" showErrorMessage="1" sqref="RXW851973:RXW851996">
      <formula1>項目!C17:$RXQ$851969</formula1>
    </dataValidation>
    <dataValidation type="list" allowBlank="1" showInputMessage="1" showErrorMessage="1" sqref="SHS851973:SHS851996">
      <formula1>項目!C17:$SHM$851969</formula1>
    </dataValidation>
    <dataValidation type="list" allowBlank="1" showInputMessage="1" showErrorMessage="1" sqref="SRO851973:SRO851996">
      <formula1>項目!C17:$SRI$851969</formula1>
    </dataValidation>
    <dataValidation type="list" allowBlank="1" showInputMessage="1" showErrorMessage="1" sqref="TBK851973:TBK851996">
      <formula1>項目!C17:$TBE$851969</formula1>
    </dataValidation>
    <dataValidation type="list" allowBlank="1" showInputMessage="1" showErrorMessage="1" sqref="TLG851973:TLG851996">
      <formula1>項目!C17:$TLA$851969</formula1>
    </dataValidation>
    <dataValidation type="list" allowBlank="1" showInputMessage="1" showErrorMessage="1" sqref="TVC851973:TVC851996">
      <formula1>項目!C17:$TUW$851969</formula1>
    </dataValidation>
    <dataValidation type="list" allowBlank="1" showInputMessage="1" showErrorMessage="1" sqref="UEY851973:UEY851996">
      <formula1>項目!C17:$UES$851969</formula1>
    </dataValidation>
    <dataValidation type="list" allowBlank="1" showInputMessage="1" showErrorMessage="1" sqref="UOU851973:UOU851996">
      <formula1>項目!C17:$UOO$851969</formula1>
    </dataValidation>
    <dataValidation type="list" allowBlank="1" showInputMessage="1" showErrorMessage="1" sqref="UYQ851973:UYQ851996">
      <formula1>項目!C17:$UYK$851969</formula1>
    </dataValidation>
    <dataValidation type="list" allowBlank="1" showInputMessage="1" showErrorMessage="1" sqref="VIM851973:VIM851996">
      <formula1>項目!C17:$VIG$851969</formula1>
    </dataValidation>
    <dataValidation type="list" allowBlank="1" showInputMessage="1" showErrorMessage="1" sqref="VSI851973:VSI851996">
      <formula1>項目!C17:$VSC$851969</formula1>
    </dataValidation>
    <dataValidation type="list" allowBlank="1" showInputMessage="1" showErrorMessage="1" sqref="WCE851973:WCE851996">
      <formula1>項目!C17:$WBY$851969</formula1>
    </dataValidation>
    <dataValidation type="list" allowBlank="1" showInputMessage="1" showErrorMessage="1" sqref="WMA851973:WMA851996">
      <formula1>項目!C17:$WLU$851969</formula1>
    </dataValidation>
    <dataValidation type="list" allowBlank="1" showInputMessage="1" showErrorMessage="1" sqref="WVW851973:WVW851996">
      <formula1>項目!C17:$WVQ$851969</formula1>
    </dataValidation>
    <dataValidation type="list" allowBlank="1" showInputMessage="1" showErrorMessage="1" sqref="O917509:O917532">
      <formula1>項目!C17:$J$917505</formula1>
    </dataValidation>
    <dataValidation type="list" allowBlank="1" showInputMessage="1" showErrorMessage="1" sqref="JK917509:JK917532">
      <formula1>項目!C17:$JE$917505</formula1>
    </dataValidation>
    <dataValidation type="list" allowBlank="1" showInputMessage="1" showErrorMessage="1" sqref="TG917509:TG917532">
      <formula1>項目!C17:$TA$917505</formula1>
    </dataValidation>
    <dataValidation type="list" allowBlank="1" showInputMessage="1" showErrorMessage="1" sqref="ADC917509:ADC917532">
      <formula1>項目!C17:$ACW$917505</formula1>
    </dataValidation>
    <dataValidation type="list" allowBlank="1" showInputMessage="1" showErrorMessage="1" sqref="AMY917509:AMY917532">
      <formula1>項目!C17:$AMS$917505</formula1>
    </dataValidation>
    <dataValidation type="list" allowBlank="1" showInputMessage="1" showErrorMessage="1" sqref="AWU917509:AWU917532">
      <formula1>項目!C17:$AWO$917505</formula1>
    </dataValidation>
    <dataValidation type="list" allowBlank="1" showInputMessage="1" showErrorMessage="1" sqref="BGQ917509:BGQ917532">
      <formula1>項目!C17:$BGK$917505</formula1>
    </dataValidation>
    <dataValidation type="list" allowBlank="1" showInputMessage="1" showErrorMessage="1" sqref="BQM917509:BQM917532">
      <formula1>項目!C17:$BQG$917505</formula1>
    </dataValidation>
    <dataValidation type="list" allowBlank="1" showInputMessage="1" showErrorMessage="1" sqref="CAI917509:CAI917532">
      <formula1>項目!C17:$CAC$917505</formula1>
    </dataValidation>
    <dataValidation type="list" allowBlank="1" showInputMessage="1" showErrorMessage="1" sqref="CKE917509:CKE917532">
      <formula1>項目!C17:$CJY$917505</formula1>
    </dataValidation>
    <dataValidation type="list" allowBlank="1" showInputMessage="1" showErrorMessage="1" sqref="CUA917509:CUA917532">
      <formula1>項目!C17:$CTU$917505</formula1>
    </dataValidation>
    <dataValidation type="list" allowBlank="1" showInputMessage="1" showErrorMessage="1" sqref="DDW917509:DDW917532">
      <formula1>項目!C17:$DDQ$917505</formula1>
    </dataValidation>
    <dataValidation type="list" allowBlank="1" showInputMessage="1" showErrorMessage="1" sqref="DNS917509:DNS917532">
      <formula1>項目!C17:$DNM$917505</formula1>
    </dataValidation>
    <dataValidation type="list" allowBlank="1" showInputMessage="1" showErrorMessage="1" sqref="DXO917509:DXO917532">
      <formula1>項目!C17:$DXI$917505</formula1>
    </dataValidation>
    <dataValidation type="list" allowBlank="1" showInputMessage="1" showErrorMessage="1" sqref="EHK917509:EHK917532">
      <formula1>項目!C17:$EHE$917505</formula1>
    </dataValidation>
    <dataValidation type="list" allowBlank="1" showInputMessage="1" showErrorMessage="1" sqref="ERG917509:ERG917532">
      <formula1>項目!C17:$ERA$917505</formula1>
    </dataValidation>
    <dataValidation type="list" allowBlank="1" showInputMessage="1" showErrorMessage="1" sqref="FBC917509:FBC917532">
      <formula1>項目!C17:$FAW$917505</formula1>
    </dataValidation>
    <dataValidation type="list" allowBlank="1" showInputMessage="1" showErrorMessage="1" sqref="FKY917509:FKY917532">
      <formula1>項目!C17:$FKS$917505</formula1>
    </dataValidation>
    <dataValidation type="list" allowBlank="1" showInputMessage="1" showErrorMessage="1" sqref="FUU917509:FUU917532">
      <formula1>項目!C17:$FUO$917505</formula1>
    </dataValidation>
    <dataValidation type="list" allowBlank="1" showInputMessage="1" showErrorMessage="1" sqref="GEQ917509:GEQ917532">
      <formula1>項目!C17:$GEK$917505</formula1>
    </dataValidation>
    <dataValidation type="list" allowBlank="1" showInputMessage="1" showErrorMessage="1" sqref="GOM917509:GOM917532">
      <formula1>項目!C17:$GOG$917505</formula1>
    </dataValidation>
    <dataValidation type="list" allowBlank="1" showInputMessage="1" showErrorMessage="1" sqref="GYI917509:GYI917532">
      <formula1>項目!C17:$GYC$917505</formula1>
    </dataValidation>
    <dataValidation type="list" allowBlank="1" showInputMessage="1" showErrorMessage="1" sqref="HIE917509:HIE917532">
      <formula1>項目!C17:$HHY$917505</formula1>
    </dataValidation>
    <dataValidation type="list" allowBlank="1" showInputMessage="1" showErrorMessage="1" sqref="HSA917509:HSA917532">
      <formula1>項目!C17:$HRU$917505</formula1>
    </dataValidation>
    <dataValidation type="list" allowBlank="1" showInputMessage="1" showErrorMessage="1" sqref="IBW917509:IBW917532">
      <formula1>項目!C17:$IBQ$917505</formula1>
    </dataValidation>
    <dataValidation type="list" allowBlank="1" showInputMessage="1" showErrorMessage="1" sqref="ILS917509:ILS917532">
      <formula1>項目!C17:$ILM$917505</formula1>
    </dataValidation>
    <dataValidation type="list" allowBlank="1" showInputMessage="1" showErrorMessage="1" sqref="IVO917509:IVO917532">
      <formula1>項目!C17:$IVI$917505</formula1>
    </dataValidation>
    <dataValidation type="list" allowBlank="1" showInputMessage="1" showErrorMessage="1" sqref="JFK917509:JFK917532">
      <formula1>項目!C17:$JFE$917505</formula1>
    </dataValidation>
    <dataValidation type="list" allowBlank="1" showInputMessage="1" showErrorMessage="1" sqref="JPG917509:JPG917532">
      <formula1>項目!C17:$JPA$917505</formula1>
    </dataValidation>
    <dataValidation type="list" allowBlank="1" showInputMessage="1" showErrorMessage="1" sqref="JZC917509:JZC917532">
      <formula1>項目!C17:$JYW$917505</formula1>
    </dataValidation>
    <dataValidation type="list" allowBlank="1" showInputMessage="1" showErrorMessage="1" sqref="KIY917509:KIY917532">
      <formula1>項目!C17:$KIS$917505</formula1>
    </dataValidation>
    <dataValidation type="list" allowBlank="1" showInputMessage="1" showErrorMessage="1" sqref="KSU917509:KSU917532">
      <formula1>項目!C17:$KSO$917505</formula1>
    </dataValidation>
    <dataValidation type="list" allowBlank="1" showInputMessage="1" showErrorMessage="1" sqref="LCQ917509:LCQ917532">
      <formula1>項目!C17:$LCK$917505</formula1>
    </dataValidation>
    <dataValidation type="list" allowBlank="1" showInputMessage="1" showErrorMessage="1" sqref="LMM917509:LMM917532">
      <formula1>項目!C17:$LMG$917505</formula1>
    </dataValidation>
    <dataValidation type="list" allowBlank="1" showInputMessage="1" showErrorMessage="1" sqref="LWI917509:LWI917532">
      <formula1>項目!C17:$LWC$917505</formula1>
    </dataValidation>
    <dataValidation type="list" allowBlank="1" showInputMessage="1" showErrorMessage="1" sqref="MGE917509:MGE917532">
      <formula1>項目!C17:$MFY$917505</formula1>
    </dataValidation>
    <dataValidation type="list" allowBlank="1" showInputMessage="1" showErrorMessage="1" sqref="MQA917509:MQA917532">
      <formula1>項目!C17:$MPU$917505</formula1>
    </dataValidation>
    <dataValidation type="list" allowBlank="1" showInputMessage="1" showErrorMessage="1" sqref="MZW917509:MZW917532">
      <formula1>項目!C17:$MZQ$917505</formula1>
    </dataValidation>
    <dataValidation type="list" allowBlank="1" showInputMessage="1" showErrorMessage="1" sqref="NJS917509:NJS917532">
      <formula1>項目!C17:$NJM$917505</formula1>
    </dataValidation>
    <dataValidation type="list" allowBlank="1" showInputMessage="1" showErrorMessage="1" sqref="NTO917509:NTO917532">
      <formula1>項目!C17:$NTI$917505</formula1>
    </dataValidation>
    <dataValidation type="list" allowBlank="1" showInputMessage="1" showErrorMessage="1" sqref="ODK917509:ODK917532">
      <formula1>項目!C17:$ODE$917505</formula1>
    </dataValidation>
    <dataValidation type="list" allowBlank="1" showInputMessage="1" showErrorMessage="1" sqref="ONG917509:ONG917532">
      <formula1>項目!C17:$ONA$917505</formula1>
    </dataValidation>
    <dataValidation type="list" allowBlank="1" showInputMessage="1" showErrorMessage="1" sqref="OXC917509:OXC917532">
      <formula1>項目!C17:$OWW$917505</formula1>
    </dataValidation>
    <dataValidation type="list" allowBlank="1" showInputMessage="1" showErrorMessage="1" sqref="PGY917509:PGY917532">
      <formula1>項目!C17:$PGS$917505</formula1>
    </dataValidation>
    <dataValidation type="list" allowBlank="1" showInputMessage="1" showErrorMessage="1" sqref="PQU917509:PQU917532">
      <formula1>項目!C17:$PQO$917505</formula1>
    </dataValidation>
    <dataValidation type="list" allowBlank="1" showInputMessage="1" showErrorMessage="1" sqref="QAQ917509:QAQ917532">
      <formula1>項目!C17:$QAK$917505</formula1>
    </dataValidation>
    <dataValidation type="list" allowBlank="1" showInputMessage="1" showErrorMessage="1" sqref="QKM917509:QKM917532">
      <formula1>項目!C17:$QKG$917505</formula1>
    </dataValidation>
    <dataValidation type="list" allowBlank="1" showInputMessage="1" showErrorMessage="1" sqref="QUI917509:QUI917532">
      <formula1>項目!C17:$QUC$917505</formula1>
    </dataValidation>
    <dataValidation type="list" allowBlank="1" showInputMessage="1" showErrorMessage="1" sqref="REE917509:REE917532">
      <formula1>項目!C17:$RDY$917505</formula1>
    </dataValidation>
    <dataValidation type="list" allowBlank="1" showInputMessage="1" showErrorMessage="1" sqref="ROA917509:ROA917532">
      <formula1>項目!C17:$RNU$917505</formula1>
    </dataValidation>
    <dataValidation type="list" allowBlank="1" showInputMessage="1" showErrorMessage="1" sqref="RXW917509:RXW917532">
      <formula1>項目!C17:$RXQ$917505</formula1>
    </dataValidation>
    <dataValidation type="list" allowBlank="1" showInputMessage="1" showErrorMessage="1" sqref="SHS917509:SHS917532">
      <formula1>項目!C17:$SHM$917505</formula1>
    </dataValidation>
    <dataValidation type="list" allowBlank="1" showInputMessage="1" showErrorMessage="1" sqref="SRO917509:SRO917532">
      <formula1>項目!C17:$SRI$917505</formula1>
    </dataValidation>
    <dataValidation type="list" allowBlank="1" showInputMessage="1" showErrorMessage="1" sqref="TBK917509:TBK917532">
      <formula1>項目!C17:$TBE$917505</formula1>
    </dataValidation>
    <dataValidation type="list" allowBlank="1" showInputMessage="1" showErrorMessage="1" sqref="TLG917509:TLG917532">
      <formula1>項目!C17:$TLA$917505</formula1>
    </dataValidation>
    <dataValidation type="list" allowBlank="1" showInputMessage="1" showErrorMessage="1" sqref="TVC917509:TVC917532">
      <formula1>項目!C17:$TUW$917505</formula1>
    </dataValidation>
    <dataValidation type="list" allowBlank="1" showInputMessage="1" showErrorMessage="1" sqref="UEY917509:UEY917532">
      <formula1>項目!C17:$UES$917505</formula1>
    </dataValidation>
    <dataValidation type="list" allowBlank="1" showInputMessage="1" showErrorMessage="1" sqref="UOU917509:UOU917532">
      <formula1>項目!C17:$UOO$917505</formula1>
    </dataValidation>
    <dataValidation type="list" allowBlank="1" showInputMessage="1" showErrorMessage="1" sqref="UYQ917509:UYQ917532">
      <formula1>項目!C17:$UYK$917505</formula1>
    </dataValidation>
    <dataValidation type="list" allowBlank="1" showInputMessage="1" showErrorMessage="1" sqref="VIM917509:VIM917532">
      <formula1>項目!C17:$VIG$917505</formula1>
    </dataValidation>
    <dataValidation type="list" allowBlank="1" showInputMessage="1" showErrorMessage="1" sqref="VSI917509:VSI917532">
      <formula1>項目!C17:$VSC$917505</formula1>
    </dataValidation>
    <dataValidation type="list" allowBlank="1" showInputMessage="1" showErrorMessage="1" sqref="WCE917509:WCE917532">
      <formula1>項目!C17:$WBY$917505</formula1>
    </dataValidation>
    <dataValidation type="list" allowBlank="1" showInputMessage="1" showErrorMessage="1" sqref="WMA917509:WMA917532">
      <formula1>項目!C17:$WLU$917505</formula1>
    </dataValidation>
    <dataValidation type="list" allowBlank="1" showInputMessage="1" showErrorMessage="1" sqref="WVW917509:WVW917532">
      <formula1>項目!C17:$WVQ$917505</formula1>
    </dataValidation>
    <dataValidation type="list" allowBlank="1" showInputMessage="1" showErrorMessage="1" sqref="O983045:O983068">
      <formula1>項目!C17:$J$983041</formula1>
    </dataValidation>
    <dataValidation type="list" allowBlank="1" showInputMessage="1" showErrorMessage="1" sqref="JK983045:JK983068">
      <formula1>項目!C17:$JE$983041</formula1>
    </dataValidation>
    <dataValidation type="list" allowBlank="1" showInputMessage="1" showErrorMessage="1" sqref="TG983045:TG983068">
      <formula1>項目!C17:$TA$983041</formula1>
    </dataValidation>
    <dataValidation type="list" allowBlank="1" showInputMessage="1" showErrorMessage="1" sqref="ADC983045:ADC983068">
      <formula1>項目!C17:$ACW$983041</formula1>
    </dataValidation>
    <dataValidation type="list" allowBlank="1" showInputMessage="1" showErrorMessage="1" sqref="AMY983045:AMY983068">
      <formula1>項目!C17:$AMS$983041</formula1>
    </dataValidation>
    <dataValidation type="list" allowBlank="1" showInputMessage="1" showErrorMessage="1" sqref="AWU983045:AWU983068">
      <formula1>項目!C17:$AWO$983041</formula1>
    </dataValidation>
    <dataValidation type="list" allowBlank="1" showInputMessage="1" showErrorMessage="1" sqref="BGQ983045:BGQ983068">
      <formula1>項目!C17:$BGK$983041</formula1>
    </dataValidation>
    <dataValidation type="list" allowBlank="1" showInputMessage="1" showErrorMessage="1" sqref="BQM983045:BQM983068">
      <formula1>項目!C17:$BQG$983041</formula1>
    </dataValidation>
    <dataValidation type="list" allowBlank="1" showInputMessage="1" showErrorMessage="1" sqref="CAI983045:CAI983068">
      <formula1>項目!C17:$CAC$983041</formula1>
    </dataValidation>
    <dataValidation type="list" allowBlank="1" showInputMessage="1" showErrorMessage="1" sqref="CKE983045:CKE983068">
      <formula1>項目!C17:$CJY$983041</formula1>
    </dataValidation>
    <dataValidation type="list" allowBlank="1" showInputMessage="1" showErrorMessage="1" sqref="CUA983045:CUA983068">
      <formula1>項目!C17:$CTU$983041</formula1>
    </dataValidation>
    <dataValidation type="list" allowBlank="1" showInputMessage="1" showErrorMessage="1" sqref="DDW983045:DDW983068">
      <formula1>項目!C17:$DDQ$983041</formula1>
    </dataValidation>
    <dataValidation type="list" allowBlank="1" showInputMessage="1" showErrorMessage="1" sqref="DNS983045:DNS983068">
      <formula1>項目!C17:$DNM$983041</formula1>
    </dataValidation>
    <dataValidation type="list" allowBlank="1" showInputMessage="1" showErrorMessage="1" sqref="DXO983045:DXO983068">
      <formula1>項目!C17:$DXI$983041</formula1>
    </dataValidation>
    <dataValidation type="list" allowBlank="1" showInputMessage="1" showErrorMessage="1" sqref="EHK983045:EHK983068">
      <formula1>項目!C17:$EHE$983041</formula1>
    </dataValidation>
    <dataValidation type="list" allowBlank="1" showInputMessage="1" showErrorMessage="1" sqref="ERG983045:ERG983068">
      <formula1>項目!C17:$ERA$983041</formula1>
    </dataValidation>
    <dataValidation type="list" allowBlank="1" showInputMessage="1" showErrorMessage="1" sqref="FBC983045:FBC983068">
      <formula1>項目!C17:$FAW$983041</formula1>
    </dataValidation>
    <dataValidation type="list" allowBlank="1" showInputMessage="1" showErrorMessage="1" sqref="FKY983045:FKY983068">
      <formula1>項目!C17:$FKS$983041</formula1>
    </dataValidation>
    <dataValidation type="list" allowBlank="1" showInputMessage="1" showErrorMessage="1" sqref="FUU983045:FUU983068">
      <formula1>項目!C17:$FUO$983041</formula1>
    </dataValidation>
    <dataValidation type="list" allowBlank="1" showInputMessage="1" showErrorMessage="1" sqref="GEQ983045:GEQ983068">
      <formula1>項目!C17:$GEK$983041</formula1>
    </dataValidation>
    <dataValidation type="list" allowBlank="1" showInputMessage="1" showErrorMessage="1" sqref="GOM983045:GOM983068">
      <formula1>項目!C17:$GOG$983041</formula1>
    </dataValidation>
    <dataValidation type="list" allowBlank="1" showInputMessage="1" showErrorMessage="1" sqref="GYI983045:GYI983068">
      <formula1>項目!C17:$GYC$983041</formula1>
    </dataValidation>
    <dataValidation type="list" allowBlank="1" showInputMessage="1" showErrorMessage="1" sqref="HIE983045:HIE983068">
      <formula1>項目!C17:$HHY$983041</formula1>
    </dataValidation>
    <dataValidation type="list" allowBlank="1" showInputMessage="1" showErrorMessage="1" sqref="HSA983045:HSA983068">
      <formula1>項目!C17:$HRU$983041</formula1>
    </dataValidation>
    <dataValidation type="list" allowBlank="1" showInputMessage="1" showErrorMessage="1" sqref="IBW983045:IBW983068">
      <formula1>項目!C17:$IBQ$983041</formula1>
    </dataValidation>
    <dataValidation type="list" allowBlank="1" showInputMessage="1" showErrorMessage="1" sqref="ILS983045:ILS983068">
      <formula1>項目!C17:$ILM$983041</formula1>
    </dataValidation>
    <dataValidation type="list" allowBlank="1" showInputMessage="1" showErrorMessage="1" sqref="IVO983045:IVO983068">
      <formula1>項目!C17:$IVI$983041</formula1>
    </dataValidation>
    <dataValidation type="list" allowBlank="1" showInputMessage="1" showErrorMessage="1" sqref="JFK983045:JFK983068">
      <formula1>項目!C17:$JFE$983041</formula1>
    </dataValidation>
    <dataValidation type="list" allowBlank="1" showInputMessage="1" showErrorMessage="1" sqref="JPG983045:JPG983068">
      <formula1>項目!C17:$JPA$983041</formula1>
    </dataValidation>
    <dataValidation type="list" allowBlank="1" showInputMessage="1" showErrorMessage="1" sqref="JZC983045:JZC983068">
      <formula1>項目!C17:$JYW$983041</formula1>
    </dataValidation>
    <dataValidation type="list" allowBlank="1" showInputMessage="1" showErrorMessage="1" sqref="KIY983045:KIY983068">
      <formula1>項目!C17:$KIS$983041</formula1>
    </dataValidation>
    <dataValidation type="list" allowBlank="1" showInputMessage="1" showErrorMessage="1" sqref="KSU983045:KSU983068">
      <formula1>項目!C17:$KSO$983041</formula1>
    </dataValidation>
    <dataValidation type="list" allowBlank="1" showInputMessage="1" showErrorMessage="1" sqref="LCQ983045:LCQ983068">
      <formula1>項目!C17:$LCK$983041</formula1>
    </dataValidation>
    <dataValidation type="list" allowBlank="1" showInputMessage="1" showErrorMessage="1" sqref="LMM983045:LMM983068">
      <formula1>項目!C17:$LMG$983041</formula1>
    </dataValidation>
    <dataValidation type="list" allowBlank="1" showInputMessage="1" showErrorMessage="1" sqref="LWI983045:LWI983068">
      <formula1>項目!C17:$LWC$983041</formula1>
    </dataValidation>
    <dataValidation type="list" allowBlank="1" showInputMessage="1" showErrorMessage="1" sqref="MGE983045:MGE983068">
      <formula1>項目!C17:$MFY$983041</formula1>
    </dataValidation>
    <dataValidation type="list" allowBlank="1" showInputMessage="1" showErrorMessage="1" sqref="MQA983045:MQA983068">
      <formula1>項目!C17:$MPU$983041</formula1>
    </dataValidation>
    <dataValidation type="list" allowBlank="1" showInputMessage="1" showErrorMessage="1" sqref="MZW983045:MZW983068">
      <formula1>項目!C17:$MZQ$983041</formula1>
    </dataValidation>
    <dataValidation type="list" allowBlank="1" showInputMessage="1" showErrorMessage="1" sqref="NJS983045:NJS983068">
      <formula1>項目!C17:$NJM$983041</formula1>
    </dataValidation>
    <dataValidation type="list" allowBlank="1" showInputMessage="1" showErrorMessage="1" sqref="NTO983045:NTO983068">
      <formula1>項目!C17:$NTI$983041</formula1>
    </dataValidation>
    <dataValidation type="list" allowBlank="1" showInputMessage="1" showErrorMessage="1" sqref="ODK983045:ODK983068">
      <formula1>項目!C17:$ODE$983041</formula1>
    </dataValidation>
    <dataValidation type="list" allowBlank="1" showInputMessage="1" showErrorMessage="1" sqref="ONG983045:ONG983068">
      <formula1>項目!C17:$ONA$983041</formula1>
    </dataValidation>
    <dataValidation type="list" allowBlank="1" showInputMessage="1" showErrorMessage="1" sqref="OXC983045:OXC983068">
      <formula1>項目!C17:$OWW$983041</formula1>
    </dataValidation>
    <dataValidation type="list" allowBlank="1" showInputMessage="1" showErrorMessage="1" sqref="PGY983045:PGY983068">
      <formula1>項目!C17:$PGS$983041</formula1>
    </dataValidation>
    <dataValidation type="list" allowBlank="1" showInputMessage="1" showErrorMessage="1" sqref="PQU983045:PQU983068">
      <formula1>項目!C17:$PQO$983041</formula1>
    </dataValidation>
    <dataValidation type="list" allowBlank="1" showInputMessage="1" showErrorMessage="1" sqref="QAQ983045:QAQ983068">
      <formula1>項目!C17:$QAK$983041</formula1>
    </dataValidation>
    <dataValidation type="list" allowBlank="1" showInputMessage="1" showErrorMessage="1" sqref="QKM983045:QKM983068">
      <formula1>項目!C17:$QKG$983041</formula1>
    </dataValidation>
    <dataValidation type="list" allowBlank="1" showInputMessage="1" showErrorMessage="1" sqref="QUI983045:QUI983068">
      <formula1>項目!C17:$QUC$983041</formula1>
    </dataValidation>
    <dataValidation type="list" allowBlank="1" showInputMessage="1" showErrorMessage="1" sqref="REE983045:REE983068">
      <formula1>項目!C17:$RDY$983041</formula1>
    </dataValidation>
    <dataValidation type="list" allowBlank="1" showInputMessage="1" showErrorMessage="1" sqref="ROA983045:ROA983068">
      <formula1>項目!C17:$RNU$983041</formula1>
    </dataValidation>
    <dataValidation type="list" allowBlank="1" showInputMessage="1" showErrorMessage="1" sqref="RXW983045:RXW983068">
      <formula1>項目!C17:$RXQ$983041</formula1>
    </dataValidation>
    <dataValidation type="list" allowBlank="1" showInputMessage="1" showErrorMessage="1" sqref="SHS983045:SHS983068">
      <formula1>項目!C17:$SHM$983041</formula1>
    </dataValidation>
    <dataValidation type="list" allowBlank="1" showInputMessage="1" showErrorMessage="1" sqref="SRO983045:SRO983068">
      <formula1>項目!C17:$SRI$983041</formula1>
    </dataValidation>
    <dataValidation type="list" allowBlank="1" showInputMessage="1" showErrorMessage="1" sqref="TBK983045:TBK983068">
      <formula1>項目!C17:$TBE$983041</formula1>
    </dataValidation>
    <dataValidation type="list" allowBlank="1" showInputMessage="1" showErrorMessage="1" sqref="TLG983045:TLG983068">
      <formula1>項目!C17:$TLA$983041</formula1>
    </dataValidation>
    <dataValidation type="list" allowBlank="1" showInputMessage="1" showErrorMessage="1" sqref="TVC983045:TVC983068">
      <formula1>項目!C17:$TUW$983041</formula1>
    </dataValidation>
    <dataValidation type="list" allowBlank="1" showInputMessage="1" showErrorMessage="1" sqref="UEY983045:UEY983068">
      <formula1>項目!C17:$UES$983041</formula1>
    </dataValidation>
    <dataValidation type="list" allowBlank="1" showInputMessage="1" showErrorMessage="1" sqref="UOU983045:UOU983068">
      <formula1>項目!C17:$UOO$983041</formula1>
    </dataValidation>
    <dataValidation type="list" allowBlank="1" showInputMessage="1" showErrorMessage="1" sqref="UYQ983045:UYQ983068">
      <formula1>項目!C17:$UYK$983041</formula1>
    </dataValidation>
    <dataValidation type="list" allowBlank="1" showInputMessage="1" showErrorMessage="1" sqref="VIM983045:VIM983068">
      <formula1>項目!C17:$VIG$983041</formula1>
    </dataValidation>
    <dataValidation type="list" allowBlank="1" showInputMessage="1" showErrorMessage="1" sqref="VSI983045:VSI983068">
      <formula1>項目!C17:$VSC$983041</formula1>
    </dataValidation>
    <dataValidation type="list" allowBlank="1" showInputMessage="1" showErrorMessage="1" sqref="WCE983045:WCE983068">
      <formula1>項目!C17:$WBY$983041</formula1>
    </dataValidation>
    <dataValidation type="list" allowBlank="1" showInputMessage="1" showErrorMessage="1" sqref="WMA983045:WMA983068">
      <formula1>項目!C17:$WLU$983041</formula1>
    </dataValidation>
    <dataValidation type="list" allowBlank="1" showInputMessage="1" showErrorMessage="1" sqref="WVW983045:WVW983068">
      <formula1>項目!C17:$WVQ$983041</formula1>
    </dataValidation>
    <dataValidation type="list" allowBlank="1" showInputMessage="1" showErrorMessage="1" sqref="SY5:SY28">
      <formula1>項目!C1:$SS$17</formula1>
    </dataValidation>
    <dataValidation type="list" allowBlank="1" showInputMessage="1" showErrorMessage="1" sqref="JO5:JO28">
      <formula1>項目!C1:$JI$17</formula1>
    </dataValidation>
    <dataValidation type="list" allowBlank="1" showInputMessage="1" showErrorMessage="1" sqref="TK5:TK28">
      <formula1>項目!C1:$TE$17</formula1>
    </dataValidation>
    <dataValidation type="list" allowBlank="1" showInputMessage="1" showErrorMessage="1" sqref="ADG5:ADG28">
      <formula1>項目!C1:$ADA$17</formula1>
    </dataValidation>
    <dataValidation type="list" allowBlank="1" showInputMessage="1" showErrorMessage="1" sqref="ANC5:ANC28">
      <formula1>項目!C1:$AMW$17</formula1>
    </dataValidation>
    <dataValidation type="list" allowBlank="1" showInputMessage="1" showErrorMessage="1" sqref="AWY5:AWY28">
      <formula1>項目!C1:$AWS$17</formula1>
    </dataValidation>
    <dataValidation type="list" allowBlank="1" showInputMessage="1" showErrorMessage="1" sqref="BGU5:BGU28">
      <formula1>項目!C1:$BGO$17</formula1>
    </dataValidation>
    <dataValidation type="list" allowBlank="1" showInputMessage="1" showErrorMessage="1" sqref="BQQ5:BQQ28">
      <formula1>項目!C1:$BQK$17</formula1>
    </dataValidation>
    <dataValidation type="list" allowBlank="1" showInputMessage="1" showErrorMessage="1" sqref="CAM5:CAM28">
      <formula1>項目!C1:$CAG$17</formula1>
    </dataValidation>
    <dataValidation type="list" allowBlank="1" showInputMessage="1" showErrorMessage="1" sqref="CKI5:CKI28">
      <formula1>項目!C1:$CKC$17</formula1>
    </dataValidation>
    <dataValidation type="list" allowBlank="1" showInputMessage="1" showErrorMessage="1" sqref="CUE5:CUE28">
      <formula1>項目!C1:$CTY$17</formula1>
    </dataValidation>
    <dataValidation type="list" allowBlank="1" showInputMessage="1" showErrorMessage="1" sqref="DEA5:DEA28">
      <formula1>項目!C1:$DDU$17</formula1>
    </dataValidation>
    <dataValidation type="list" allowBlank="1" showInputMessage="1" showErrorMessage="1" sqref="DNW5:DNW28">
      <formula1>項目!C1:$DNQ$17</formula1>
    </dataValidation>
    <dataValidation type="list" allowBlank="1" showInputMessage="1" showErrorMessage="1" sqref="DXS5:DXS28">
      <formula1>項目!C1:$DXM$17</formula1>
    </dataValidation>
    <dataValidation type="list" allowBlank="1" showInputMessage="1" showErrorMessage="1" sqref="EHO5:EHO28">
      <formula1>項目!C1:$EHI$17</formula1>
    </dataValidation>
    <dataValidation type="list" allowBlank="1" showInputMessage="1" showErrorMessage="1" sqref="ERK5:ERK28">
      <formula1>項目!C1:$ERE$17</formula1>
    </dataValidation>
    <dataValidation type="list" allowBlank="1" showInputMessage="1" showErrorMessage="1" sqref="FBG5:FBG28">
      <formula1>項目!C1:$FBA$17</formula1>
    </dataValidation>
    <dataValidation type="list" allowBlank="1" showInputMessage="1" showErrorMessage="1" sqref="FLC5:FLC28">
      <formula1>項目!C1:$FKW$17</formula1>
    </dataValidation>
    <dataValidation type="list" allowBlank="1" showInputMessage="1" showErrorMessage="1" sqref="FUY5:FUY28">
      <formula1>項目!C1:$FUS$17</formula1>
    </dataValidation>
    <dataValidation type="list" allowBlank="1" showInputMessage="1" showErrorMessage="1" sqref="GEU5:GEU28">
      <formula1>項目!C1:$GEO$17</formula1>
    </dataValidation>
    <dataValidation type="list" allowBlank="1" showInputMessage="1" showErrorMessage="1" sqref="GOQ5:GOQ28">
      <formula1>項目!C1:$GOK$17</formula1>
    </dataValidation>
    <dataValidation type="list" allowBlank="1" showInputMessage="1" showErrorMessage="1" sqref="GYM5:GYM28">
      <formula1>項目!C1:$GYG$17</formula1>
    </dataValidation>
    <dataValidation type="list" allowBlank="1" showInputMessage="1" showErrorMessage="1" sqref="HII5:HII28">
      <formula1>項目!C1:$HIC$17</formula1>
    </dataValidation>
    <dataValidation type="list" allowBlank="1" showInputMessage="1" showErrorMessage="1" sqref="HSE5:HSE28">
      <formula1>項目!C1:$HRY$17</formula1>
    </dataValidation>
    <dataValidation type="list" allowBlank="1" showInputMessage="1" showErrorMessage="1" sqref="ICA5:ICA28">
      <formula1>項目!C1:$IBU$17</formula1>
    </dataValidation>
    <dataValidation type="list" allowBlank="1" showInputMessage="1" showErrorMessage="1" sqref="ILW5:ILW28">
      <formula1>項目!C1:$ILQ$17</formula1>
    </dataValidation>
    <dataValidation type="list" allowBlank="1" showInputMessage="1" showErrorMessage="1" sqref="IVS5:IVS28">
      <formula1>項目!C1:$IVM$17</formula1>
    </dataValidation>
    <dataValidation type="list" allowBlank="1" showInputMessage="1" showErrorMessage="1" sqref="JFO5:JFO28">
      <formula1>項目!C1:$JFI$17</formula1>
    </dataValidation>
    <dataValidation type="list" allowBlank="1" showInputMessage="1" showErrorMessage="1" sqref="JPK5:JPK28">
      <formula1>項目!C1:$JPE$17</formula1>
    </dataValidation>
    <dataValidation type="list" allowBlank="1" showInputMessage="1" showErrorMessage="1" sqref="JZG5:JZG28">
      <formula1>項目!C1:$JZA$17</formula1>
    </dataValidation>
    <dataValidation type="list" allowBlank="1" showInputMessage="1" showErrorMessage="1" sqref="KJC5:KJC28">
      <formula1>項目!C1:$KIW$17</formula1>
    </dataValidation>
    <dataValidation type="list" allowBlank="1" showInputMessage="1" showErrorMessage="1" sqref="KSY5:KSY28">
      <formula1>項目!C1:$KSS$17</formula1>
    </dataValidation>
    <dataValidation type="list" allowBlank="1" showInputMessage="1" showErrorMessage="1" sqref="LCU5:LCU28">
      <formula1>項目!C1:$LCO$17</formula1>
    </dataValidation>
    <dataValidation type="list" allowBlank="1" showInputMessage="1" showErrorMessage="1" sqref="LMQ5:LMQ28">
      <formula1>項目!C1:$LMK$17</formula1>
    </dataValidation>
    <dataValidation type="list" allowBlank="1" showInputMessage="1" showErrorMessage="1" sqref="LWM5:LWM28">
      <formula1>項目!C1:$LWG$17</formula1>
    </dataValidation>
    <dataValidation type="list" allowBlank="1" showInputMessage="1" showErrorMessage="1" sqref="MGI5:MGI28">
      <formula1>項目!C1:$MGC$17</formula1>
    </dataValidation>
    <dataValidation type="list" allowBlank="1" showInputMessage="1" showErrorMessage="1" sqref="MQE5:MQE28">
      <formula1>項目!C1:$MPY$17</formula1>
    </dataValidation>
    <dataValidation type="list" allowBlank="1" showInputMessage="1" showErrorMessage="1" sqref="NAA5:NAA28">
      <formula1>項目!C1:$MZU$17</formula1>
    </dataValidation>
    <dataValidation type="list" allowBlank="1" showInputMessage="1" showErrorMessage="1" sqref="NJW5:NJW28">
      <formula1>項目!C1:$NJQ$17</formula1>
    </dataValidation>
    <dataValidation type="list" allowBlank="1" showInputMessage="1" showErrorMessage="1" sqref="NTS5:NTS28">
      <formula1>項目!C1:$NTM$17</formula1>
    </dataValidation>
    <dataValidation type="list" allowBlank="1" showInputMessage="1" showErrorMessage="1" sqref="ODO5:ODO28">
      <formula1>項目!C1:$ODI$17</formula1>
    </dataValidation>
    <dataValidation type="list" allowBlank="1" showInputMessage="1" showErrorMessage="1" sqref="ONK5:ONK28">
      <formula1>項目!C1:$ONE$17</formula1>
    </dataValidation>
    <dataValidation type="list" allowBlank="1" showInputMessage="1" showErrorMessage="1" sqref="OXG5:OXG28">
      <formula1>項目!C1:$OXA$17</formula1>
    </dataValidation>
    <dataValidation type="list" allowBlank="1" showInputMessage="1" showErrorMessage="1" sqref="PHC5:PHC28">
      <formula1>項目!C1:$PGW$17</formula1>
    </dataValidation>
    <dataValidation type="list" allowBlank="1" showInputMessage="1" showErrorMessage="1" sqref="PQY5:PQY28">
      <formula1>項目!C1:$PQS$17</formula1>
    </dataValidation>
    <dataValidation type="list" allowBlank="1" showInputMessage="1" showErrorMessage="1" sqref="QAU5:QAU28">
      <formula1>項目!C1:$QAO$17</formula1>
    </dataValidation>
    <dataValidation type="list" allowBlank="1" showInputMessage="1" showErrorMessage="1" sqref="QKQ5:QKQ28">
      <formula1>項目!C1:$QKK$17</formula1>
    </dataValidation>
    <dataValidation type="list" allowBlank="1" showInputMessage="1" showErrorMessage="1" sqref="QUM5:QUM28">
      <formula1>項目!C1:$QUG$17</formula1>
    </dataValidation>
    <dataValidation type="list" allowBlank="1" showInputMessage="1" showErrorMessage="1" sqref="REI5:REI28">
      <formula1>項目!C1:$REC$17</formula1>
    </dataValidation>
    <dataValidation type="list" allowBlank="1" showInputMessage="1" showErrorMessage="1" sqref="ROE5:ROE28">
      <formula1>項目!C1:$RNY$17</formula1>
    </dataValidation>
    <dataValidation type="list" allowBlank="1" showInputMessage="1" showErrorMessage="1" sqref="RYA5:RYA28">
      <formula1>項目!C1:$RXU$17</formula1>
    </dataValidation>
    <dataValidation type="list" allowBlank="1" showInputMessage="1" showErrorMessage="1" sqref="SHW5:SHW28">
      <formula1>項目!C1:$SHQ$17</formula1>
    </dataValidation>
    <dataValidation type="list" allowBlank="1" showInputMessage="1" showErrorMessage="1" sqref="SRS5:SRS28">
      <formula1>項目!C1:$SRM$17</formula1>
    </dataValidation>
    <dataValidation type="list" allowBlank="1" showInputMessage="1" showErrorMessage="1" sqref="TBO5:TBO28">
      <formula1>項目!C1:$TBI$17</formula1>
    </dataValidation>
    <dataValidation type="list" allowBlank="1" showInputMessage="1" showErrorMessage="1" sqref="TLK5:TLK28">
      <formula1>項目!C1:$TLE$17</formula1>
    </dataValidation>
    <dataValidation type="list" allowBlank="1" showInputMessage="1" showErrorMessage="1" sqref="TVG5:TVG28">
      <formula1>項目!C1:$TVA$17</formula1>
    </dataValidation>
    <dataValidation type="list" allowBlank="1" showInputMessage="1" showErrorMessage="1" sqref="UFC5:UFC28">
      <formula1>項目!C1:$UEW$17</formula1>
    </dataValidation>
    <dataValidation type="list" allowBlank="1" showInputMessage="1" showErrorMessage="1" sqref="UOY5:UOY28">
      <formula1>項目!C1:$UOS$17</formula1>
    </dataValidation>
    <dataValidation type="list" allowBlank="1" showInputMessage="1" showErrorMessage="1" sqref="UYU5:UYU28">
      <formula1>項目!C1:$UYO$17</formula1>
    </dataValidation>
    <dataValidation type="list" allowBlank="1" showInputMessage="1" showErrorMessage="1" sqref="VIQ5:VIQ28">
      <formula1>項目!C1:$VIK$17</formula1>
    </dataValidation>
    <dataValidation type="list" allowBlank="1" showInputMessage="1" showErrorMessage="1" sqref="VSM5:VSM28">
      <formula1>項目!C1:$VSG$17</formula1>
    </dataValidation>
    <dataValidation type="list" allowBlank="1" showInputMessage="1" showErrorMessage="1" sqref="WCI5:WCI28">
      <formula1>項目!C1:$WCC$17</formula1>
    </dataValidation>
    <dataValidation type="list" allowBlank="1" showInputMessage="1" showErrorMessage="1" sqref="WME5:WME28">
      <formula1>項目!C1:$WLY$17</formula1>
    </dataValidation>
    <dataValidation type="list" allowBlank="1" showInputMessage="1" showErrorMessage="1" sqref="WWA5:WWA28">
      <formula1>項目!C1:$WVU$17</formula1>
    </dataValidation>
    <dataValidation type="list" allowBlank="1" showInputMessage="1" showErrorMessage="1" sqref="S65541:S65564">
      <formula1>項目!C17:$M$65537</formula1>
    </dataValidation>
    <dataValidation type="list" allowBlank="1" showInputMessage="1" showErrorMessage="1" sqref="JO65541:JO65564">
      <formula1>項目!C17:$JI$65537</formula1>
    </dataValidation>
    <dataValidation type="list" allowBlank="1" showInputMessage="1" showErrorMessage="1" sqref="TK65541:TK65564">
      <formula1>項目!C17:$TE$65537</formula1>
    </dataValidation>
    <dataValidation type="list" allowBlank="1" showInputMessage="1" showErrorMessage="1" sqref="ADG65541:ADG65564">
      <formula1>項目!C17:$ADA$65537</formula1>
    </dataValidation>
    <dataValidation type="list" allowBlank="1" showInputMessage="1" showErrorMessage="1" sqref="ANC65541:ANC65564">
      <formula1>項目!C17:$AMW$65537</formula1>
    </dataValidation>
    <dataValidation type="list" allowBlank="1" showInputMessage="1" showErrorMessage="1" sqref="AWY65541:AWY65564">
      <formula1>項目!C17:$AWS$65537</formula1>
    </dataValidation>
    <dataValidation type="list" allowBlank="1" showInputMessage="1" showErrorMessage="1" sqref="BGU65541:BGU65564">
      <formula1>項目!C17:$BGO$65537</formula1>
    </dataValidation>
    <dataValidation type="list" allowBlank="1" showInputMessage="1" showErrorMessage="1" sqref="BQQ65541:BQQ65564">
      <formula1>項目!C17:$BQK$65537</formula1>
    </dataValidation>
    <dataValidation type="list" allowBlank="1" showInputMessage="1" showErrorMessage="1" sqref="CAM65541:CAM65564">
      <formula1>項目!C17:$CAG$65537</formula1>
    </dataValidation>
    <dataValidation type="list" allowBlank="1" showInputMessage="1" showErrorMessage="1" sqref="CKI65541:CKI65564">
      <formula1>項目!C17:$CKC$65537</formula1>
    </dataValidation>
    <dataValidation type="list" allowBlank="1" showInputMessage="1" showErrorMessage="1" sqref="CUE65541:CUE65564">
      <formula1>項目!C17:$CTY$65537</formula1>
    </dataValidation>
    <dataValidation type="list" allowBlank="1" showInputMessage="1" showErrorMessage="1" sqref="DEA65541:DEA65564">
      <formula1>項目!C17:$DDU$65537</formula1>
    </dataValidation>
    <dataValidation type="list" allowBlank="1" showInputMessage="1" showErrorMessage="1" sqref="DNW65541:DNW65564">
      <formula1>項目!C17:$DNQ$65537</formula1>
    </dataValidation>
    <dataValidation type="list" allowBlank="1" showInputMessage="1" showErrorMessage="1" sqref="DXS65541:DXS65564">
      <formula1>項目!C17:$DXM$65537</formula1>
    </dataValidation>
    <dataValidation type="list" allowBlank="1" showInputMessage="1" showErrorMessage="1" sqref="EHO65541:EHO65564">
      <formula1>項目!C17:$EHI$65537</formula1>
    </dataValidation>
    <dataValidation type="list" allowBlank="1" showInputMessage="1" showErrorMessage="1" sqref="ERK65541:ERK65564">
      <formula1>項目!C17:$ERE$65537</formula1>
    </dataValidation>
    <dataValidation type="list" allowBlank="1" showInputMessage="1" showErrorMessage="1" sqref="FBG65541:FBG65564">
      <formula1>項目!C17:$FBA$65537</formula1>
    </dataValidation>
    <dataValidation type="list" allowBlank="1" showInputMessage="1" showErrorMessage="1" sqref="FLC65541:FLC65564">
      <formula1>項目!C17:$FKW$65537</formula1>
    </dataValidation>
    <dataValidation type="list" allowBlank="1" showInputMessage="1" showErrorMessage="1" sqref="FUY65541:FUY65564">
      <formula1>項目!C17:$FUS$65537</formula1>
    </dataValidation>
    <dataValidation type="list" allowBlank="1" showInputMessage="1" showErrorMessage="1" sqref="GEU65541:GEU65564">
      <formula1>項目!C17:$GEO$65537</formula1>
    </dataValidation>
    <dataValidation type="list" allowBlank="1" showInputMessage="1" showErrorMessage="1" sqref="GOQ65541:GOQ65564">
      <formula1>項目!C17:$GOK$65537</formula1>
    </dataValidation>
    <dataValidation type="list" allowBlank="1" showInputMessage="1" showErrorMessage="1" sqref="GYM65541:GYM65564">
      <formula1>項目!C17:$GYG$65537</formula1>
    </dataValidation>
    <dataValidation type="list" allowBlank="1" showInputMessage="1" showErrorMessage="1" sqref="HII65541:HII65564">
      <formula1>項目!C17:$HIC$65537</formula1>
    </dataValidation>
    <dataValidation type="list" allowBlank="1" showInputMessage="1" showErrorMessage="1" sqref="HSE65541:HSE65564">
      <formula1>項目!C17:$HRY$65537</formula1>
    </dataValidation>
    <dataValidation type="list" allowBlank="1" showInputMessage="1" showErrorMessage="1" sqref="ICA65541:ICA65564">
      <formula1>項目!C17:$IBU$65537</formula1>
    </dataValidation>
    <dataValidation type="list" allowBlank="1" showInputMessage="1" showErrorMessage="1" sqref="ILW65541:ILW65564">
      <formula1>項目!C17:$ILQ$65537</formula1>
    </dataValidation>
    <dataValidation type="list" allowBlank="1" showInputMessage="1" showErrorMessage="1" sqref="IVS65541:IVS65564">
      <formula1>項目!C17:$IVM$65537</formula1>
    </dataValidation>
    <dataValidation type="list" allowBlank="1" showInputMessage="1" showErrorMessage="1" sqref="JFO65541:JFO65564">
      <formula1>項目!C17:$JFI$65537</formula1>
    </dataValidation>
    <dataValidation type="list" allowBlank="1" showInputMessage="1" showErrorMessage="1" sqref="JPK65541:JPK65564">
      <formula1>項目!C17:$JPE$65537</formula1>
    </dataValidation>
    <dataValidation type="list" allowBlank="1" showInputMessage="1" showErrorMessage="1" sqref="JZG65541:JZG65564">
      <formula1>項目!C17:$JZA$65537</formula1>
    </dataValidation>
    <dataValidation type="list" allowBlank="1" showInputMessage="1" showErrorMessage="1" sqref="KJC65541:KJC65564">
      <formula1>項目!C17:$KIW$65537</formula1>
    </dataValidation>
    <dataValidation type="list" allowBlank="1" showInputMessage="1" showErrorMessage="1" sqref="KSY65541:KSY65564">
      <formula1>項目!C17:$KSS$65537</formula1>
    </dataValidation>
    <dataValidation type="list" allowBlank="1" showInputMessage="1" showErrorMessage="1" sqref="LCU65541:LCU65564">
      <formula1>項目!C17:$LCO$65537</formula1>
    </dataValidation>
    <dataValidation type="list" allowBlank="1" showInputMessage="1" showErrorMessage="1" sqref="LMQ65541:LMQ65564">
      <formula1>項目!C17:$LMK$65537</formula1>
    </dataValidation>
    <dataValidation type="list" allowBlank="1" showInputMessage="1" showErrorMessage="1" sqref="LWM65541:LWM65564">
      <formula1>項目!C17:$LWG$65537</formula1>
    </dataValidation>
    <dataValidation type="list" allowBlank="1" showInputMessage="1" showErrorMessage="1" sqref="MGI65541:MGI65564">
      <formula1>項目!C17:$MGC$65537</formula1>
    </dataValidation>
    <dataValidation type="list" allowBlank="1" showInputMessage="1" showErrorMessage="1" sqref="MQE65541:MQE65564">
      <formula1>項目!C17:$MPY$65537</formula1>
    </dataValidation>
    <dataValidation type="list" allowBlank="1" showInputMessage="1" showErrorMessage="1" sqref="NAA65541:NAA65564">
      <formula1>項目!C17:$MZU$65537</formula1>
    </dataValidation>
    <dataValidation type="list" allowBlank="1" showInputMessage="1" showErrorMessage="1" sqref="NJW65541:NJW65564">
      <formula1>項目!C17:$NJQ$65537</formula1>
    </dataValidation>
    <dataValidation type="list" allowBlank="1" showInputMessage="1" showErrorMessage="1" sqref="NTS65541:NTS65564">
      <formula1>項目!C17:$NTM$65537</formula1>
    </dataValidation>
    <dataValidation type="list" allowBlank="1" showInputMessage="1" showErrorMessage="1" sqref="ODO65541:ODO65564">
      <formula1>項目!C17:$ODI$65537</formula1>
    </dataValidation>
    <dataValidation type="list" allowBlank="1" showInputMessage="1" showErrorMessage="1" sqref="ONK65541:ONK65564">
      <formula1>項目!C17:$ONE$65537</formula1>
    </dataValidation>
    <dataValidation type="list" allowBlank="1" showInputMessage="1" showErrorMessage="1" sqref="OXG65541:OXG65564">
      <formula1>項目!C17:$OXA$65537</formula1>
    </dataValidation>
    <dataValidation type="list" allowBlank="1" showInputMessage="1" showErrorMessage="1" sqref="PHC65541:PHC65564">
      <formula1>項目!C17:$PGW$65537</formula1>
    </dataValidation>
    <dataValidation type="list" allowBlank="1" showInputMessage="1" showErrorMessage="1" sqref="PQY65541:PQY65564">
      <formula1>項目!C17:$PQS$65537</formula1>
    </dataValidation>
    <dataValidation type="list" allowBlank="1" showInputMessage="1" showErrorMessage="1" sqref="QAU65541:QAU65564">
      <formula1>項目!C17:$QAO$65537</formula1>
    </dataValidation>
    <dataValidation type="list" allowBlank="1" showInputMessage="1" showErrorMessage="1" sqref="QKQ65541:QKQ65564">
      <formula1>項目!C17:$QKK$65537</formula1>
    </dataValidation>
    <dataValidation type="list" allowBlank="1" showInputMessage="1" showErrorMessage="1" sqref="QUM65541:QUM65564">
      <formula1>項目!C17:$QUG$65537</formula1>
    </dataValidation>
    <dataValidation type="list" allowBlank="1" showInputMessage="1" showErrorMessage="1" sqref="REI65541:REI65564">
      <formula1>項目!C17:$REC$65537</formula1>
    </dataValidation>
    <dataValidation type="list" allowBlank="1" showInputMessage="1" showErrorMessage="1" sqref="ROE65541:ROE65564">
      <formula1>項目!C17:$RNY$65537</formula1>
    </dataValidation>
    <dataValidation type="list" allowBlank="1" showInputMessage="1" showErrorMessage="1" sqref="RYA65541:RYA65564">
      <formula1>項目!C17:$RXU$65537</formula1>
    </dataValidation>
    <dataValidation type="list" allowBlank="1" showInputMessage="1" showErrorMessage="1" sqref="SHW65541:SHW65564">
      <formula1>項目!C17:$SHQ$65537</formula1>
    </dataValidation>
    <dataValidation type="list" allowBlank="1" showInputMessage="1" showErrorMessage="1" sqref="SRS65541:SRS65564">
      <formula1>項目!C17:$SRM$65537</formula1>
    </dataValidation>
    <dataValidation type="list" allowBlank="1" showInputMessage="1" showErrorMessage="1" sqref="TBO65541:TBO65564">
      <formula1>項目!C17:$TBI$65537</formula1>
    </dataValidation>
    <dataValidation type="list" allowBlank="1" showInputMessage="1" showErrorMessage="1" sqref="TLK65541:TLK65564">
      <formula1>項目!C17:$TLE$65537</formula1>
    </dataValidation>
    <dataValidation type="list" allowBlank="1" showInputMessage="1" showErrorMessage="1" sqref="TVG65541:TVG65564">
      <formula1>項目!C17:$TVA$65537</formula1>
    </dataValidation>
    <dataValidation type="list" allowBlank="1" showInputMessage="1" showErrorMessage="1" sqref="UFC65541:UFC65564">
      <formula1>項目!C17:$UEW$65537</formula1>
    </dataValidation>
    <dataValidation type="list" allowBlank="1" showInputMessage="1" showErrorMessage="1" sqref="UOY65541:UOY65564">
      <formula1>項目!C17:$UOS$65537</formula1>
    </dataValidation>
    <dataValidation type="list" allowBlank="1" showInputMessage="1" showErrorMessage="1" sqref="UYU65541:UYU65564">
      <formula1>項目!C17:$UYO$65537</formula1>
    </dataValidation>
    <dataValidation type="list" allowBlank="1" showInputMessage="1" showErrorMessage="1" sqref="VIQ65541:VIQ65564">
      <formula1>項目!C17:$VIK$65537</formula1>
    </dataValidation>
    <dataValidation type="list" allowBlank="1" showInputMessage="1" showErrorMessage="1" sqref="VSM65541:VSM65564">
      <formula1>項目!C17:$VSG$65537</formula1>
    </dataValidation>
    <dataValidation type="list" allowBlank="1" showInputMessage="1" showErrorMessage="1" sqref="WCI65541:WCI65564">
      <formula1>項目!C17:$WCC$65537</formula1>
    </dataValidation>
    <dataValidation type="list" allowBlank="1" showInputMessage="1" showErrorMessage="1" sqref="WME65541:WME65564">
      <formula1>項目!C17:$WLY$65537</formula1>
    </dataValidation>
    <dataValidation type="list" allowBlank="1" showInputMessage="1" showErrorMessage="1" sqref="WWA65541:WWA65564">
      <formula1>項目!C17:$WVU$65537</formula1>
    </dataValidation>
    <dataValidation type="list" allowBlank="1" showInputMessage="1" showErrorMessage="1" sqref="S131077:S131100">
      <formula1>項目!C17:$M$131073</formula1>
    </dataValidation>
    <dataValidation type="list" allowBlank="1" showInputMessage="1" showErrorMessage="1" sqref="JO131077:JO131100">
      <formula1>項目!C17:$JI$131073</formula1>
    </dataValidation>
    <dataValidation type="list" allowBlank="1" showInputMessage="1" showErrorMessage="1" sqref="TK131077:TK131100">
      <formula1>項目!C17:$TE$131073</formula1>
    </dataValidation>
    <dataValidation type="list" allowBlank="1" showInputMessage="1" showErrorMessage="1" sqref="ADG131077:ADG131100">
      <formula1>項目!C17:$ADA$131073</formula1>
    </dataValidation>
    <dataValidation type="list" allowBlank="1" showInputMessage="1" showErrorMessage="1" sqref="ANC131077:ANC131100">
      <formula1>項目!C17:$AMW$131073</formula1>
    </dataValidation>
    <dataValidation type="list" allowBlank="1" showInputMessage="1" showErrorMessage="1" sqref="AWY131077:AWY131100">
      <formula1>項目!C17:$AWS$131073</formula1>
    </dataValidation>
    <dataValidation type="list" allowBlank="1" showInputMessage="1" showErrorMessage="1" sqref="BGU131077:BGU131100">
      <formula1>項目!C17:$BGO$131073</formula1>
    </dataValidation>
    <dataValidation type="list" allowBlank="1" showInputMessage="1" showErrorMessage="1" sqref="BQQ131077:BQQ131100">
      <formula1>項目!C17:$BQK$131073</formula1>
    </dataValidation>
    <dataValidation type="list" allowBlank="1" showInputMessage="1" showErrorMessage="1" sqref="CAM131077:CAM131100">
      <formula1>項目!C17:$CAG$131073</formula1>
    </dataValidation>
    <dataValidation type="list" allowBlank="1" showInputMessage="1" showErrorMessage="1" sqref="CKI131077:CKI131100">
      <formula1>項目!C17:$CKC$131073</formula1>
    </dataValidation>
    <dataValidation type="list" allowBlank="1" showInputMessage="1" showErrorMessage="1" sqref="CUE131077:CUE131100">
      <formula1>項目!C17:$CTY$131073</formula1>
    </dataValidation>
    <dataValidation type="list" allowBlank="1" showInputMessage="1" showErrorMessage="1" sqref="DEA131077:DEA131100">
      <formula1>項目!C17:$DDU$131073</formula1>
    </dataValidation>
    <dataValidation type="list" allowBlank="1" showInputMessage="1" showErrorMessage="1" sqref="DNW131077:DNW131100">
      <formula1>項目!C17:$DNQ$131073</formula1>
    </dataValidation>
    <dataValidation type="list" allowBlank="1" showInputMessage="1" showErrorMessage="1" sqref="DXS131077:DXS131100">
      <formula1>項目!C17:$DXM$131073</formula1>
    </dataValidation>
    <dataValidation type="list" allowBlank="1" showInputMessage="1" showErrorMessage="1" sqref="EHO131077:EHO131100">
      <formula1>項目!C17:$EHI$131073</formula1>
    </dataValidation>
    <dataValidation type="list" allowBlank="1" showInputMessage="1" showErrorMessage="1" sqref="ERK131077:ERK131100">
      <formula1>項目!C17:$ERE$131073</formula1>
    </dataValidation>
    <dataValidation type="list" allowBlank="1" showInputMessage="1" showErrorMessage="1" sqref="FBG131077:FBG131100">
      <formula1>項目!C17:$FBA$131073</formula1>
    </dataValidation>
    <dataValidation type="list" allowBlank="1" showInputMessage="1" showErrorMessage="1" sqref="FLC131077:FLC131100">
      <formula1>項目!C17:$FKW$131073</formula1>
    </dataValidation>
    <dataValidation type="list" allowBlank="1" showInputMessage="1" showErrorMessage="1" sqref="FUY131077:FUY131100">
      <formula1>項目!C17:$FUS$131073</formula1>
    </dataValidation>
    <dataValidation type="list" allowBlank="1" showInputMessage="1" showErrorMessage="1" sqref="GEU131077:GEU131100">
      <formula1>項目!C17:$GEO$131073</formula1>
    </dataValidation>
    <dataValidation type="list" allowBlank="1" showInputMessage="1" showErrorMessage="1" sqref="GOQ131077:GOQ131100">
      <formula1>項目!C17:$GOK$131073</formula1>
    </dataValidation>
    <dataValidation type="list" allowBlank="1" showInputMessage="1" showErrorMessage="1" sqref="GYM131077:GYM131100">
      <formula1>項目!C17:$GYG$131073</formula1>
    </dataValidation>
    <dataValidation type="list" allowBlank="1" showInputMessage="1" showErrorMessage="1" sqref="HII131077:HII131100">
      <formula1>項目!C17:$HIC$131073</formula1>
    </dataValidation>
    <dataValidation type="list" allowBlank="1" showInputMessage="1" showErrorMessage="1" sqref="HSE131077:HSE131100">
      <formula1>項目!C17:$HRY$131073</formula1>
    </dataValidation>
    <dataValidation type="list" allowBlank="1" showInputMessage="1" showErrorMessage="1" sqref="ICA131077:ICA131100">
      <formula1>項目!C17:$IBU$131073</formula1>
    </dataValidation>
    <dataValidation type="list" allowBlank="1" showInputMessage="1" showErrorMessage="1" sqref="ILW131077:ILW131100">
      <formula1>項目!C17:$ILQ$131073</formula1>
    </dataValidation>
    <dataValidation type="list" allowBlank="1" showInputMessage="1" showErrorMessage="1" sqref="IVS131077:IVS131100">
      <formula1>項目!C17:$IVM$131073</formula1>
    </dataValidation>
    <dataValidation type="list" allowBlank="1" showInputMessage="1" showErrorMessage="1" sqref="JFO131077:JFO131100">
      <formula1>項目!C17:$JFI$131073</formula1>
    </dataValidation>
    <dataValidation type="list" allowBlank="1" showInputMessage="1" showErrorMessage="1" sqref="JPK131077:JPK131100">
      <formula1>項目!C17:$JPE$131073</formula1>
    </dataValidation>
    <dataValidation type="list" allowBlank="1" showInputMessage="1" showErrorMessage="1" sqref="JZG131077:JZG131100">
      <formula1>項目!C17:$JZA$131073</formula1>
    </dataValidation>
    <dataValidation type="list" allowBlank="1" showInputMessage="1" showErrorMessage="1" sqref="KJC131077:KJC131100">
      <formula1>項目!C17:$KIW$131073</formula1>
    </dataValidation>
    <dataValidation type="list" allowBlank="1" showInputMessage="1" showErrorMessage="1" sqref="KSY131077:KSY131100">
      <formula1>項目!C17:$KSS$131073</formula1>
    </dataValidation>
    <dataValidation type="list" allowBlank="1" showInputMessage="1" showErrorMessage="1" sqref="LCU131077:LCU131100">
      <formula1>項目!C17:$LCO$131073</formula1>
    </dataValidation>
    <dataValidation type="list" allowBlank="1" showInputMessage="1" showErrorMessage="1" sqref="LMQ131077:LMQ131100">
      <formula1>項目!C17:$LMK$131073</formula1>
    </dataValidation>
    <dataValidation type="list" allowBlank="1" showInputMessage="1" showErrorMessage="1" sqref="LWM131077:LWM131100">
      <formula1>項目!C17:$LWG$131073</formula1>
    </dataValidation>
    <dataValidation type="list" allowBlank="1" showInputMessage="1" showErrorMessage="1" sqref="MGI131077:MGI131100">
      <formula1>項目!C17:$MGC$131073</formula1>
    </dataValidation>
    <dataValidation type="list" allowBlank="1" showInputMessage="1" showErrorMessage="1" sqref="MQE131077:MQE131100">
      <formula1>項目!C17:$MPY$131073</formula1>
    </dataValidation>
    <dataValidation type="list" allowBlank="1" showInputMessage="1" showErrorMessage="1" sqref="NAA131077:NAA131100">
      <formula1>項目!C17:$MZU$131073</formula1>
    </dataValidation>
    <dataValidation type="list" allowBlank="1" showInputMessage="1" showErrorMessage="1" sqref="NJW131077:NJW131100">
      <formula1>項目!C17:$NJQ$131073</formula1>
    </dataValidation>
    <dataValidation type="list" allowBlank="1" showInputMessage="1" showErrorMessage="1" sqref="NTS131077:NTS131100">
      <formula1>項目!C17:$NTM$131073</formula1>
    </dataValidation>
    <dataValidation type="list" allowBlank="1" showInputMessage="1" showErrorMessage="1" sqref="ODO131077:ODO131100">
      <formula1>項目!C17:$ODI$131073</formula1>
    </dataValidation>
    <dataValidation type="list" allowBlank="1" showInputMessage="1" showErrorMessage="1" sqref="ONK131077:ONK131100">
      <formula1>項目!C17:$ONE$131073</formula1>
    </dataValidation>
    <dataValidation type="list" allowBlank="1" showInputMessage="1" showErrorMessage="1" sqref="OXG131077:OXG131100">
      <formula1>項目!C17:$OXA$131073</formula1>
    </dataValidation>
    <dataValidation type="list" allowBlank="1" showInputMessage="1" showErrorMessage="1" sqref="PHC131077:PHC131100">
      <formula1>項目!C17:$PGW$131073</formula1>
    </dataValidation>
    <dataValidation type="list" allowBlank="1" showInputMessage="1" showErrorMessage="1" sqref="PQY131077:PQY131100">
      <formula1>項目!C17:$PQS$131073</formula1>
    </dataValidation>
    <dataValidation type="list" allowBlank="1" showInputMessage="1" showErrorMessage="1" sqref="QAU131077:QAU131100">
      <formula1>項目!C17:$QAO$131073</formula1>
    </dataValidation>
    <dataValidation type="list" allowBlank="1" showInputMessage="1" showErrorMessage="1" sqref="QKQ131077:QKQ131100">
      <formula1>項目!C17:$QKK$131073</formula1>
    </dataValidation>
    <dataValidation type="list" allowBlank="1" showInputMessage="1" showErrorMessage="1" sqref="QUM131077:QUM131100">
      <formula1>項目!C17:$QUG$131073</formula1>
    </dataValidation>
    <dataValidation type="list" allowBlank="1" showInputMessage="1" showErrorMessage="1" sqref="REI131077:REI131100">
      <formula1>項目!C17:$REC$131073</formula1>
    </dataValidation>
    <dataValidation type="list" allowBlank="1" showInputMessage="1" showErrorMessage="1" sqref="ROE131077:ROE131100">
      <formula1>項目!C17:$RNY$131073</formula1>
    </dataValidation>
    <dataValidation type="list" allowBlank="1" showInputMessage="1" showErrorMessage="1" sqref="RYA131077:RYA131100">
      <formula1>項目!C17:$RXU$131073</formula1>
    </dataValidation>
    <dataValidation type="list" allowBlank="1" showInputMessage="1" showErrorMessage="1" sqref="SHW131077:SHW131100">
      <formula1>項目!C17:$SHQ$131073</formula1>
    </dataValidation>
    <dataValidation type="list" allowBlank="1" showInputMessage="1" showErrorMessage="1" sqref="SRS131077:SRS131100">
      <formula1>項目!C17:$SRM$131073</formula1>
    </dataValidation>
    <dataValidation type="list" allowBlank="1" showInputMessage="1" showErrorMessage="1" sqref="TBO131077:TBO131100">
      <formula1>項目!C17:$TBI$131073</formula1>
    </dataValidation>
    <dataValidation type="list" allowBlank="1" showInputMessage="1" showErrorMessage="1" sqref="TLK131077:TLK131100">
      <formula1>項目!C17:$TLE$131073</formula1>
    </dataValidation>
    <dataValidation type="list" allowBlank="1" showInputMessage="1" showErrorMessage="1" sqref="TVG131077:TVG131100">
      <formula1>項目!C17:$TVA$131073</formula1>
    </dataValidation>
    <dataValidation type="list" allowBlank="1" showInputMessage="1" showErrorMessage="1" sqref="UFC131077:UFC131100">
      <formula1>項目!C17:$UEW$131073</formula1>
    </dataValidation>
    <dataValidation type="list" allowBlank="1" showInputMessage="1" showErrorMessage="1" sqref="UOY131077:UOY131100">
      <formula1>項目!C17:$UOS$131073</formula1>
    </dataValidation>
    <dataValidation type="list" allowBlank="1" showInputMessage="1" showErrorMessage="1" sqref="UYU131077:UYU131100">
      <formula1>項目!C17:$UYO$131073</formula1>
    </dataValidation>
    <dataValidation type="list" allowBlank="1" showInputMessage="1" showErrorMessage="1" sqref="VIQ131077:VIQ131100">
      <formula1>項目!C17:$VIK$131073</formula1>
    </dataValidation>
    <dataValidation type="list" allowBlank="1" showInputMessage="1" showErrorMessage="1" sqref="VSM131077:VSM131100">
      <formula1>項目!C17:$VSG$131073</formula1>
    </dataValidation>
    <dataValidation type="list" allowBlank="1" showInputMessage="1" showErrorMessage="1" sqref="WCI131077:WCI131100">
      <formula1>項目!C17:$WCC$131073</formula1>
    </dataValidation>
    <dataValidation type="list" allowBlank="1" showInputMessage="1" showErrorMessage="1" sqref="WME131077:WME131100">
      <formula1>項目!C17:$WLY$131073</formula1>
    </dataValidation>
    <dataValidation type="list" allowBlank="1" showInputMessage="1" showErrorMessage="1" sqref="WWA131077:WWA131100">
      <formula1>項目!C17:$WVU$131073</formula1>
    </dataValidation>
    <dataValidation type="list" allowBlank="1" showInputMessage="1" showErrorMessage="1" sqref="S196613:S196636">
      <formula1>項目!C17:$M$196609</formula1>
    </dataValidation>
    <dataValidation type="list" allowBlank="1" showInputMessage="1" showErrorMessage="1" sqref="JO196613:JO196636">
      <formula1>項目!C17:$JI$196609</formula1>
    </dataValidation>
    <dataValidation type="list" allowBlank="1" showInputMessage="1" showErrorMessage="1" sqref="TK196613:TK196636">
      <formula1>項目!C17:$TE$196609</formula1>
    </dataValidation>
    <dataValidation type="list" allowBlank="1" showInputMessage="1" showErrorMessage="1" sqref="ADG196613:ADG196636">
      <formula1>項目!C17:$ADA$196609</formula1>
    </dataValidation>
    <dataValidation type="list" allowBlank="1" showInputMessage="1" showErrorMessage="1" sqref="ANC196613:ANC196636">
      <formula1>項目!C17:$AMW$196609</formula1>
    </dataValidation>
    <dataValidation type="list" allowBlank="1" showInputMessage="1" showErrorMessage="1" sqref="AWY196613:AWY196636">
      <formula1>項目!C17:$AWS$196609</formula1>
    </dataValidation>
    <dataValidation type="list" allowBlank="1" showInputMessage="1" showErrorMessage="1" sqref="BGU196613:BGU196636">
      <formula1>項目!C17:$BGO$196609</formula1>
    </dataValidation>
    <dataValidation type="list" allowBlank="1" showInputMessage="1" showErrorMessage="1" sqref="BQQ196613:BQQ196636">
      <formula1>項目!C17:$BQK$196609</formula1>
    </dataValidation>
    <dataValidation type="list" allowBlank="1" showInputMessage="1" showErrorMessage="1" sqref="CAM196613:CAM196636">
      <formula1>項目!C17:$CAG$196609</formula1>
    </dataValidation>
    <dataValidation type="list" allowBlank="1" showInputMessage="1" showErrorMessage="1" sqref="CKI196613:CKI196636">
      <formula1>項目!C17:$CKC$196609</formula1>
    </dataValidation>
    <dataValidation type="list" allowBlank="1" showInputMessage="1" showErrorMessage="1" sqref="CUE196613:CUE196636">
      <formula1>項目!C17:$CTY$196609</formula1>
    </dataValidation>
    <dataValidation type="list" allowBlank="1" showInputMessage="1" showErrorMessage="1" sqref="DEA196613:DEA196636">
      <formula1>項目!C17:$DDU$196609</formula1>
    </dataValidation>
    <dataValidation type="list" allowBlank="1" showInputMessage="1" showErrorMessage="1" sqref="DNW196613:DNW196636">
      <formula1>項目!C17:$DNQ$196609</formula1>
    </dataValidation>
    <dataValidation type="list" allowBlank="1" showInputMessage="1" showErrorMessage="1" sqref="DXS196613:DXS196636">
      <formula1>項目!C17:$DXM$196609</formula1>
    </dataValidation>
    <dataValidation type="list" allowBlank="1" showInputMessage="1" showErrorMessage="1" sqref="EHO196613:EHO196636">
      <formula1>項目!C17:$EHI$196609</formula1>
    </dataValidation>
    <dataValidation type="list" allowBlank="1" showInputMessage="1" showErrorMessage="1" sqref="ERK196613:ERK196636">
      <formula1>項目!C17:$ERE$196609</formula1>
    </dataValidation>
    <dataValidation type="list" allowBlank="1" showInputMessage="1" showErrorMessage="1" sqref="FBG196613:FBG196636">
      <formula1>項目!C17:$FBA$196609</formula1>
    </dataValidation>
    <dataValidation type="list" allowBlank="1" showInputMessage="1" showErrorMessage="1" sqref="FLC196613:FLC196636">
      <formula1>項目!C17:$FKW$196609</formula1>
    </dataValidation>
    <dataValidation type="list" allowBlank="1" showInputMessage="1" showErrorMessage="1" sqref="FUY196613:FUY196636">
      <formula1>項目!C17:$FUS$196609</formula1>
    </dataValidation>
    <dataValidation type="list" allowBlank="1" showInputMessage="1" showErrorMessage="1" sqref="GEU196613:GEU196636">
      <formula1>項目!C17:$GEO$196609</formula1>
    </dataValidation>
    <dataValidation type="list" allowBlank="1" showInputMessage="1" showErrorMessage="1" sqref="GOQ196613:GOQ196636">
      <formula1>項目!C17:$GOK$196609</formula1>
    </dataValidation>
    <dataValidation type="list" allowBlank="1" showInputMessage="1" showErrorMessage="1" sqref="GYM196613:GYM196636">
      <formula1>項目!C17:$GYG$196609</formula1>
    </dataValidation>
    <dataValidation type="list" allowBlank="1" showInputMessage="1" showErrorMessage="1" sqref="HII196613:HII196636">
      <formula1>項目!C17:$HIC$196609</formula1>
    </dataValidation>
    <dataValidation type="list" allowBlank="1" showInputMessage="1" showErrorMessage="1" sqref="HSE196613:HSE196636">
      <formula1>項目!C17:$HRY$196609</formula1>
    </dataValidation>
    <dataValidation type="list" allowBlank="1" showInputMessage="1" showErrorMessage="1" sqref="ICA196613:ICA196636">
      <formula1>項目!C17:$IBU$196609</formula1>
    </dataValidation>
    <dataValidation type="list" allowBlank="1" showInputMessage="1" showErrorMessage="1" sqref="ILW196613:ILW196636">
      <formula1>項目!C17:$ILQ$196609</formula1>
    </dataValidation>
    <dataValidation type="list" allowBlank="1" showInputMessage="1" showErrorMessage="1" sqref="IVS196613:IVS196636">
      <formula1>項目!C17:$IVM$196609</formula1>
    </dataValidation>
    <dataValidation type="list" allowBlank="1" showInputMessage="1" showErrorMessage="1" sqref="JFO196613:JFO196636">
      <formula1>項目!C17:$JFI$196609</formula1>
    </dataValidation>
    <dataValidation type="list" allowBlank="1" showInputMessage="1" showErrorMessage="1" sqref="JPK196613:JPK196636">
      <formula1>項目!C17:$JPE$196609</formula1>
    </dataValidation>
    <dataValidation type="list" allowBlank="1" showInputMessage="1" showErrorMessage="1" sqref="JZG196613:JZG196636">
      <formula1>項目!C17:$JZA$196609</formula1>
    </dataValidation>
    <dataValidation type="list" allowBlank="1" showInputMessage="1" showErrorMessage="1" sqref="KJC196613:KJC196636">
      <formula1>項目!C17:$KIW$196609</formula1>
    </dataValidation>
    <dataValidation type="list" allowBlank="1" showInputMessage="1" showErrorMessage="1" sqref="KSY196613:KSY196636">
      <formula1>項目!C17:$KSS$196609</formula1>
    </dataValidation>
    <dataValidation type="list" allowBlank="1" showInputMessage="1" showErrorMessage="1" sqref="LCU196613:LCU196636">
      <formula1>項目!C17:$LCO$196609</formula1>
    </dataValidation>
    <dataValidation type="list" allowBlank="1" showInputMessage="1" showErrorMessage="1" sqref="LMQ196613:LMQ196636">
      <formula1>項目!C17:$LMK$196609</formula1>
    </dataValidation>
    <dataValidation type="list" allowBlank="1" showInputMessage="1" showErrorMessage="1" sqref="LWM196613:LWM196636">
      <formula1>項目!C17:$LWG$196609</formula1>
    </dataValidation>
    <dataValidation type="list" allowBlank="1" showInputMessage="1" showErrorMessage="1" sqref="MGI196613:MGI196636">
      <formula1>項目!C17:$MGC$196609</formula1>
    </dataValidation>
    <dataValidation type="list" allowBlank="1" showInputMessage="1" showErrorMessage="1" sqref="MQE196613:MQE196636">
      <formula1>項目!C17:$MPY$196609</formula1>
    </dataValidation>
    <dataValidation type="list" allowBlank="1" showInputMessage="1" showErrorMessage="1" sqref="NAA196613:NAA196636">
      <formula1>項目!C17:$MZU$196609</formula1>
    </dataValidation>
    <dataValidation type="list" allowBlank="1" showInputMessage="1" showErrorMessage="1" sqref="NJW196613:NJW196636">
      <formula1>項目!C17:$NJQ$196609</formula1>
    </dataValidation>
    <dataValidation type="list" allowBlank="1" showInputMessage="1" showErrorMessage="1" sqref="NTS196613:NTS196636">
      <formula1>項目!C17:$NTM$196609</formula1>
    </dataValidation>
    <dataValidation type="list" allowBlank="1" showInputMessage="1" showErrorMessage="1" sqref="ODO196613:ODO196636">
      <formula1>項目!C17:$ODI$196609</formula1>
    </dataValidation>
    <dataValidation type="list" allowBlank="1" showInputMessage="1" showErrorMessage="1" sqref="ONK196613:ONK196636">
      <formula1>項目!C17:$ONE$196609</formula1>
    </dataValidation>
    <dataValidation type="list" allowBlank="1" showInputMessage="1" showErrorMessage="1" sqref="OXG196613:OXG196636">
      <formula1>項目!C17:$OXA$196609</formula1>
    </dataValidation>
    <dataValidation type="list" allowBlank="1" showInputMessage="1" showErrorMessage="1" sqref="PHC196613:PHC196636">
      <formula1>項目!C17:$PGW$196609</formula1>
    </dataValidation>
    <dataValidation type="list" allowBlank="1" showInputMessage="1" showErrorMessage="1" sqref="PQY196613:PQY196636">
      <formula1>項目!C17:$PQS$196609</formula1>
    </dataValidation>
    <dataValidation type="list" allowBlank="1" showInputMessage="1" showErrorMessage="1" sqref="QAU196613:QAU196636">
      <formula1>項目!C17:$QAO$196609</formula1>
    </dataValidation>
    <dataValidation type="list" allowBlank="1" showInputMessage="1" showErrorMessage="1" sqref="QKQ196613:QKQ196636">
      <formula1>項目!C17:$QKK$196609</formula1>
    </dataValidation>
    <dataValidation type="list" allowBlank="1" showInputMessage="1" showErrorMessage="1" sqref="QUM196613:QUM196636">
      <formula1>項目!C17:$QUG$196609</formula1>
    </dataValidation>
    <dataValidation type="list" allowBlank="1" showInputMessage="1" showErrorMessage="1" sqref="REI196613:REI196636">
      <formula1>項目!C17:$REC$196609</formula1>
    </dataValidation>
    <dataValidation type="list" allowBlank="1" showInputMessage="1" showErrorMessage="1" sqref="ROE196613:ROE196636">
      <formula1>項目!C17:$RNY$196609</formula1>
    </dataValidation>
    <dataValidation type="list" allowBlank="1" showInputMessage="1" showErrorMessage="1" sqref="RYA196613:RYA196636">
      <formula1>項目!C17:$RXU$196609</formula1>
    </dataValidation>
    <dataValidation type="list" allowBlank="1" showInputMessage="1" showErrorMessage="1" sqref="SHW196613:SHW196636">
      <formula1>項目!C17:$SHQ$196609</formula1>
    </dataValidation>
    <dataValidation type="list" allowBlank="1" showInputMessage="1" showErrorMessage="1" sqref="SRS196613:SRS196636">
      <formula1>項目!C17:$SRM$196609</formula1>
    </dataValidation>
    <dataValidation type="list" allowBlank="1" showInputMessage="1" showErrorMessage="1" sqref="TBO196613:TBO196636">
      <formula1>項目!C17:$TBI$196609</formula1>
    </dataValidation>
    <dataValidation type="list" allowBlank="1" showInputMessage="1" showErrorMessage="1" sqref="TLK196613:TLK196636">
      <formula1>項目!C17:$TLE$196609</formula1>
    </dataValidation>
    <dataValidation type="list" allowBlank="1" showInputMessage="1" showErrorMessage="1" sqref="TVG196613:TVG196636">
      <formula1>項目!C17:$TVA$196609</formula1>
    </dataValidation>
    <dataValidation type="list" allowBlank="1" showInputMessage="1" showErrorMessage="1" sqref="UFC196613:UFC196636">
      <formula1>項目!C17:$UEW$196609</formula1>
    </dataValidation>
    <dataValidation type="list" allowBlank="1" showInputMessage="1" showErrorMessage="1" sqref="UOY196613:UOY196636">
      <formula1>項目!C17:$UOS$196609</formula1>
    </dataValidation>
    <dataValidation type="list" allowBlank="1" showInputMessage="1" showErrorMessage="1" sqref="UYU196613:UYU196636">
      <formula1>項目!C17:$UYO$196609</formula1>
    </dataValidation>
    <dataValidation type="list" allowBlank="1" showInputMessage="1" showErrorMessage="1" sqref="VIQ196613:VIQ196636">
      <formula1>項目!C17:$VIK$196609</formula1>
    </dataValidation>
    <dataValidation type="list" allowBlank="1" showInputMessage="1" showErrorMessage="1" sqref="VSM196613:VSM196636">
      <formula1>項目!C17:$VSG$196609</formula1>
    </dataValidation>
    <dataValidation type="list" allowBlank="1" showInputMessage="1" showErrorMessage="1" sqref="WCI196613:WCI196636">
      <formula1>項目!C17:$WCC$196609</formula1>
    </dataValidation>
    <dataValidation type="list" allowBlank="1" showInputMessage="1" showErrorMessage="1" sqref="WME196613:WME196636">
      <formula1>項目!C17:$WLY$196609</formula1>
    </dataValidation>
    <dataValidation type="list" allowBlank="1" showInputMessage="1" showErrorMessage="1" sqref="WWA196613:WWA196636">
      <formula1>項目!C17:$WVU$196609</formula1>
    </dataValidation>
    <dataValidation type="list" allowBlank="1" showInputMessage="1" showErrorMessage="1" sqref="S262149:S262172">
      <formula1>項目!C17:$M$262145</formula1>
    </dataValidation>
    <dataValidation type="list" allowBlank="1" showInputMessage="1" showErrorMessage="1" sqref="JO262149:JO262172">
      <formula1>項目!C17:$JI$262145</formula1>
    </dataValidation>
    <dataValidation type="list" allowBlank="1" showInputMessage="1" showErrorMessage="1" sqref="TK262149:TK262172">
      <formula1>項目!C17:$TE$262145</formula1>
    </dataValidation>
    <dataValidation type="list" allowBlank="1" showInputMessage="1" showErrorMessage="1" sqref="ADG262149:ADG262172">
      <formula1>項目!C17:$ADA$262145</formula1>
    </dataValidation>
    <dataValidation type="list" allowBlank="1" showInputMessage="1" showErrorMessage="1" sqref="ANC262149:ANC262172">
      <formula1>項目!C17:$AMW$262145</formula1>
    </dataValidation>
    <dataValidation type="list" allowBlank="1" showInputMessage="1" showErrorMessage="1" sqref="AWY262149:AWY262172">
      <formula1>項目!C17:$AWS$262145</formula1>
    </dataValidation>
    <dataValidation type="list" allowBlank="1" showInputMessage="1" showErrorMessage="1" sqref="BGU262149:BGU262172">
      <formula1>項目!C17:$BGO$262145</formula1>
    </dataValidation>
    <dataValidation type="list" allowBlank="1" showInputMessage="1" showErrorMessage="1" sqref="BQQ262149:BQQ262172">
      <formula1>項目!C17:$BQK$262145</formula1>
    </dataValidation>
    <dataValidation type="list" allowBlank="1" showInputMessage="1" showErrorMessage="1" sqref="CAM262149:CAM262172">
      <formula1>項目!C17:$CAG$262145</formula1>
    </dataValidation>
    <dataValidation type="list" allowBlank="1" showInputMessage="1" showErrorMessage="1" sqref="CKI262149:CKI262172">
      <formula1>項目!C17:$CKC$262145</formula1>
    </dataValidation>
    <dataValidation type="list" allowBlank="1" showInputMessage="1" showErrorMessage="1" sqref="CUE262149:CUE262172">
      <formula1>項目!C17:$CTY$262145</formula1>
    </dataValidation>
    <dataValidation type="list" allowBlank="1" showInputMessage="1" showErrorMessage="1" sqref="DEA262149:DEA262172">
      <formula1>項目!C17:$DDU$262145</formula1>
    </dataValidation>
    <dataValidation type="list" allowBlank="1" showInputMessage="1" showErrorMessage="1" sqref="DNW262149:DNW262172">
      <formula1>項目!C17:$DNQ$262145</formula1>
    </dataValidation>
    <dataValidation type="list" allowBlank="1" showInputMessage="1" showErrorMessage="1" sqref="DXS262149:DXS262172">
      <formula1>項目!C17:$DXM$262145</formula1>
    </dataValidation>
    <dataValidation type="list" allowBlank="1" showInputMessage="1" showErrorMessage="1" sqref="EHO262149:EHO262172">
      <formula1>項目!C17:$EHI$262145</formula1>
    </dataValidation>
    <dataValidation type="list" allowBlank="1" showInputMessage="1" showErrorMessage="1" sqref="ERK262149:ERK262172">
      <formula1>項目!C17:$ERE$262145</formula1>
    </dataValidation>
    <dataValidation type="list" allowBlank="1" showInputMessage="1" showErrorMessage="1" sqref="FBG262149:FBG262172">
      <formula1>項目!C17:$FBA$262145</formula1>
    </dataValidation>
    <dataValidation type="list" allowBlank="1" showInputMessage="1" showErrorMessage="1" sqref="FLC262149:FLC262172">
      <formula1>項目!C17:$FKW$262145</formula1>
    </dataValidation>
    <dataValidation type="list" allowBlank="1" showInputMessage="1" showErrorMessage="1" sqref="FUY262149:FUY262172">
      <formula1>項目!C17:$FUS$262145</formula1>
    </dataValidation>
    <dataValidation type="list" allowBlank="1" showInputMessage="1" showErrorMessage="1" sqref="GEU262149:GEU262172">
      <formula1>項目!C17:$GEO$262145</formula1>
    </dataValidation>
    <dataValidation type="list" allowBlank="1" showInputMessage="1" showErrorMessage="1" sqref="GOQ262149:GOQ262172">
      <formula1>項目!C17:$GOK$262145</formula1>
    </dataValidation>
    <dataValidation type="list" allowBlank="1" showInputMessage="1" showErrorMessage="1" sqref="GYM262149:GYM262172">
      <formula1>項目!C17:$GYG$262145</formula1>
    </dataValidation>
    <dataValidation type="list" allowBlank="1" showInputMessage="1" showErrorMessage="1" sqref="HII262149:HII262172">
      <formula1>項目!C17:$HIC$262145</formula1>
    </dataValidation>
    <dataValidation type="list" allowBlank="1" showInputMessage="1" showErrorMessage="1" sqref="HSE262149:HSE262172">
      <formula1>項目!C17:$HRY$262145</formula1>
    </dataValidation>
    <dataValidation type="list" allowBlank="1" showInputMessage="1" showErrorMessage="1" sqref="ICA262149:ICA262172">
      <formula1>項目!C17:$IBU$262145</formula1>
    </dataValidation>
    <dataValidation type="list" allowBlank="1" showInputMessage="1" showErrorMessage="1" sqref="ILW262149:ILW262172">
      <formula1>項目!C17:$ILQ$262145</formula1>
    </dataValidation>
    <dataValidation type="list" allowBlank="1" showInputMessage="1" showErrorMessage="1" sqref="IVS262149:IVS262172">
      <formula1>項目!C17:$IVM$262145</formula1>
    </dataValidation>
    <dataValidation type="list" allowBlank="1" showInputMessage="1" showErrorMessage="1" sqref="JFO262149:JFO262172">
      <formula1>項目!C17:$JFI$262145</formula1>
    </dataValidation>
    <dataValidation type="list" allowBlank="1" showInputMessage="1" showErrorMessage="1" sqref="JPK262149:JPK262172">
      <formula1>項目!C17:$JPE$262145</formula1>
    </dataValidation>
    <dataValidation type="list" allowBlank="1" showInputMessage="1" showErrorMessage="1" sqref="JZG262149:JZG262172">
      <formula1>項目!C17:$JZA$262145</formula1>
    </dataValidation>
    <dataValidation type="list" allowBlank="1" showInputMessage="1" showErrorMessage="1" sqref="KJC262149:KJC262172">
      <formula1>項目!C17:$KIW$262145</formula1>
    </dataValidation>
    <dataValidation type="list" allowBlank="1" showInputMessage="1" showErrorMessage="1" sqref="KSY262149:KSY262172">
      <formula1>項目!C17:$KSS$262145</formula1>
    </dataValidation>
    <dataValidation type="list" allowBlank="1" showInputMessage="1" showErrorMessage="1" sqref="LCU262149:LCU262172">
      <formula1>項目!C17:$LCO$262145</formula1>
    </dataValidation>
    <dataValidation type="list" allowBlank="1" showInputMessage="1" showErrorMessage="1" sqref="LMQ262149:LMQ262172">
      <formula1>項目!C17:$LMK$262145</formula1>
    </dataValidation>
    <dataValidation type="list" allowBlank="1" showInputMessage="1" showErrorMessage="1" sqref="LWM262149:LWM262172">
      <formula1>項目!C17:$LWG$262145</formula1>
    </dataValidation>
    <dataValidation type="list" allowBlank="1" showInputMessage="1" showErrorMessage="1" sqref="MGI262149:MGI262172">
      <formula1>項目!C17:$MGC$262145</formula1>
    </dataValidation>
    <dataValidation type="list" allowBlank="1" showInputMessage="1" showErrorMessage="1" sqref="MQE262149:MQE262172">
      <formula1>項目!C17:$MPY$262145</formula1>
    </dataValidation>
    <dataValidation type="list" allowBlank="1" showInputMessage="1" showErrorMessage="1" sqref="NAA262149:NAA262172">
      <formula1>項目!C17:$MZU$262145</formula1>
    </dataValidation>
    <dataValidation type="list" allowBlank="1" showInputMessage="1" showErrorMessage="1" sqref="NJW262149:NJW262172">
      <formula1>項目!C17:$NJQ$262145</formula1>
    </dataValidation>
    <dataValidation type="list" allowBlank="1" showInputMessage="1" showErrorMessage="1" sqref="NTS262149:NTS262172">
      <formula1>項目!C17:$NTM$262145</formula1>
    </dataValidation>
    <dataValidation type="list" allowBlank="1" showInputMessage="1" showErrorMessage="1" sqref="ODO262149:ODO262172">
      <formula1>項目!C17:$ODI$262145</formula1>
    </dataValidation>
    <dataValidation type="list" allowBlank="1" showInputMessage="1" showErrorMessage="1" sqref="ONK262149:ONK262172">
      <formula1>項目!C17:$ONE$262145</formula1>
    </dataValidation>
    <dataValidation type="list" allowBlank="1" showInputMessage="1" showErrorMessage="1" sqref="OXG262149:OXG262172">
      <formula1>項目!C17:$OXA$262145</formula1>
    </dataValidation>
    <dataValidation type="list" allowBlank="1" showInputMessage="1" showErrorMessage="1" sqref="PHC262149:PHC262172">
      <formula1>項目!C17:$PGW$262145</formula1>
    </dataValidation>
    <dataValidation type="list" allowBlank="1" showInputMessage="1" showErrorMessage="1" sqref="PQY262149:PQY262172">
      <formula1>項目!C17:$PQS$262145</formula1>
    </dataValidation>
    <dataValidation type="list" allowBlank="1" showInputMessage="1" showErrorMessage="1" sqref="QAU262149:QAU262172">
      <formula1>項目!C17:$QAO$262145</formula1>
    </dataValidation>
    <dataValidation type="list" allowBlank="1" showInputMessage="1" showErrorMessage="1" sqref="QKQ262149:QKQ262172">
      <formula1>項目!C17:$QKK$262145</formula1>
    </dataValidation>
    <dataValidation type="list" allowBlank="1" showInputMessage="1" showErrorMessage="1" sqref="QUM262149:QUM262172">
      <formula1>項目!C17:$QUG$262145</formula1>
    </dataValidation>
    <dataValidation type="list" allowBlank="1" showInputMessage="1" showErrorMessage="1" sqref="REI262149:REI262172">
      <formula1>項目!C17:$REC$262145</formula1>
    </dataValidation>
    <dataValidation type="list" allowBlank="1" showInputMessage="1" showErrorMessage="1" sqref="ROE262149:ROE262172">
      <formula1>項目!C17:$RNY$262145</formula1>
    </dataValidation>
    <dataValidation type="list" allowBlank="1" showInputMessage="1" showErrorMessage="1" sqref="RYA262149:RYA262172">
      <formula1>項目!C17:$RXU$262145</formula1>
    </dataValidation>
    <dataValidation type="list" allowBlank="1" showInputMessage="1" showErrorMessage="1" sqref="SHW262149:SHW262172">
      <formula1>項目!C17:$SHQ$262145</formula1>
    </dataValidation>
    <dataValidation type="list" allowBlank="1" showInputMessage="1" showErrorMessage="1" sqref="SRS262149:SRS262172">
      <formula1>項目!C17:$SRM$262145</formula1>
    </dataValidation>
    <dataValidation type="list" allowBlank="1" showInputMessage="1" showErrorMessage="1" sqref="TBO262149:TBO262172">
      <formula1>項目!C17:$TBI$262145</formula1>
    </dataValidation>
    <dataValidation type="list" allowBlank="1" showInputMessage="1" showErrorMessage="1" sqref="TLK262149:TLK262172">
      <formula1>項目!C17:$TLE$262145</formula1>
    </dataValidation>
    <dataValidation type="list" allowBlank="1" showInputMessage="1" showErrorMessage="1" sqref="TVG262149:TVG262172">
      <formula1>項目!C17:$TVA$262145</formula1>
    </dataValidation>
    <dataValidation type="list" allowBlank="1" showInputMessage="1" showErrorMessage="1" sqref="UFC262149:UFC262172">
      <formula1>項目!C17:$UEW$262145</formula1>
    </dataValidation>
    <dataValidation type="list" allowBlank="1" showInputMessage="1" showErrorMessage="1" sqref="UOY262149:UOY262172">
      <formula1>項目!C17:$UOS$262145</formula1>
    </dataValidation>
    <dataValidation type="list" allowBlank="1" showInputMessage="1" showErrorMessage="1" sqref="UYU262149:UYU262172">
      <formula1>項目!C17:$UYO$262145</formula1>
    </dataValidation>
    <dataValidation type="list" allowBlank="1" showInputMessage="1" showErrorMessage="1" sqref="VIQ262149:VIQ262172">
      <formula1>項目!C17:$VIK$262145</formula1>
    </dataValidation>
    <dataValidation type="list" allowBlank="1" showInputMessage="1" showErrorMessage="1" sqref="VSM262149:VSM262172">
      <formula1>項目!C17:$VSG$262145</formula1>
    </dataValidation>
    <dataValidation type="list" allowBlank="1" showInputMessage="1" showErrorMessage="1" sqref="WCI262149:WCI262172">
      <formula1>項目!C17:$WCC$262145</formula1>
    </dataValidation>
    <dataValidation type="list" allowBlank="1" showInputMessage="1" showErrorMessage="1" sqref="WME262149:WME262172">
      <formula1>項目!C17:$WLY$262145</formula1>
    </dataValidation>
    <dataValidation type="list" allowBlank="1" showInputMessage="1" showErrorMessage="1" sqref="WWA262149:WWA262172">
      <formula1>項目!C17:$WVU$262145</formula1>
    </dataValidation>
    <dataValidation type="list" allowBlank="1" showInputMessage="1" showErrorMessage="1" sqref="S327685:S327708">
      <formula1>項目!C17:$M$327681</formula1>
    </dataValidation>
    <dataValidation type="list" allowBlank="1" showInputMessage="1" showErrorMessage="1" sqref="JO327685:JO327708">
      <formula1>項目!C17:$JI$327681</formula1>
    </dataValidation>
    <dataValidation type="list" allowBlank="1" showInputMessage="1" showErrorMessage="1" sqref="TK327685:TK327708">
      <formula1>項目!C17:$TE$327681</formula1>
    </dataValidation>
    <dataValidation type="list" allowBlank="1" showInputMessage="1" showErrorMessage="1" sqref="ADG327685:ADG327708">
      <formula1>項目!C17:$ADA$327681</formula1>
    </dataValidation>
    <dataValidation type="list" allowBlank="1" showInputMessage="1" showErrorMessage="1" sqref="ANC327685:ANC327708">
      <formula1>項目!C17:$AMW$327681</formula1>
    </dataValidation>
    <dataValidation type="list" allowBlank="1" showInputMessage="1" showErrorMessage="1" sqref="AWY327685:AWY327708">
      <formula1>項目!C17:$AWS$327681</formula1>
    </dataValidation>
    <dataValidation type="list" allowBlank="1" showInputMessage="1" showErrorMessage="1" sqref="BGU327685:BGU327708">
      <formula1>項目!C17:$BGO$327681</formula1>
    </dataValidation>
    <dataValidation type="list" allowBlank="1" showInputMessage="1" showErrorMessage="1" sqref="BQQ327685:BQQ327708">
      <formula1>項目!C17:$BQK$327681</formula1>
    </dataValidation>
    <dataValidation type="list" allowBlank="1" showInputMessage="1" showErrorMessage="1" sqref="CAM327685:CAM327708">
      <formula1>項目!C17:$CAG$327681</formula1>
    </dataValidation>
    <dataValidation type="list" allowBlank="1" showInputMessage="1" showErrorMessage="1" sqref="CKI327685:CKI327708">
      <formula1>項目!C17:$CKC$327681</formula1>
    </dataValidation>
    <dataValidation type="list" allowBlank="1" showInputMessage="1" showErrorMessage="1" sqref="CUE327685:CUE327708">
      <formula1>項目!C17:$CTY$327681</formula1>
    </dataValidation>
    <dataValidation type="list" allowBlank="1" showInputMessage="1" showErrorMessage="1" sqref="DEA327685:DEA327708">
      <formula1>項目!C17:$DDU$327681</formula1>
    </dataValidation>
    <dataValidation type="list" allowBlank="1" showInputMessage="1" showErrorMessage="1" sqref="DNW327685:DNW327708">
      <formula1>項目!C17:$DNQ$327681</formula1>
    </dataValidation>
    <dataValidation type="list" allowBlank="1" showInputMessage="1" showErrorMessage="1" sqref="DXS327685:DXS327708">
      <formula1>項目!C17:$DXM$327681</formula1>
    </dataValidation>
    <dataValidation type="list" allowBlank="1" showInputMessage="1" showErrorMessage="1" sqref="EHO327685:EHO327708">
      <formula1>項目!C17:$EHI$327681</formula1>
    </dataValidation>
    <dataValidation type="list" allowBlank="1" showInputMessage="1" showErrorMessage="1" sqref="ERK327685:ERK327708">
      <formula1>項目!C17:$ERE$327681</formula1>
    </dataValidation>
    <dataValidation type="list" allowBlank="1" showInputMessage="1" showErrorMessage="1" sqref="FBG327685:FBG327708">
      <formula1>項目!C17:$FBA$327681</formula1>
    </dataValidation>
    <dataValidation type="list" allowBlank="1" showInputMessage="1" showErrorMessage="1" sqref="FLC327685:FLC327708">
      <formula1>項目!C17:$FKW$327681</formula1>
    </dataValidation>
    <dataValidation type="list" allowBlank="1" showInputMessage="1" showErrorMessage="1" sqref="FUY327685:FUY327708">
      <formula1>項目!C17:$FUS$327681</formula1>
    </dataValidation>
    <dataValidation type="list" allowBlank="1" showInputMessage="1" showErrorMessage="1" sqref="GEU327685:GEU327708">
      <formula1>項目!C17:$GEO$327681</formula1>
    </dataValidation>
    <dataValidation type="list" allowBlank="1" showInputMessage="1" showErrorMessage="1" sqref="GOQ327685:GOQ327708">
      <formula1>項目!C17:$GOK$327681</formula1>
    </dataValidation>
    <dataValidation type="list" allowBlank="1" showInputMessage="1" showErrorMessage="1" sqref="GYM327685:GYM327708">
      <formula1>項目!C17:$GYG$327681</formula1>
    </dataValidation>
    <dataValidation type="list" allowBlank="1" showInputMessage="1" showErrorMessage="1" sqref="HII327685:HII327708">
      <formula1>項目!C17:$HIC$327681</formula1>
    </dataValidation>
    <dataValidation type="list" allowBlank="1" showInputMessage="1" showErrorMessage="1" sqref="HSE327685:HSE327708">
      <formula1>項目!C17:$HRY$327681</formula1>
    </dataValidation>
    <dataValidation type="list" allowBlank="1" showInputMessage="1" showErrorMessage="1" sqref="ICA327685:ICA327708">
      <formula1>項目!C17:$IBU$327681</formula1>
    </dataValidation>
    <dataValidation type="list" allowBlank="1" showInputMessage="1" showErrorMessage="1" sqref="ILW327685:ILW327708">
      <formula1>項目!C17:$ILQ$327681</formula1>
    </dataValidation>
    <dataValidation type="list" allowBlank="1" showInputMessage="1" showErrorMessage="1" sqref="IVS327685:IVS327708">
      <formula1>項目!C17:$IVM$327681</formula1>
    </dataValidation>
    <dataValidation type="list" allowBlank="1" showInputMessage="1" showErrorMessage="1" sqref="JFO327685:JFO327708">
      <formula1>項目!C17:$JFI$327681</formula1>
    </dataValidation>
    <dataValidation type="list" allowBlank="1" showInputMessage="1" showErrorMessage="1" sqref="JPK327685:JPK327708">
      <formula1>項目!C17:$JPE$327681</formula1>
    </dataValidation>
    <dataValidation type="list" allowBlank="1" showInputMessage="1" showErrorMessage="1" sqref="JZG327685:JZG327708">
      <formula1>項目!C17:$JZA$327681</formula1>
    </dataValidation>
    <dataValidation type="list" allowBlank="1" showInputMessage="1" showErrorMessage="1" sqref="KJC327685:KJC327708">
      <formula1>項目!C17:$KIW$327681</formula1>
    </dataValidation>
    <dataValidation type="list" allowBlank="1" showInputMessage="1" showErrorMessage="1" sqref="KSY327685:KSY327708">
      <formula1>項目!C17:$KSS$327681</formula1>
    </dataValidation>
    <dataValidation type="list" allowBlank="1" showInputMessage="1" showErrorMessage="1" sqref="LCU327685:LCU327708">
      <formula1>項目!C17:$LCO$327681</formula1>
    </dataValidation>
    <dataValidation type="list" allowBlank="1" showInputMessage="1" showErrorMessage="1" sqref="LMQ327685:LMQ327708">
      <formula1>項目!C17:$LMK$327681</formula1>
    </dataValidation>
    <dataValidation type="list" allowBlank="1" showInputMessage="1" showErrorMessage="1" sqref="LWM327685:LWM327708">
      <formula1>項目!C17:$LWG$327681</formula1>
    </dataValidation>
    <dataValidation type="list" allowBlank="1" showInputMessage="1" showErrorMessage="1" sqref="MGI327685:MGI327708">
      <formula1>項目!C17:$MGC$327681</formula1>
    </dataValidation>
    <dataValidation type="list" allowBlank="1" showInputMessage="1" showErrorMessage="1" sqref="MQE327685:MQE327708">
      <formula1>項目!C17:$MPY$327681</formula1>
    </dataValidation>
    <dataValidation type="list" allowBlank="1" showInputMessage="1" showErrorMessage="1" sqref="NAA327685:NAA327708">
      <formula1>項目!C17:$MZU$327681</formula1>
    </dataValidation>
    <dataValidation type="list" allowBlank="1" showInputMessage="1" showErrorMessage="1" sqref="NJW327685:NJW327708">
      <formula1>項目!C17:$NJQ$327681</formula1>
    </dataValidation>
    <dataValidation type="list" allowBlank="1" showInputMessage="1" showErrorMessage="1" sqref="NTS327685:NTS327708">
      <formula1>項目!C17:$NTM$327681</formula1>
    </dataValidation>
    <dataValidation type="list" allowBlank="1" showInputMessage="1" showErrorMessage="1" sqref="ODO327685:ODO327708">
      <formula1>項目!C17:$ODI$327681</formula1>
    </dataValidation>
    <dataValidation type="list" allowBlank="1" showInputMessage="1" showErrorMessage="1" sqref="ONK327685:ONK327708">
      <formula1>項目!C17:$ONE$327681</formula1>
    </dataValidation>
    <dataValidation type="list" allowBlank="1" showInputMessage="1" showErrorMessage="1" sqref="OXG327685:OXG327708">
      <formula1>項目!C17:$OXA$327681</formula1>
    </dataValidation>
    <dataValidation type="list" allowBlank="1" showInputMessage="1" showErrorMessage="1" sqref="PHC327685:PHC327708">
      <formula1>項目!C17:$PGW$327681</formula1>
    </dataValidation>
    <dataValidation type="list" allowBlank="1" showInputMessage="1" showErrorMessage="1" sqref="PQY327685:PQY327708">
      <formula1>項目!C17:$PQS$327681</formula1>
    </dataValidation>
    <dataValidation type="list" allowBlank="1" showInputMessage="1" showErrorMessage="1" sqref="QAU327685:QAU327708">
      <formula1>項目!C17:$QAO$327681</formula1>
    </dataValidation>
    <dataValidation type="list" allowBlank="1" showInputMessage="1" showErrorMessage="1" sqref="QKQ327685:QKQ327708">
      <formula1>項目!C17:$QKK$327681</formula1>
    </dataValidation>
    <dataValidation type="list" allowBlank="1" showInputMessage="1" showErrorMessage="1" sqref="QUM327685:QUM327708">
      <formula1>項目!C17:$QUG$327681</formula1>
    </dataValidation>
    <dataValidation type="list" allowBlank="1" showInputMessage="1" showErrorMessage="1" sqref="REI327685:REI327708">
      <formula1>項目!C17:$REC$327681</formula1>
    </dataValidation>
    <dataValidation type="list" allowBlank="1" showInputMessage="1" showErrorMessage="1" sqref="ROE327685:ROE327708">
      <formula1>項目!C17:$RNY$327681</formula1>
    </dataValidation>
    <dataValidation type="list" allowBlank="1" showInputMessage="1" showErrorMessage="1" sqref="RYA327685:RYA327708">
      <formula1>項目!C17:$RXU$327681</formula1>
    </dataValidation>
    <dataValidation type="list" allowBlank="1" showInputMessage="1" showErrorMessage="1" sqref="SHW327685:SHW327708">
      <formula1>項目!C17:$SHQ$327681</formula1>
    </dataValidation>
    <dataValidation type="list" allowBlank="1" showInputMessage="1" showErrorMessage="1" sqref="SRS327685:SRS327708">
      <formula1>項目!C17:$SRM$327681</formula1>
    </dataValidation>
    <dataValidation type="list" allowBlank="1" showInputMessage="1" showErrorMessage="1" sqref="TBO327685:TBO327708">
      <formula1>項目!C17:$TBI$327681</formula1>
    </dataValidation>
    <dataValidation type="list" allowBlank="1" showInputMessage="1" showErrorMessage="1" sqref="TLK327685:TLK327708">
      <formula1>項目!C17:$TLE$327681</formula1>
    </dataValidation>
    <dataValidation type="list" allowBlank="1" showInputMessage="1" showErrorMessage="1" sqref="TVG327685:TVG327708">
      <formula1>項目!C17:$TVA$327681</formula1>
    </dataValidation>
    <dataValidation type="list" allowBlank="1" showInputMessage="1" showErrorMessage="1" sqref="UFC327685:UFC327708">
      <formula1>項目!C17:$UEW$327681</formula1>
    </dataValidation>
    <dataValidation type="list" allowBlank="1" showInputMessage="1" showErrorMessage="1" sqref="UOY327685:UOY327708">
      <formula1>項目!C17:$UOS$327681</formula1>
    </dataValidation>
    <dataValidation type="list" allowBlank="1" showInputMessage="1" showErrorMessage="1" sqref="UYU327685:UYU327708">
      <formula1>項目!C17:$UYO$327681</formula1>
    </dataValidation>
    <dataValidation type="list" allowBlank="1" showInputMessage="1" showErrorMessage="1" sqref="VIQ327685:VIQ327708">
      <formula1>項目!C17:$VIK$327681</formula1>
    </dataValidation>
    <dataValidation type="list" allowBlank="1" showInputMessage="1" showErrorMessage="1" sqref="VSM327685:VSM327708">
      <formula1>項目!C17:$VSG$327681</formula1>
    </dataValidation>
    <dataValidation type="list" allowBlank="1" showInputMessage="1" showErrorMessage="1" sqref="WCI327685:WCI327708">
      <formula1>項目!C17:$WCC$327681</formula1>
    </dataValidation>
    <dataValidation type="list" allowBlank="1" showInputMessage="1" showErrorMessage="1" sqref="WME327685:WME327708">
      <formula1>項目!C17:$WLY$327681</formula1>
    </dataValidation>
    <dataValidation type="list" allowBlank="1" showInputMessage="1" showErrorMessage="1" sqref="WWA327685:WWA327708">
      <formula1>項目!C17:$WVU$327681</formula1>
    </dataValidation>
    <dataValidation type="list" allowBlank="1" showInputMessage="1" showErrorMessage="1" sqref="S393221:S393244">
      <formula1>項目!C17:$M$393217</formula1>
    </dataValidation>
    <dataValidation type="list" allowBlank="1" showInputMessage="1" showErrorMessage="1" sqref="JO393221:JO393244">
      <formula1>項目!C17:$JI$393217</formula1>
    </dataValidation>
    <dataValidation type="list" allowBlank="1" showInputMessage="1" showErrorMessage="1" sqref="TK393221:TK393244">
      <formula1>項目!C17:$TE$393217</formula1>
    </dataValidation>
    <dataValidation type="list" allowBlank="1" showInputMessage="1" showErrorMessage="1" sqref="ADG393221:ADG393244">
      <formula1>項目!C17:$ADA$393217</formula1>
    </dataValidation>
    <dataValidation type="list" allowBlank="1" showInputMessage="1" showErrorMessage="1" sqref="ANC393221:ANC393244">
      <formula1>項目!C17:$AMW$393217</formula1>
    </dataValidation>
    <dataValidation type="list" allowBlank="1" showInputMessage="1" showErrorMessage="1" sqref="AWY393221:AWY393244">
      <formula1>項目!C17:$AWS$393217</formula1>
    </dataValidation>
    <dataValidation type="list" allowBlank="1" showInputMessage="1" showErrorMessage="1" sqref="BGU393221:BGU393244">
      <formula1>項目!C17:$BGO$393217</formula1>
    </dataValidation>
    <dataValidation type="list" allowBlank="1" showInputMessage="1" showErrorMessage="1" sqref="BQQ393221:BQQ393244">
      <formula1>項目!C17:$BQK$393217</formula1>
    </dataValidation>
    <dataValidation type="list" allowBlank="1" showInputMessage="1" showErrorMessage="1" sqref="CAM393221:CAM393244">
      <formula1>項目!C17:$CAG$393217</formula1>
    </dataValidation>
    <dataValidation type="list" allowBlank="1" showInputMessage="1" showErrorMessage="1" sqref="CKI393221:CKI393244">
      <formula1>項目!C17:$CKC$393217</formula1>
    </dataValidation>
    <dataValidation type="list" allowBlank="1" showInputMessage="1" showErrorMessage="1" sqref="CUE393221:CUE393244">
      <formula1>項目!C17:$CTY$393217</formula1>
    </dataValidation>
    <dataValidation type="list" allowBlank="1" showInputMessage="1" showErrorMessage="1" sqref="DEA393221:DEA393244">
      <formula1>項目!C17:$DDU$393217</formula1>
    </dataValidation>
    <dataValidation type="list" allowBlank="1" showInputMessage="1" showErrorMessage="1" sqref="DNW393221:DNW393244">
      <formula1>項目!C17:$DNQ$393217</formula1>
    </dataValidation>
    <dataValidation type="list" allowBlank="1" showInputMessage="1" showErrorMessage="1" sqref="DXS393221:DXS393244">
      <formula1>項目!C17:$DXM$393217</formula1>
    </dataValidation>
    <dataValidation type="list" allowBlank="1" showInputMessage="1" showErrorMessage="1" sqref="EHO393221:EHO393244">
      <formula1>項目!C17:$EHI$393217</formula1>
    </dataValidation>
    <dataValidation type="list" allowBlank="1" showInputMessage="1" showErrorMessage="1" sqref="ERK393221:ERK393244">
      <formula1>項目!C17:$ERE$393217</formula1>
    </dataValidation>
    <dataValidation type="list" allowBlank="1" showInputMessage="1" showErrorMessage="1" sqref="FBG393221:FBG393244">
      <formula1>項目!C17:$FBA$393217</formula1>
    </dataValidation>
    <dataValidation type="list" allowBlank="1" showInputMessage="1" showErrorMessage="1" sqref="FLC393221:FLC393244">
      <formula1>項目!C17:$FKW$393217</formula1>
    </dataValidation>
    <dataValidation type="list" allowBlank="1" showInputMessage="1" showErrorMessage="1" sqref="FUY393221:FUY393244">
      <formula1>項目!C17:$FUS$393217</formula1>
    </dataValidation>
    <dataValidation type="list" allowBlank="1" showInputMessage="1" showErrorMessage="1" sqref="GEU393221:GEU393244">
      <formula1>項目!C17:$GEO$393217</formula1>
    </dataValidation>
    <dataValidation type="list" allowBlank="1" showInputMessage="1" showErrorMessage="1" sqref="GOQ393221:GOQ393244">
      <formula1>項目!C17:$GOK$393217</formula1>
    </dataValidation>
    <dataValidation type="list" allowBlank="1" showInputMessage="1" showErrorMessage="1" sqref="GYM393221:GYM393244">
      <formula1>項目!C17:$GYG$393217</formula1>
    </dataValidation>
    <dataValidation type="list" allowBlank="1" showInputMessage="1" showErrorMessage="1" sqref="HII393221:HII393244">
      <formula1>項目!C17:$HIC$393217</formula1>
    </dataValidation>
    <dataValidation type="list" allowBlank="1" showInputMessage="1" showErrorMessage="1" sqref="HSE393221:HSE393244">
      <formula1>項目!C17:$HRY$393217</formula1>
    </dataValidation>
    <dataValidation type="list" allowBlank="1" showInputMessage="1" showErrorMessage="1" sqref="ICA393221:ICA393244">
      <formula1>項目!C17:$IBU$393217</formula1>
    </dataValidation>
    <dataValidation type="list" allowBlank="1" showInputMessage="1" showErrorMessage="1" sqref="ILW393221:ILW393244">
      <formula1>項目!C17:$ILQ$393217</formula1>
    </dataValidation>
    <dataValidation type="list" allowBlank="1" showInputMessage="1" showErrorMessage="1" sqref="IVS393221:IVS393244">
      <formula1>項目!C17:$IVM$393217</formula1>
    </dataValidation>
    <dataValidation type="list" allowBlank="1" showInputMessage="1" showErrorMessage="1" sqref="JFO393221:JFO393244">
      <formula1>項目!C17:$JFI$393217</formula1>
    </dataValidation>
    <dataValidation type="list" allowBlank="1" showInputMessage="1" showErrorMessage="1" sqref="JPK393221:JPK393244">
      <formula1>項目!C17:$JPE$393217</formula1>
    </dataValidation>
    <dataValidation type="list" allowBlank="1" showInputMessage="1" showErrorMessage="1" sqref="JZG393221:JZG393244">
      <formula1>項目!C17:$JZA$393217</formula1>
    </dataValidation>
    <dataValidation type="list" allowBlank="1" showInputMessage="1" showErrorMessage="1" sqref="KJC393221:KJC393244">
      <formula1>項目!C17:$KIW$393217</formula1>
    </dataValidation>
    <dataValidation type="list" allowBlank="1" showInputMessage="1" showErrorMessage="1" sqref="KSY393221:KSY393244">
      <formula1>項目!C17:$KSS$393217</formula1>
    </dataValidation>
    <dataValidation type="list" allowBlank="1" showInputMessage="1" showErrorMessage="1" sqref="LCU393221:LCU393244">
      <formula1>項目!C17:$LCO$393217</formula1>
    </dataValidation>
    <dataValidation type="list" allowBlank="1" showInputMessage="1" showErrorMessage="1" sqref="LMQ393221:LMQ393244">
      <formula1>項目!C17:$LMK$393217</formula1>
    </dataValidation>
    <dataValidation type="list" allowBlank="1" showInputMessage="1" showErrorMessage="1" sqref="LWM393221:LWM393244">
      <formula1>項目!C17:$LWG$393217</formula1>
    </dataValidation>
    <dataValidation type="list" allowBlank="1" showInputMessage="1" showErrorMessage="1" sqref="MGI393221:MGI393244">
      <formula1>項目!C17:$MGC$393217</formula1>
    </dataValidation>
    <dataValidation type="list" allowBlank="1" showInputMessage="1" showErrorMessage="1" sqref="MQE393221:MQE393244">
      <formula1>項目!C17:$MPY$393217</formula1>
    </dataValidation>
    <dataValidation type="list" allowBlank="1" showInputMessage="1" showErrorMessage="1" sqref="NAA393221:NAA393244">
      <formula1>項目!C17:$MZU$393217</formula1>
    </dataValidation>
    <dataValidation type="list" allowBlank="1" showInputMessage="1" showErrorMessage="1" sqref="NJW393221:NJW393244">
      <formula1>項目!C17:$NJQ$393217</formula1>
    </dataValidation>
    <dataValidation type="list" allowBlank="1" showInputMessage="1" showErrorMessage="1" sqref="NTS393221:NTS393244">
      <formula1>項目!C17:$NTM$393217</formula1>
    </dataValidation>
    <dataValidation type="list" allowBlank="1" showInputMessage="1" showErrorMessage="1" sqref="ODO393221:ODO393244">
      <formula1>項目!C17:$ODI$393217</formula1>
    </dataValidation>
    <dataValidation type="list" allowBlank="1" showInputMessage="1" showErrorMessage="1" sqref="ONK393221:ONK393244">
      <formula1>項目!C17:$ONE$393217</formula1>
    </dataValidation>
    <dataValidation type="list" allowBlank="1" showInputMessage="1" showErrorMessage="1" sqref="OXG393221:OXG393244">
      <formula1>項目!C17:$OXA$393217</formula1>
    </dataValidation>
    <dataValidation type="list" allowBlank="1" showInputMessage="1" showErrorMessage="1" sqref="PHC393221:PHC393244">
      <formula1>項目!C17:$PGW$393217</formula1>
    </dataValidation>
    <dataValidation type="list" allowBlank="1" showInputMessage="1" showErrorMessage="1" sqref="PQY393221:PQY393244">
      <formula1>項目!C17:$PQS$393217</formula1>
    </dataValidation>
    <dataValidation type="list" allowBlank="1" showInputMessage="1" showErrorMessage="1" sqref="QAU393221:QAU393244">
      <formula1>項目!C17:$QAO$393217</formula1>
    </dataValidation>
    <dataValidation type="list" allowBlank="1" showInputMessage="1" showErrorMessage="1" sqref="QKQ393221:QKQ393244">
      <formula1>項目!C17:$QKK$393217</formula1>
    </dataValidation>
    <dataValidation type="list" allowBlank="1" showInputMessage="1" showErrorMessage="1" sqref="QUM393221:QUM393244">
      <formula1>項目!C17:$QUG$393217</formula1>
    </dataValidation>
    <dataValidation type="list" allowBlank="1" showInputMessage="1" showErrorMessage="1" sqref="REI393221:REI393244">
      <formula1>項目!C17:$REC$393217</formula1>
    </dataValidation>
    <dataValidation type="list" allowBlank="1" showInputMessage="1" showErrorMessage="1" sqref="ROE393221:ROE393244">
      <formula1>項目!C17:$RNY$393217</formula1>
    </dataValidation>
    <dataValidation type="list" allowBlank="1" showInputMessage="1" showErrorMessage="1" sqref="RYA393221:RYA393244">
      <formula1>項目!C17:$RXU$393217</formula1>
    </dataValidation>
    <dataValidation type="list" allowBlank="1" showInputMessage="1" showErrorMessage="1" sqref="SHW393221:SHW393244">
      <formula1>項目!C17:$SHQ$393217</formula1>
    </dataValidation>
    <dataValidation type="list" allowBlank="1" showInputMessage="1" showErrorMessage="1" sqref="SRS393221:SRS393244">
      <formula1>項目!C17:$SRM$393217</formula1>
    </dataValidation>
    <dataValidation type="list" allowBlank="1" showInputMessage="1" showErrorMessage="1" sqref="TBO393221:TBO393244">
      <formula1>項目!C17:$TBI$393217</formula1>
    </dataValidation>
    <dataValidation type="list" allowBlank="1" showInputMessage="1" showErrorMessage="1" sqref="TLK393221:TLK393244">
      <formula1>項目!C17:$TLE$393217</formula1>
    </dataValidation>
    <dataValidation type="list" allowBlank="1" showInputMessage="1" showErrorMessage="1" sqref="TVG393221:TVG393244">
      <formula1>項目!C17:$TVA$393217</formula1>
    </dataValidation>
    <dataValidation type="list" allowBlank="1" showInputMessage="1" showErrorMessage="1" sqref="UFC393221:UFC393244">
      <formula1>項目!C17:$UEW$393217</formula1>
    </dataValidation>
    <dataValidation type="list" allowBlank="1" showInputMessage="1" showErrorMessage="1" sqref="UOY393221:UOY393244">
      <formula1>項目!C17:$UOS$393217</formula1>
    </dataValidation>
    <dataValidation type="list" allowBlank="1" showInputMessage="1" showErrorMessage="1" sqref="UYU393221:UYU393244">
      <formula1>項目!C17:$UYO$393217</formula1>
    </dataValidation>
    <dataValidation type="list" allowBlank="1" showInputMessage="1" showErrorMessage="1" sqref="VIQ393221:VIQ393244">
      <formula1>項目!C17:$VIK$393217</formula1>
    </dataValidation>
    <dataValidation type="list" allowBlank="1" showInputMessage="1" showErrorMessage="1" sqref="VSM393221:VSM393244">
      <formula1>項目!C17:$VSG$393217</formula1>
    </dataValidation>
    <dataValidation type="list" allowBlank="1" showInputMessage="1" showErrorMessage="1" sqref="WCI393221:WCI393244">
      <formula1>項目!C17:$WCC$393217</formula1>
    </dataValidation>
    <dataValidation type="list" allowBlank="1" showInputMessage="1" showErrorMessage="1" sqref="WME393221:WME393244">
      <formula1>項目!C17:$WLY$393217</formula1>
    </dataValidation>
    <dataValidation type="list" allowBlank="1" showInputMessage="1" showErrorMessage="1" sqref="WWA393221:WWA393244">
      <formula1>項目!C17:$WVU$393217</formula1>
    </dataValidation>
    <dataValidation type="list" allowBlank="1" showInputMessage="1" showErrorMessage="1" sqref="S458757:S458780">
      <formula1>項目!C17:$M$458753</formula1>
    </dataValidation>
    <dataValidation type="list" allowBlank="1" showInputMessage="1" showErrorMessage="1" sqref="JO458757:JO458780">
      <formula1>項目!C17:$JI$458753</formula1>
    </dataValidation>
    <dataValidation type="list" allowBlank="1" showInputMessage="1" showErrorMessage="1" sqref="TK458757:TK458780">
      <formula1>項目!C17:$TE$458753</formula1>
    </dataValidation>
    <dataValidation type="list" allowBlank="1" showInputMessage="1" showErrorMessage="1" sqref="ADG458757:ADG458780">
      <formula1>項目!C17:$ADA$458753</formula1>
    </dataValidation>
    <dataValidation type="list" allowBlank="1" showInputMessage="1" showErrorMessage="1" sqref="ANC458757:ANC458780">
      <formula1>項目!C17:$AMW$458753</formula1>
    </dataValidation>
    <dataValidation type="list" allowBlank="1" showInputMessage="1" showErrorMessage="1" sqref="AWY458757:AWY458780">
      <formula1>項目!C17:$AWS$458753</formula1>
    </dataValidation>
    <dataValidation type="list" allowBlank="1" showInputMessage="1" showErrorMessage="1" sqref="BGU458757:BGU458780">
      <formula1>項目!C17:$BGO$458753</formula1>
    </dataValidation>
    <dataValidation type="list" allowBlank="1" showInputMessage="1" showErrorMessage="1" sqref="BQQ458757:BQQ458780">
      <formula1>項目!C17:$BQK$458753</formula1>
    </dataValidation>
    <dataValidation type="list" allowBlank="1" showInputMessage="1" showErrorMessage="1" sqref="CAM458757:CAM458780">
      <formula1>項目!C17:$CAG$458753</formula1>
    </dataValidation>
    <dataValidation type="list" allowBlank="1" showInputMessage="1" showErrorMessage="1" sqref="CKI458757:CKI458780">
      <formula1>項目!C17:$CKC$458753</formula1>
    </dataValidation>
    <dataValidation type="list" allowBlank="1" showInputMessage="1" showErrorMessage="1" sqref="CUE458757:CUE458780">
      <formula1>項目!C17:$CTY$458753</formula1>
    </dataValidation>
    <dataValidation type="list" allowBlank="1" showInputMessage="1" showErrorMessage="1" sqref="DEA458757:DEA458780">
      <formula1>項目!C17:$DDU$458753</formula1>
    </dataValidation>
    <dataValidation type="list" allowBlank="1" showInputMessage="1" showErrorMessage="1" sqref="DNW458757:DNW458780">
      <formula1>項目!C17:$DNQ$458753</formula1>
    </dataValidation>
    <dataValidation type="list" allowBlank="1" showInputMessage="1" showErrorMessage="1" sqref="DXS458757:DXS458780">
      <formula1>項目!C17:$DXM$458753</formula1>
    </dataValidation>
    <dataValidation type="list" allowBlank="1" showInputMessage="1" showErrorMessage="1" sqref="EHO458757:EHO458780">
      <formula1>項目!C17:$EHI$458753</formula1>
    </dataValidation>
    <dataValidation type="list" allowBlank="1" showInputMessage="1" showErrorMessage="1" sqref="ERK458757:ERK458780">
      <formula1>項目!C17:$ERE$458753</formula1>
    </dataValidation>
    <dataValidation type="list" allowBlank="1" showInputMessage="1" showErrorMessage="1" sqref="FBG458757:FBG458780">
      <formula1>項目!C17:$FBA$458753</formula1>
    </dataValidation>
    <dataValidation type="list" allowBlank="1" showInputMessage="1" showErrorMessage="1" sqref="FLC458757:FLC458780">
      <formula1>項目!C17:$FKW$458753</formula1>
    </dataValidation>
    <dataValidation type="list" allowBlank="1" showInputMessage="1" showErrorMessage="1" sqref="FUY458757:FUY458780">
      <formula1>項目!C17:$FUS$458753</formula1>
    </dataValidation>
    <dataValidation type="list" allowBlank="1" showInputMessage="1" showErrorMessage="1" sqref="GEU458757:GEU458780">
      <formula1>項目!C17:$GEO$458753</formula1>
    </dataValidation>
    <dataValidation type="list" allowBlank="1" showInputMessage="1" showErrorMessage="1" sqref="GOQ458757:GOQ458780">
      <formula1>項目!C17:$GOK$458753</formula1>
    </dataValidation>
    <dataValidation type="list" allowBlank="1" showInputMessage="1" showErrorMessage="1" sqref="GYM458757:GYM458780">
      <formula1>項目!C17:$GYG$458753</formula1>
    </dataValidation>
    <dataValidation type="list" allowBlank="1" showInputMessage="1" showErrorMessage="1" sqref="HII458757:HII458780">
      <formula1>項目!C17:$HIC$458753</formula1>
    </dataValidation>
    <dataValidation type="list" allowBlank="1" showInputMessage="1" showErrorMessage="1" sqref="HSE458757:HSE458780">
      <formula1>項目!C17:$HRY$458753</formula1>
    </dataValidation>
    <dataValidation type="list" allowBlank="1" showInputMessage="1" showErrorMessage="1" sqref="ICA458757:ICA458780">
      <formula1>項目!C17:$IBU$458753</formula1>
    </dataValidation>
    <dataValidation type="list" allowBlank="1" showInputMessage="1" showErrorMessage="1" sqref="ILW458757:ILW458780">
      <formula1>項目!C17:$ILQ$458753</formula1>
    </dataValidation>
    <dataValidation type="list" allowBlank="1" showInputMessage="1" showErrorMessage="1" sqref="IVS458757:IVS458780">
      <formula1>項目!C17:$IVM$458753</formula1>
    </dataValidation>
    <dataValidation type="list" allowBlank="1" showInputMessage="1" showErrorMessage="1" sqref="JFO458757:JFO458780">
      <formula1>項目!C17:$JFI$458753</formula1>
    </dataValidation>
    <dataValidation type="list" allowBlank="1" showInputMessage="1" showErrorMessage="1" sqref="JPK458757:JPK458780">
      <formula1>項目!C17:$JPE$458753</formula1>
    </dataValidation>
    <dataValidation type="list" allowBlank="1" showInputMessage="1" showErrorMessage="1" sqref="JZG458757:JZG458780">
      <formula1>項目!C17:$JZA$458753</formula1>
    </dataValidation>
    <dataValidation type="list" allowBlank="1" showInputMessage="1" showErrorMessage="1" sqref="KJC458757:KJC458780">
      <formula1>項目!C17:$KIW$458753</formula1>
    </dataValidation>
    <dataValidation type="list" allowBlank="1" showInputMessage="1" showErrorMessage="1" sqref="KSY458757:KSY458780">
      <formula1>項目!C17:$KSS$458753</formula1>
    </dataValidation>
    <dataValidation type="list" allowBlank="1" showInputMessage="1" showErrorMessage="1" sqref="LCU458757:LCU458780">
      <formula1>項目!C17:$LCO$458753</formula1>
    </dataValidation>
    <dataValidation type="list" allowBlank="1" showInputMessage="1" showErrorMessage="1" sqref="LMQ458757:LMQ458780">
      <formula1>項目!C17:$LMK$458753</formula1>
    </dataValidation>
    <dataValidation type="list" allowBlank="1" showInputMessage="1" showErrorMessage="1" sqref="LWM458757:LWM458780">
      <formula1>項目!C17:$LWG$458753</formula1>
    </dataValidation>
    <dataValidation type="list" allowBlank="1" showInputMessage="1" showErrorMessage="1" sqref="MGI458757:MGI458780">
      <formula1>項目!C17:$MGC$458753</formula1>
    </dataValidation>
    <dataValidation type="list" allowBlank="1" showInputMessage="1" showErrorMessage="1" sqref="MQE458757:MQE458780">
      <formula1>項目!C17:$MPY$458753</formula1>
    </dataValidation>
    <dataValidation type="list" allowBlank="1" showInputMessage="1" showErrorMessage="1" sqref="NAA458757:NAA458780">
      <formula1>項目!C17:$MZU$458753</formula1>
    </dataValidation>
    <dataValidation type="list" allowBlank="1" showInputMessage="1" showErrorMessage="1" sqref="NJW458757:NJW458780">
      <formula1>項目!C17:$NJQ$458753</formula1>
    </dataValidation>
    <dataValidation type="list" allowBlank="1" showInputMessage="1" showErrorMessage="1" sqref="NTS458757:NTS458780">
      <formula1>項目!C17:$NTM$458753</formula1>
    </dataValidation>
    <dataValidation type="list" allowBlank="1" showInputMessage="1" showErrorMessage="1" sqref="ODO458757:ODO458780">
      <formula1>項目!C17:$ODI$458753</formula1>
    </dataValidation>
    <dataValidation type="list" allowBlank="1" showInputMessage="1" showErrorMessage="1" sqref="ONK458757:ONK458780">
      <formula1>項目!C17:$ONE$458753</formula1>
    </dataValidation>
    <dataValidation type="list" allowBlank="1" showInputMessage="1" showErrorMessage="1" sqref="OXG458757:OXG458780">
      <formula1>項目!C17:$OXA$458753</formula1>
    </dataValidation>
    <dataValidation type="list" allowBlank="1" showInputMessage="1" showErrorMessage="1" sqref="PHC458757:PHC458780">
      <formula1>項目!C17:$PGW$458753</formula1>
    </dataValidation>
    <dataValidation type="list" allowBlank="1" showInputMessage="1" showErrorMessage="1" sqref="PQY458757:PQY458780">
      <formula1>項目!C17:$PQS$458753</formula1>
    </dataValidation>
    <dataValidation type="list" allowBlank="1" showInputMessage="1" showErrorMessage="1" sqref="QAU458757:QAU458780">
      <formula1>項目!C17:$QAO$458753</formula1>
    </dataValidation>
    <dataValidation type="list" allowBlank="1" showInputMessage="1" showErrorMessage="1" sqref="QKQ458757:QKQ458780">
      <formula1>項目!C17:$QKK$458753</formula1>
    </dataValidation>
    <dataValidation type="list" allowBlank="1" showInputMessage="1" showErrorMessage="1" sqref="QUM458757:QUM458780">
      <formula1>項目!C17:$QUG$458753</formula1>
    </dataValidation>
    <dataValidation type="list" allowBlank="1" showInputMessage="1" showErrorMessage="1" sqref="REI458757:REI458780">
      <formula1>項目!C17:$REC$458753</formula1>
    </dataValidation>
    <dataValidation type="list" allowBlank="1" showInputMessage="1" showErrorMessage="1" sqref="ROE458757:ROE458780">
      <formula1>項目!C17:$RNY$458753</formula1>
    </dataValidation>
    <dataValidation type="list" allowBlank="1" showInputMessage="1" showErrorMessage="1" sqref="RYA458757:RYA458780">
      <formula1>項目!C17:$RXU$458753</formula1>
    </dataValidation>
    <dataValidation type="list" allowBlank="1" showInputMessage="1" showErrorMessage="1" sqref="SHW458757:SHW458780">
      <formula1>項目!C17:$SHQ$458753</formula1>
    </dataValidation>
    <dataValidation type="list" allowBlank="1" showInputMessage="1" showErrorMessage="1" sqref="SRS458757:SRS458780">
      <formula1>項目!C17:$SRM$458753</formula1>
    </dataValidation>
    <dataValidation type="list" allowBlank="1" showInputMessage="1" showErrorMessage="1" sqref="TBO458757:TBO458780">
      <formula1>項目!C17:$TBI$458753</formula1>
    </dataValidation>
    <dataValidation type="list" allowBlank="1" showInputMessage="1" showErrorMessage="1" sqref="TLK458757:TLK458780">
      <formula1>項目!C17:$TLE$458753</formula1>
    </dataValidation>
    <dataValidation type="list" allowBlank="1" showInputMessage="1" showErrorMessage="1" sqref="TVG458757:TVG458780">
      <formula1>項目!C17:$TVA$458753</formula1>
    </dataValidation>
    <dataValidation type="list" allowBlank="1" showInputMessage="1" showErrorMessage="1" sqref="UFC458757:UFC458780">
      <formula1>項目!C17:$UEW$458753</formula1>
    </dataValidation>
    <dataValidation type="list" allowBlank="1" showInputMessage="1" showErrorMessage="1" sqref="UOY458757:UOY458780">
      <formula1>項目!C17:$UOS$458753</formula1>
    </dataValidation>
    <dataValidation type="list" allowBlank="1" showInputMessage="1" showErrorMessage="1" sqref="UYU458757:UYU458780">
      <formula1>項目!C17:$UYO$458753</formula1>
    </dataValidation>
    <dataValidation type="list" allowBlank="1" showInputMessage="1" showErrorMessage="1" sqref="VIQ458757:VIQ458780">
      <formula1>項目!C17:$VIK$458753</formula1>
    </dataValidation>
    <dataValidation type="list" allowBlank="1" showInputMessage="1" showErrorMessage="1" sqref="VSM458757:VSM458780">
      <formula1>項目!C17:$VSG$458753</formula1>
    </dataValidation>
    <dataValidation type="list" allowBlank="1" showInputMessage="1" showErrorMessage="1" sqref="WCI458757:WCI458780">
      <formula1>項目!C17:$WCC$458753</formula1>
    </dataValidation>
    <dataValidation type="list" allowBlank="1" showInputMessage="1" showErrorMessage="1" sqref="WME458757:WME458780">
      <formula1>項目!C17:$WLY$458753</formula1>
    </dataValidation>
    <dataValidation type="list" allowBlank="1" showInputMessage="1" showErrorMessage="1" sqref="WWA458757:WWA458780">
      <formula1>項目!C17:$WVU$458753</formula1>
    </dataValidation>
    <dataValidation type="list" allowBlank="1" showInputMessage="1" showErrorMessage="1" sqref="S524293:S524316">
      <formula1>項目!C17:$M$524289</formula1>
    </dataValidation>
    <dataValidation type="list" allowBlank="1" showInputMessage="1" showErrorMessage="1" sqref="JO524293:JO524316">
      <formula1>項目!C17:$JI$524289</formula1>
    </dataValidation>
    <dataValidation type="list" allowBlank="1" showInputMessage="1" showErrorMessage="1" sqref="TK524293:TK524316">
      <formula1>項目!C17:$TE$524289</formula1>
    </dataValidation>
    <dataValidation type="list" allowBlank="1" showInputMessage="1" showErrorMessage="1" sqref="ADG524293:ADG524316">
      <formula1>項目!C17:$ADA$524289</formula1>
    </dataValidation>
    <dataValidation type="list" allowBlank="1" showInputMessage="1" showErrorMessage="1" sqref="ANC524293:ANC524316">
      <formula1>項目!C17:$AMW$524289</formula1>
    </dataValidation>
    <dataValidation type="list" allowBlank="1" showInputMessage="1" showErrorMessage="1" sqref="AWY524293:AWY524316">
      <formula1>項目!C17:$AWS$524289</formula1>
    </dataValidation>
    <dataValidation type="list" allowBlank="1" showInputMessage="1" showErrorMessage="1" sqref="BGU524293:BGU524316">
      <formula1>項目!C17:$BGO$524289</formula1>
    </dataValidation>
    <dataValidation type="list" allowBlank="1" showInputMessage="1" showErrorMessage="1" sqref="BQQ524293:BQQ524316">
      <formula1>項目!C17:$BQK$524289</formula1>
    </dataValidation>
    <dataValidation type="list" allowBlank="1" showInputMessage="1" showErrorMessage="1" sqref="CAM524293:CAM524316">
      <formula1>項目!C17:$CAG$524289</formula1>
    </dataValidation>
    <dataValidation type="list" allowBlank="1" showInputMessage="1" showErrorMessage="1" sqref="CKI524293:CKI524316">
      <formula1>項目!C17:$CKC$524289</formula1>
    </dataValidation>
    <dataValidation type="list" allowBlank="1" showInputMessage="1" showErrorMessage="1" sqref="CUE524293:CUE524316">
      <formula1>項目!C17:$CTY$524289</formula1>
    </dataValidation>
    <dataValidation type="list" allowBlank="1" showInputMessage="1" showErrorMessage="1" sqref="DEA524293:DEA524316">
      <formula1>項目!C17:$DDU$524289</formula1>
    </dataValidation>
    <dataValidation type="list" allowBlank="1" showInputMessage="1" showErrorMessage="1" sqref="DNW524293:DNW524316">
      <formula1>項目!C17:$DNQ$524289</formula1>
    </dataValidation>
    <dataValidation type="list" allowBlank="1" showInputMessage="1" showErrorMessage="1" sqref="DXS524293:DXS524316">
      <formula1>項目!C17:$DXM$524289</formula1>
    </dataValidation>
    <dataValidation type="list" allowBlank="1" showInputMessage="1" showErrorMessage="1" sqref="EHO524293:EHO524316">
      <formula1>項目!C17:$EHI$524289</formula1>
    </dataValidation>
    <dataValidation type="list" allowBlank="1" showInputMessage="1" showErrorMessage="1" sqref="ERK524293:ERK524316">
      <formula1>項目!C17:$ERE$524289</formula1>
    </dataValidation>
    <dataValidation type="list" allowBlank="1" showInputMessage="1" showErrorMessage="1" sqref="FBG524293:FBG524316">
      <formula1>項目!C17:$FBA$524289</formula1>
    </dataValidation>
    <dataValidation type="list" allowBlank="1" showInputMessage="1" showErrorMessage="1" sqref="FLC524293:FLC524316">
      <formula1>項目!C17:$FKW$524289</formula1>
    </dataValidation>
    <dataValidation type="list" allowBlank="1" showInputMessage="1" showErrorMessage="1" sqref="FUY524293:FUY524316">
      <formula1>項目!C17:$FUS$524289</formula1>
    </dataValidation>
    <dataValidation type="list" allowBlank="1" showInputMessage="1" showErrorMessage="1" sqref="GEU524293:GEU524316">
      <formula1>項目!C17:$GEO$524289</formula1>
    </dataValidation>
    <dataValidation type="list" allowBlank="1" showInputMessage="1" showErrorMessage="1" sqref="GOQ524293:GOQ524316">
      <formula1>項目!C17:$GOK$524289</formula1>
    </dataValidation>
    <dataValidation type="list" allowBlank="1" showInputMessage="1" showErrorMessage="1" sqref="GYM524293:GYM524316">
      <formula1>項目!C17:$GYG$524289</formula1>
    </dataValidation>
    <dataValidation type="list" allowBlank="1" showInputMessage="1" showErrorMessage="1" sqref="HII524293:HII524316">
      <formula1>項目!C17:$HIC$524289</formula1>
    </dataValidation>
    <dataValidation type="list" allowBlank="1" showInputMessage="1" showErrorMessage="1" sqref="HSE524293:HSE524316">
      <formula1>項目!C17:$HRY$524289</formula1>
    </dataValidation>
    <dataValidation type="list" allowBlank="1" showInputMessage="1" showErrorMessage="1" sqref="ICA524293:ICA524316">
      <formula1>項目!C17:$IBU$524289</formula1>
    </dataValidation>
    <dataValidation type="list" allowBlank="1" showInputMessage="1" showErrorMessage="1" sqref="ILW524293:ILW524316">
      <formula1>項目!C17:$ILQ$524289</formula1>
    </dataValidation>
    <dataValidation type="list" allowBlank="1" showInputMessage="1" showErrorMessage="1" sqref="IVS524293:IVS524316">
      <formula1>項目!C17:$IVM$524289</formula1>
    </dataValidation>
    <dataValidation type="list" allowBlank="1" showInputMessage="1" showErrorMessage="1" sqref="JFO524293:JFO524316">
      <formula1>項目!C17:$JFI$524289</formula1>
    </dataValidation>
    <dataValidation type="list" allowBlank="1" showInputMessage="1" showErrorMessage="1" sqref="JPK524293:JPK524316">
      <formula1>項目!C17:$JPE$524289</formula1>
    </dataValidation>
    <dataValidation type="list" allowBlank="1" showInputMessage="1" showErrorMessage="1" sqref="JZG524293:JZG524316">
      <formula1>項目!C17:$JZA$524289</formula1>
    </dataValidation>
    <dataValidation type="list" allowBlank="1" showInputMessage="1" showErrorMessage="1" sqref="KJC524293:KJC524316">
      <formula1>項目!C17:$KIW$524289</formula1>
    </dataValidation>
    <dataValidation type="list" allowBlank="1" showInputMessage="1" showErrorMessage="1" sqref="KSY524293:KSY524316">
      <formula1>項目!C17:$KSS$524289</formula1>
    </dataValidation>
    <dataValidation type="list" allowBlank="1" showInputMessage="1" showErrorMessage="1" sqref="LCU524293:LCU524316">
      <formula1>項目!C17:$LCO$524289</formula1>
    </dataValidation>
    <dataValidation type="list" allowBlank="1" showInputMessage="1" showErrorMessage="1" sqref="LMQ524293:LMQ524316">
      <formula1>項目!C17:$LMK$524289</formula1>
    </dataValidation>
    <dataValidation type="list" allowBlank="1" showInputMessage="1" showErrorMessage="1" sqref="LWM524293:LWM524316">
      <formula1>項目!C17:$LWG$524289</formula1>
    </dataValidation>
    <dataValidation type="list" allowBlank="1" showInputMessage="1" showErrorMessage="1" sqref="MGI524293:MGI524316">
      <formula1>項目!C17:$MGC$524289</formula1>
    </dataValidation>
    <dataValidation type="list" allowBlank="1" showInputMessage="1" showErrorMessage="1" sqref="MQE524293:MQE524316">
      <formula1>項目!C17:$MPY$524289</formula1>
    </dataValidation>
    <dataValidation type="list" allowBlank="1" showInputMessage="1" showErrorMessage="1" sqref="NAA524293:NAA524316">
      <formula1>項目!C17:$MZU$524289</formula1>
    </dataValidation>
    <dataValidation type="list" allowBlank="1" showInputMessage="1" showErrorMessage="1" sqref="NJW524293:NJW524316">
      <formula1>項目!C17:$NJQ$524289</formula1>
    </dataValidation>
    <dataValidation type="list" allowBlank="1" showInputMessage="1" showErrorMessage="1" sqref="NTS524293:NTS524316">
      <formula1>項目!C17:$NTM$524289</formula1>
    </dataValidation>
    <dataValidation type="list" allowBlank="1" showInputMessage="1" showErrorMessage="1" sqref="ODO524293:ODO524316">
      <formula1>項目!C17:$ODI$524289</formula1>
    </dataValidation>
    <dataValidation type="list" allowBlank="1" showInputMessage="1" showErrorMessage="1" sqref="ONK524293:ONK524316">
      <formula1>項目!C17:$ONE$524289</formula1>
    </dataValidation>
    <dataValidation type="list" allowBlank="1" showInputMessage="1" showErrorMessage="1" sqref="OXG524293:OXG524316">
      <formula1>項目!C17:$OXA$524289</formula1>
    </dataValidation>
    <dataValidation type="list" allowBlank="1" showInputMessage="1" showErrorMessage="1" sqref="PHC524293:PHC524316">
      <formula1>項目!C17:$PGW$524289</formula1>
    </dataValidation>
    <dataValidation type="list" allowBlank="1" showInputMessage="1" showErrorMessage="1" sqref="PQY524293:PQY524316">
      <formula1>項目!C17:$PQS$524289</formula1>
    </dataValidation>
    <dataValidation type="list" allowBlank="1" showInputMessage="1" showErrorMessage="1" sqref="QAU524293:QAU524316">
      <formula1>項目!C17:$QAO$524289</formula1>
    </dataValidation>
    <dataValidation type="list" allowBlank="1" showInputMessage="1" showErrorMessage="1" sqref="QKQ524293:QKQ524316">
      <formula1>項目!C17:$QKK$524289</formula1>
    </dataValidation>
    <dataValidation type="list" allowBlank="1" showInputMessage="1" showErrorMessage="1" sqref="QUM524293:QUM524316">
      <formula1>項目!C17:$QUG$524289</formula1>
    </dataValidation>
    <dataValidation type="list" allowBlank="1" showInputMessage="1" showErrorMessage="1" sqref="REI524293:REI524316">
      <formula1>項目!C17:$REC$524289</formula1>
    </dataValidation>
    <dataValidation type="list" allowBlank="1" showInputMessage="1" showErrorMessage="1" sqref="ROE524293:ROE524316">
      <formula1>項目!C17:$RNY$524289</formula1>
    </dataValidation>
    <dataValidation type="list" allowBlank="1" showInputMessage="1" showErrorMessage="1" sqref="RYA524293:RYA524316">
      <formula1>項目!C17:$RXU$524289</formula1>
    </dataValidation>
    <dataValidation type="list" allowBlank="1" showInputMessage="1" showErrorMessage="1" sqref="SHW524293:SHW524316">
      <formula1>項目!C17:$SHQ$524289</formula1>
    </dataValidation>
    <dataValidation type="list" allowBlank="1" showInputMessage="1" showErrorMessage="1" sqref="SRS524293:SRS524316">
      <formula1>項目!C17:$SRM$524289</formula1>
    </dataValidation>
    <dataValidation type="list" allowBlank="1" showInputMessage="1" showErrorMessage="1" sqref="TBO524293:TBO524316">
      <formula1>項目!C17:$TBI$524289</formula1>
    </dataValidation>
    <dataValidation type="list" allowBlank="1" showInputMessage="1" showErrorMessage="1" sqref="TLK524293:TLK524316">
      <formula1>項目!C17:$TLE$524289</formula1>
    </dataValidation>
    <dataValidation type="list" allowBlank="1" showInputMessage="1" showErrorMessage="1" sqref="TVG524293:TVG524316">
      <formula1>項目!C17:$TVA$524289</formula1>
    </dataValidation>
    <dataValidation type="list" allowBlank="1" showInputMessage="1" showErrorMessage="1" sqref="UFC524293:UFC524316">
      <formula1>項目!C17:$UEW$524289</formula1>
    </dataValidation>
    <dataValidation type="list" allowBlank="1" showInputMessage="1" showErrorMessage="1" sqref="UOY524293:UOY524316">
      <formula1>項目!C17:$UOS$524289</formula1>
    </dataValidation>
    <dataValidation type="list" allowBlank="1" showInputMessage="1" showErrorMessage="1" sqref="UYU524293:UYU524316">
      <formula1>項目!C17:$UYO$524289</formula1>
    </dataValidation>
    <dataValidation type="list" allowBlank="1" showInputMessage="1" showErrorMessage="1" sqref="VIQ524293:VIQ524316">
      <formula1>項目!C17:$VIK$524289</formula1>
    </dataValidation>
    <dataValidation type="list" allowBlank="1" showInputMessage="1" showErrorMessage="1" sqref="VSM524293:VSM524316">
      <formula1>項目!C17:$VSG$524289</formula1>
    </dataValidation>
    <dataValidation type="list" allowBlank="1" showInputMessage="1" showErrorMessage="1" sqref="WCI524293:WCI524316">
      <formula1>項目!C17:$WCC$524289</formula1>
    </dataValidation>
    <dataValidation type="list" allowBlank="1" showInputMessage="1" showErrorMessage="1" sqref="WME524293:WME524316">
      <formula1>項目!C17:$WLY$524289</formula1>
    </dataValidation>
    <dataValidation type="list" allowBlank="1" showInputMessage="1" showErrorMessage="1" sqref="WWA524293:WWA524316">
      <formula1>項目!C17:$WVU$524289</formula1>
    </dataValidation>
    <dataValidation type="list" allowBlank="1" showInputMessage="1" showErrorMessage="1" sqref="S589829:S589852">
      <formula1>項目!C17:$M$589825</formula1>
    </dataValidation>
    <dataValidation type="list" allowBlank="1" showInputMessage="1" showErrorMessage="1" sqref="JO589829:JO589852">
      <formula1>項目!C17:$JI$589825</formula1>
    </dataValidation>
    <dataValidation type="list" allowBlank="1" showInputMessage="1" showErrorMessage="1" sqref="TK589829:TK589852">
      <formula1>項目!C17:$TE$589825</formula1>
    </dataValidation>
    <dataValidation type="list" allowBlank="1" showInputMessage="1" showErrorMessage="1" sqref="ADG589829:ADG589852">
      <formula1>項目!C17:$ADA$589825</formula1>
    </dataValidation>
    <dataValidation type="list" allowBlank="1" showInputMessage="1" showErrorMessage="1" sqref="ANC589829:ANC589852">
      <formula1>項目!C17:$AMW$589825</formula1>
    </dataValidation>
    <dataValidation type="list" allowBlank="1" showInputMessage="1" showErrorMessage="1" sqref="AWY589829:AWY589852">
      <formula1>項目!C17:$AWS$589825</formula1>
    </dataValidation>
    <dataValidation type="list" allowBlank="1" showInputMessage="1" showErrorMessage="1" sqref="BGU589829:BGU589852">
      <formula1>項目!C17:$BGO$589825</formula1>
    </dataValidation>
    <dataValidation type="list" allowBlank="1" showInputMessage="1" showErrorMessage="1" sqref="BQQ589829:BQQ589852">
      <formula1>項目!C17:$BQK$589825</formula1>
    </dataValidation>
    <dataValidation type="list" allowBlank="1" showInputMessage="1" showErrorMessage="1" sqref="CAM589829:CAM589852">
      <formula1>項目!C17:$CAG$589825</formula1>
    </dataValidation>
    <dataValidation type="list" allowBlank="1" showInputMessage="1" showErrorMessage="1" sqref="CKI589829:CKI589852">
      <formula1>項目!C17:$CKC$589825</formula1>
    </dataValidation>
    <dataValidation type="list" allowBlank="1" showInputMessage="1" showErrorMessage="1" sqref="CUE589829:CUE589852">
      <formula1>項目!C17:$CTY$589825</formula1>
    </dataValidation>
    <dataValidation type="list" allowBlank="1" showInputMessage="1" showErrorMessage="1" sqref="DEA589829:DEA589852">
      <formula1>項目!C17:$DDU$589825</formula1>
    </dataValidation>
    <dataValidation type="list" allowBlank="1" showInputMessage="1" showErrorMessage="1" sqref="DNW589829:DNW589852">
      <formula1>項目!C17:$DNQ$589825</formula1>
    </dataValidation>
    <dataValidation type="list" allowBlank="1" showInputMessage="1" showErrorMessage="1" sqref="DXS589829:DXS589852">
      <formula1>項目!C17:$DXM$589825</formula1>
    </dataValidation>
    <dataValidation type="list" allowBlank="1" showInputMessage="1" showErrorMessage="1" sqref="EHO589829:EHO589852">
      <formula1>項目!C17:$EHI$589825</formula1>
    </dataValidation>
    <dataValidation type="list" allowBlank="1" showInputMessage="1" showErrorMessage="1" sqref="ERK589829:ERK589852">
      <formula1>項目!C17:$ERE$589825</formula1>
    </dataValidation>
    <dataValidation type="list" allowBlank="1" showInputMessage="1" showErrorMessage="1" sqref="FBG589829:FBG589852">
      <formula1>項目!C17:$FBA$589825</formula1>
    </dataValidation>
    <dataValidation type="list" allowBlank="1" showInputMessage="1" showErrorMessage="1" sqref="FLC589829:FLC589852">
      <formula1>項目!C17:$FKW$589825</formula1>
    </dataValidation>
    <dataValidation type="list" allowBlank="1" showInputMessage="1" showErrorMessage="1" sqref="FUY589829:FUY589852">
      <formula1>項目!C17:$FUS$589825</formula1>
    </dataValidation>
    <dataValidation type="list" allowBlank="1" showInputMessage="1" showErrorMessage="1" sqref="GEU589829:GEU589852">
      <formula1>項目!C17:$GEO$589825</formula1>
    </dataValidation>
    <dataValidation type="list" allowBlank="1" showInputMessage="1" showErrorMessage="1" sqref="GOQ589829:GOQ589852">
      <formula1>項目!C17:$GOK$589825</formula1>
    </dataValidation>
    <dataValidation type="list" allowBlank="1" showInputMessage="1" showErrorMessage="1" sqref="GYM589829:GYM589852">
      <formula1>項目!C17:$GYG$589825</formula1>
    </dataValidation>
    <dataValidation type="list" allowBlank="1" showInputMessage="1" showErrorMessage="1" sqref="HII589829:HII589852">
      <formula1>項目!C17:$HIC$589825</formula1>
    </dataValidation>
    <dataValidation type="list" allowBlank="1" showInputMessage="1" showErrorMessage="1" sqref="HSE589829:HSE589852">
      <formula1>項目!C17:$HRY$589825</formula1>
    </dataValidation>
    <dataValidation type="list" allowBlank="1" showInputMessage="1" showErrorMessage="1" sqref="ICA589829:ICA589852">
      <formula1>項目!C17:$IBU$589825</formula1>
    </dataValidation>
    <dataValidation type="list" allowBlank="1" showInputMessage="1" showErrorMessage="1" sqref="ILW589829:ILW589852">
      <formula1>項目!C17:$ILQ$589825</formula1>
    </dataValidation>
    <dataValidation type="list" allowBlank="1" showInputMessage="1" showErrorMessage="1" sqref="IVS589829:IVS589852">
      <formula1>項目!C17:$IVM$589825</formula1>
    </dataValidation>
    <dataValidation type="list" allowBlank="1" showInputMessage="1" showErrorMessage="1" sqref="JFO589829:JFO589852">
      <formula1>項目!C17:$JFI$589825</formula1>
    </dataValidation>
    <dataValidation type="list" allowBlank="1" showInputMessage="1" showErrorMessage="1" sqref="JPK589829:JPK589852">
      <formula1>項目!C17:$JPE$589825</formula1>
    </dataValidation>
    <dataValidation type="list" allowBlank="1" showInputMessage="1" showErrorMessage="1" sqref="JZG589829:JZG589852">
      <formula1>項目!C17:$JZA$589825</formula1>
    </dataValidation>
    <dataValidation type="list" allowBlank="1" showInputMessage="1" showErrorMessage="1" sqref="KJC589829:KJC589852">
      <formula1>項目!C17:$KIW$589825</formula1>
    </dataValidation>
    <dataValidation type="list" allowBlank="1" showInputMessage="1" showErrorMessage="1" sqref="KSY589829:KSY589852">
      <formula1>項目!C17:$KSS$589825</formula1>
    </dataValidation>
    <dataValidation type="list" allowBlank="1" showInputMessage="1" showErrorMessage="1" sqref="LCU589829:LCU589852">
      <formula1>項目!C17:$LCO$589825</formula1>
    </dataValidation>
    <dataValidation type="list" allowBlank="1" showInputMessage="1" showErrorMessage="1" sqref="LMQ589829:LMQ589852">
      <formula1>項目!C17:$LMK$589825</formula1>
    </dataValidation>
    <dataValidation type="list" allowBlank="1" showInputMessage="1" showErrorMessage="1" sqref="LWM589829:LWM589852">
      <formula1>項目!C17:$LWG$589825</formula1>
    </dataValidation>
    <dataValidation type="list" allowBlank="1" showInputMessage="1" showErrorMessage="1" sqref="MGI589829:MGI589852">
      <formula1>項目!C17:$MGC$589825</formula1>
    </dataValidation>
    <dataValidation type="list" allowBlank="1" showInputMessage="1" showErrorMessage="1" sqref="MQE589829:MQE589852">
      <formula1>項目!C17:$MPY$589825</formula1>
    </dataValidation>
    <dataValidation type="list" allowBlank="1" showInputMessage="1" showErrorMessage="1" sqref="NAA589829:NAA589852">
      <formula1>項目!C17:$MZU$589825</formula1>
    </dataValidation>
    <dataValidation type="list" allowBlank="1" showInputMessage="1" showErrorMessage="1" sqref="NJW589829:NJW589852">
      <formula1>項目!C17:$NJQ$589825</formula1>
    </dataValidation>
    <dataValidation type="list" allowBlank="1" showInputMessage="1" showErrorMessage="1" sqref="NTS589829:NTS589852">
      <formula1>項目!C17:$NTM$589825</formula1>
    </dataValidation>
    <dataValidation type="list" allowBlank="1" showInputMessage="1" showErrorMessage="1" sqref="ODO589829:ODO589852">
      <formula1>項目!C17:$ODI$589825</formula1>
    </dataValidation>
    <dataValidation type="list" allowBlank="1" showInputMessage="1" showErrorMessage="1" sqref="ONK589829:ONK589852">
      <formula1>項目!C17:$ONE$589825</formula1>
    </dataValidation>
    <dataValidation type="list" allowBlank="1" showInputMessage="1" showErrorMessage="1" sqref="OXG589829:OXG589852">
      <formula1>項目!C17:$OXA$589825</formula1>
    </dataValidation>
    <dataValidation type="list" allowBlank="1" showInputMessage="1" showErrorMessage="1" sqref="PHC589829:PHC589852">
      <formula1>項目!C17:$PGW$589825</formula1>
    </dataValidation>
    <dataValidation type="list" allowBlank="1" showInputMessage="1" showErrorMessage="1" sqref="PQY589829:PQY589852">
      <formula1>項目!C17:$PQS$589825</formula1>
    </dataValidation>
    <dataValidation type="list" allowBlank="1" showInputMessage="1" showErrorMessage="1" sqref="QAU589829:QAU589852">
      <formula1>項目!C17:$QAO$589825</formula1>
    </dataValidation>
    <dataValidation type="list" allowBlank="1" showInputMessage="1" showErrorMessage="1" sqref="QKQ589829:QKQ589852">
      <formula1>項目!C17:$QKK$589825</formula1>
    </dataValidation>
    <dataValidation type="list" allowBlank="1" showInputMessage="1" showErrorMessage="1" sqref="QUM589829:QUM589852">
      <formula1>項目!C17:$QUG$589825</formula1>
    </dataValidation>
    <dataValidation type="list" allowBlank="1" showInputMessage="1" showErrorMessage="1" sqref="REI589829:REI589852">
      <formula1>項目!C17:$REC$589825</formula1>
    </dataValidation>
    <dataValidation type="list" allowBlank="1" showInputMessage="1" showErrorMessage="1" sqref="ROE589829:ROE589852">
      <formula1>項目!C17:$RNY$589825</formula1>
    </dataValidation>
    <dataValidation type="list" allowBlank="1" showInputMessage="1" showErrorMessage="1" sqref="RYA589829:RYA589852">
      <formula1>項目!C17:$RXU$589825</formula1>
    </dataValidation>
    <dataValidation type="list" allowBlank="1" showInputMessage="1" showErrorMessage="1" sqref="SHW589829:SHW589852">
      <formula1>項目!C17:$SHQ$589825</formula1>
    </dataValidation>
    <dataValidation type="list" allowBlank="1" showInputMessage="1" showErrorMessage="1" sqref="SRS589829:SRS589852">
      <formula1>項目!C17:$SRM$589825</formula1>
    </dataValidation>
    <dataValidation type="list" allowBlank="1" showInputMessage="1" showErrorMessage="1" sqref="TBO589829:TBO589852">
      <formula1>項目!C17:$TBI$589825</formula1>
    </dataValidation>
    <dataValidation type="list" allowBlank="1" showInputMessage="1" showErrorMessage="1" sqref="TLK589829:TLK589852">
      <formula1>項目!C17:$TLE$589825</formula1>
    </dataValidation>
    <dataValidation type="list" allowBlank="1" showInputMessage="1" showErrorMessage="1" sqref="TVG589829:TVG589852">
      <formula1>項目!C17:$TVA$589825</formula1>
    </dataValidation>
    <dataValidation type="list" allowBlank="1" showInputMessage="1" showErrorMessage="1" sqref="UFC589829:UFC589852">
      <formula1>項目!C17:$UEW$589825</formula1>
    </dataValidation>
    <dataValidation type="list" allowBlank="1" showInputMessage="1" showErrorMessage="1" sqref="UOY589829:UOY589852">
      <formula1>項目!C17:$UOS$589825</formula1>
    </dataValidation>
    <dataValidation type="list" allowBlank="1" showInputMessage="1" showErrorMessage="1" sqref="UYU589829:UYU589852">
      <formula1>項目!C17:$UYO$589825</formula1>
    </dataValidation>
    <dataValidation type="list" allowBlank="1" showInputMessage="1" showErrorMessage="1" sqref="VIQ589829:VIQ589852">
      <formula1>項目!C17:$VIK$589825</formula1>
    </dataValidation>
    <dataValidation type="list" allowBlank="1" showInputMessage="1" showErrorMessage="1" sqref="VSM589829:VSM589852">
      <formula1>項目!C17:$VSG$589825</formula1>
    </dataValidation>
    <dataValidation type="list" allowBlank="1" showInputMessage="1" showErrorMessage="1" sqref="WCI589829:WCI589852">
      <formula1>項目!C17:$WCC$589825</formula1>
    </dataValidation>
    <dataValidation type="list" allowBlank="1" showInputMessage="1" showErrorMessage="1" sqref="WME589829:WME589852">
      <formula1>項目!C17:$WLY$589825</formula1>
    </dataValidation>
    <dataValidation type="list" allowBlank="1" showInputMessage="1" showErrorMessage="1" sqref="WWA589829:WWA589852">
      <formula1>項目!C17:$WVU$589825</formula1>
    </dataValidation>
    <dataValidation type="list" allowBlank="1" showInputMessage="1" showErrorMessage="1" sqref="S655365:S655388">
      <formula1>項目!C17:$M$655361</formula1>
    </dataValidation>
    <dataValidation type="list" allowBlank="1" showInputMessage="1" showErrorMessage="1" sqref="JO655365:JO655388">
      <formula1>項目!C17:$JI$655361</formula1>
    </dataValidation>
    <dataValidation type="list" allowBlank="1" showInputMessage="1" showErrorMessage="1" sqref="TK655365:TK655388">
      <formula1>項目!C17:$TE$655361</formula1>
    </dataValidation>
    <dataValidation type="list" allowBlank="1" showInputMessage="1" showErrorMessage="1" sqref="ADG655365:ADG655388">
      <formula1>項目!C17:$ADA$655361</formula1>
    </dataValidation>
    <dataValidation type="list" allowBlank="1" showInputMessage="1" showErrorMessage="1" sqref="ANC655365:ANC655388">
      <formula1>項目!C17:$AMW$655361</formula1>
    </dataValidation>
    <dataValidation type="list" allowBlank="1" showInputMessage="1" showErrorMessage="1" sqref="AWY655365:AWY655388">
      <formula1>項目!C17:$AWS$655361</formula1>
    </dataValidation>
    <dataValidation type="list" allowBlank="1" showInputMessage="1" showErrorMessage="1" sqref="BGU655365:BGU655388">
      <formula1>項目!C17:$BGO$655361</formula1>
    </dataValidation>
    <dataValidation type="list" allowBlank="1" showInputMessage="1" showErrorMessage="1" sqref="BQQ655365:BQQ655388">
      <formula1>項目!C17:$BQK$655361</formula1>
    </dataValidation>
    <dataValidation type="list" allowBlank="1" showInputMessage="1" showErrorMessage="1" sqref="CAM655365:CAM655388">
      <formula1>項目!C17:$CAG$655361</formula1>
    </dataValidation>
    <dataValidation type="list" allowBlank="1" showInputMessage="1" showErrorMessage="1" sqref="CKI655365:CKI655388">
      <formula1>項目!C17:$CKC$655361</formula1>
    </dataValidation>
    <dataValidation type="list" allowBlank="1" showInputMessage="1" showErrorMessage="1" sqref="CUE655365:CUE655388">
      <formula1>項目!C17:$CTY$655361</formula1>
    </dataValidation>
    <dataValidation type="list" allowBlank="1" showInputMessage="1" showErrorMessage="1" sqref="DEA655365:DEA655388">
      <formula1>項目!C17:$DDU$655361</formula1>
    </dataValidation>
    <dataValidation type="list" allowBlank="1" showInputMessage="1" showErrorMessage="1" sqref="DNW655365:DNW655388">
      <formula1>項目!C17:$DNQ$655361</formula1>
    </dataValidation>
    <dataValidation type="list" allowBlank="1" showInputMessage="1" showErrorMessage="1" sqref="DXS655365:DXS655388">
      <formula1>項目!C17:$DXM$655361</formula1>
    </dataValidation>
    <dataValidation type="list" allowBlank="1" showInputMessage="1" showErrorMessage="1" sqref="EHO655365:EHO655388">
      <formula1>項目!C17:$EHI$655361</formula1>
    </dataValidation>
    <dataValidation type="list" allowBlank="1" showInputMessage="1" showErrorMessage="1" sqref="ERK655365:ERK655388">
      <formula1>項目!C17:$ERE$655361</formula1>
    </dataValidation>
    <dataValidation type="list" allowBlank="1" showInputMessage="1" showErrorMessage="1" sqref="FBG655365:FBG655388">
      <formula1>項目!C17:$FBA$655361</formula1>
    </dataValidation>
    <dataValidation type="list" allowBlank="1" showInputMessage="1" showErrorMessage="1" sqref="FLC655365:FLC655388">
      <formula1>項目!C17:$FKW$655361</formula1>
    </dataValidation>
    <dataValidation type="list" allowBlank="1" showInputMessage="1" showErrorMessage="1" sqref="FUY655365:FUY655388">
      <formula1>項目!C17:$FUS$655361</formula1>
    </dataValidation>
    <dataValidation type="list" allowBlank="1" showInputMessage="1" showErrorMessage="1" sqref="GEU655365:GEU655388">
      <formula1>項目!C17:$GEO$655361</formula1>
    </dataValidation>
    <dataValidation type="list" allowBlank="1" showInputMessage="1" showErrorMessage="1" sqref="GOQ655365:GOQ655388">
      <formula1>項目!C17:$GOK$655361</formula1>
    </dataValidation>
    <dataValidation type="list" allowBlank="1" showInputMessage="1" showErrorMessage="1" sqref="GYM655365:GYM655388">
      <formula1>項目!C17:$GYG$655361</formula1>
    </dataValidation>
    <dataValidation type="list" allowBlank="1" showInputMessage="1" showErrorMessage="1" sqref="HII655365:HII655388">
      <formula1>項目!C17:$HIC$655361</formula1>
    </dataValidation>
    <dataValidation type="list" allowBlank="1" showInputMessage="1" showErrorMessage="1" sqref="HSE655365:HSE655388">
      <formula1>項目!C17:$HRY$655361</formula1>
    </dataValidation>
    <dataValidation type="list" allowBlank="1" showInputMessage="1" showErrorMessage="1" sqref="ICA655365:ICA655388">
      <formula1>項目!C17:$IBU$655361</formula1>
    </dataValidation>
    <dataValidation type="list" allowBlank="1" showInputMessage="1" showErrorMessage="1" sqref="ILW655365:ILW655388">
      <formula1>項目!C17:$ILQ$655361</formula1>
    </dataValidation>
    <dataValidation type="list" allowBlank="1" showInputMessage="1" showErrorMessage="1" sqref="IVS655365:IVS655388">
      <formula1>項目!C17:$IVM$655361</formula1>
    </dataValidation>
    <dataValidation type="list" allowBlank="1" showInputMessage="1" showErrorMessage="1" sqref="JFO655365:JFO655388">
      <formula1>項目!C17:$JFI$655361</formula1>
    </dataValidation>
    <dataValidation type="list" allowBlank="1" showInputMessage="1" showErrorMessage="1" sqref="JPK655365:JPK655388">
      <formula1>項目!C17:$JPE$655361</formula1>
    </dataValidation>
    <dataValidation type="list" allowBlank="1" showInputMessage="1" showErrorMessage="1" sqref="JZG655365:JZG655388">
      <formula1>項目!C17:$JZA$655361</formula1>
    </dataValidation>
    <dataValidation type="list" allowBlank="1" showInputMessage="1" showErrorMessage="1" sqref="KJC655365:KJC655388">
      <formula1>項目!C17:$KIW$655361</formula1>
    </dataValidation>
    <dataValidation type="list" allowBlank="1" showInputMessage="1" showErrorMessage="1" sqref="KSY655365:KSY655388">
      <formula1>項目!C17:$KSS$655361</formula1>
    </dataValidation>
    <dataValidation type="list" allowBlank="1" showInputMessage="1" showErrorMessage="1" sqref="LCU655365:LCU655388">
      <formula1>項目!C17:$LCO$655361</formula1>
    </dataValidation>
    <dataValidation type="list" allowBlank="1" showInputMessage="1" showErrorMessage="1" sqref="LMQ655365:LMQ655388">
      <formula1>項目!C17:$LMK$655361</formula1>
    </dataValidation>
    <dataValidation type="list" allowBlank="1" showInputMessage="1" showErrorMessage="1" sqref="LWM655365:LWM655388">
      <formula1>項目!C17:$LWG$655361</formula1>
    </dataValidation>
    <dataValidation type="list" allowBlank="1" showInputMessage="1" showErrorMessage="1" sqref="MGI655365:MGI655388">
      <formula1>項目!C17:$MGC$655361</formula1>
    </dataValidation>
    <dataValidation type="list" allowBlank="1" showInputMessage="1" showErrorMessage="1" sqref="MQE655365:MQE655388">
      <formula1>項目!C17:$MPY$655361</formula1>
    </dataValidation>
    <dataValidation type="list" allowBlank="1" showInputMessage="1" showErrorMessage="1" sqref="NAA655365:NAA655388">
      <formula1>項目!C17:$MZU$655361</formula1>
    </dataValidation>
    <dataValidation type="list" allowBlank="1" showInputMessage="1" showErrorMessage="1" sqref="NJW655365:NJW655388">
      <formula1>項目!C17:$NJQ$655361</formula1>
    </dataValidation>
    <dataValidation type="list" allowBlank="1" showInputMessage="1" showErrorMessage="1" sqref="NTS655365:NTS655388">
      <formula1>項目!C17:$NTM$655361</formula1>
    </dataValidation>
    <dataValidation type="list" allowBlank="1" showInputMessage="1" showErrorMessage="1" sqref="ODO655365:ODO655388">
      <formula1>項目!C17:$ODI$655361</formula1>
    </dataValidation>
    <dataValidation type="list" allowBlank="1" showInputMessage="1" showErrorMessage="1" sqref="ONK655365:ONK655388">
      <formula1>項目!C17:$ONE$655361</formula1>
    </dataValidation>
    <dataValidation type="list" allowBlank="1" showInputMessage="1" showErrorMessage="1" sqref="OXG655365:OXG655388">
      <formula1>項目!C17:$OXA$655361</formula1>
    </dataValidation>
    <dataValidation type="list" allowBlank="1" showInputMessage="1" showErrorMessage="1" sqref="PHC655365:PHC655388">
      <formula1>項目!C17:$PGW$655361</formula1>
    </dataValidation>
    <dataValidation type="list" allowBlank="1" showInputMessage="1" showErrorMessage="1" sqref="PQY655365:PQY655388">
      <formula1>項目!C17:$PQS$655361</formula1>
    </dataValidation>
    <dataValidation type="list" allowBlank="1" showInputMessage="1" showErrorMessage="1" sqref="QAU655365:QAU655388">
      <formula1>項目!C17:$QAO$655361</formula1>
    </dataValidation>
    <dataValidation type="list" allowBlank="1" showInputMessage="1" showErrorMessage="1" sqref="QKQ655365:QKQ655388">
      <formula1>項目!C17:$QKK$655361</formula1>
    </dataValidation>
    <dataValidation type="list" allowBlank="1" showInputMessage="1" showErrorMessage="1" sqref="QUM655365:QUM655388">
      <formula1>項目!C17:$QUG$655361</formula1>
    </dataValidation>
    <dataValidation type="list" allowBlank="1" showInputMessage="1" showErrorMessage="1" sqref="REI655365:REI655388">
      <formula1>項目!C17:$REC$655361</formula1>
    </dataValidation>
    <dataValidation type="list" allowBlank="1" showInputMessage="1" showErrorMessage="1" sqref="ROE655365:ROE655388">
      <formula1>項目!C17:$RNY$655361</formula1>
    </dataValidation>
    <dataValidation type="list" allowBlank="1" showInputMessage="1" showErrorMessage="1" sqref="RYA655365:RYA655388">
      <formula1>項目!C17:$RXU$655361</formula1>
    </dataValidation>
    <dataValidation type="list" allowBlank="1" showInputMessage="1" showErrorMessage="1" sqref="SHW655365:SHW655388">
      <formula1>項目!C17:$SHQ$655361</formula1>
    </dataValidation>
    <dataValidation type="list" allowBlank="1" showInputMessage="1" showErrorMessage="1" sqref="SRS655365:SRS655388">
      <formula1>項目!C17:$SRM$655361</formula1>
    </dataValidation>
    <dataValidation type="list" allowBlank="1" showInputMessage="1" showErrorMessage="1" sqref="TBO655365:TBO655388">
      <formula1>項目!C17:$TBI$655361</formula1>
    </dataValidation>
    <dataValidation type="list" allowBlank="1" showInputMessage="1" showErrorMessage="1" sqref="TLK655365:TLK655388">
      <formula1>項目!C17:$TLE$655361</formula1>
    </dataValidation>
    <dataValidation type="list" allowBlank="1" showInputMessage="1" showErrorMessage="1" sqref="TVG655365:TVG655388">
      <formula1>項目!C17:$TVA$655361</formula1>
    </dataValidation>
    <dataValidation type="list" allowBlank="1" showInputMessage="1" showErrorMessage="1" sqref="UFC655365:UFC655388">
      <formula1>項目!C17:$UEW$655361</formula1>
    </dataValidation>
    <dataValidation type="list" allowBlank="1" showInputMessage="1" showErrorMessage="1" sqref="UOY655365:UOY655388">
      <formula1>項目!C17:$UOS$655361</formula1>
    </dataValidation>
    <dataValidation type="list" allowBlank="1" showInputMessage="1" showErrorMessage="1" sqref="UYU655365:UYU655388">
      <formula1>項目!C17:$UYO$655361</formula1>
    </dataValidation>
    <dataValidation type="list" allowBlank="1" showInputMessage="1" showErrorMessage="1" sqref="VIQ655365:VIQ655388">
      <formula1>項目!C17:$VIK$655361</formula1>
    </dataValidation>
    <dataValidation type="list" allowBlank="1" showInputMessage="1" showErrorMessage="1" sqref="VSM655365:VSM655388">
      <formula1>項目!C17:$VSG$655361</formula1>
    </dataValidation>
    <dataValidation type="list" allowBlank="1" showInputMessage="1" showErrorMessage="1" sqref="WCI655365:WCI655388">
      <formula1>項目!C17:$WCC$655361</formula1>
    </dataValidation>
    <dataValidation type="list" allowBlank="1" showInputMessage="1" showErrorMessage="1" sqref="WME655365:WME655388">
      <formula1>項目!C17:$WLY$655361</formula1>
    </dataValidation>
    <dataValidation type="list" allowBlank="1" showInputMessage="1" showErrorMessage="1" sqref="WWA655365:WWA655388">
      <formula1>項目!C17:$WVU$655361</formula1>
    </dataValidation>
    <dataValidation type="list" allowBlank="1" showInputMessage="1" showErrorMessage="1" sqref="S720901:S720924">
      <formula1>項目!C17:$M$720897</formula1>
    </dataValidation>
    <dataValidation type="list" allowBlank="1" showInputMessage="1" showErrorMessage="1" sqref="JO720901:JO720924">
      <formula1>項目!C17:$JI$720897</formula1>
    </dataValidation>
    <dataValidation type="list" allowBlank="1" showInputMessage="1" showErrorMessage="1" sqref="TK720901:TK720924">
      <formula1>項目!C17:$TE$720897</formula1>
    </dataValidation>
    <dataValidation type="list" allowBlank="1" showInputMessage="1" showErrorMessage="1" sqref="ADG720901:ADG720924">
      <formula1>項目!C17:$ADA$720897</formula1>
    </dataValidation>
    <dataValidation type="list" allowBlank="1" showInputMessage="1" showErrorMessage="1" sqref="ANC720901:ANC720924">
      <formula1>項目!C17:$AMW$720897</formula1>
    </dataValidation>
    <dataValidation type="list" allowBlank="1" showInputMessage="1" showErrorMessage="1" sqref="AWY720901:AWY720924">
      <formula1>項目!C17:$AWS$720897</formula1>
    </dataValidation>
    <dataValidation type="list" allowBlank="1" showInputMessage="1" showErrorMessage="1" sqref="BGU720901:BGU720924">
      <formula1>項目!C17:$BGO$720897</formula1>
    </dataValidation>
    <dataValidation type="list" allowBlank="1" showInputMessage="1" showErrorMessage="1" sqref="BQQ720901:BQQ720924">
      <formula1>項目!C17:$BQK$720897</formula1>
    </dataValidation>
    <dataValidation type="list" allowBlank="1" showInputMessage="1" showErrorMessage="1" sqref="CAM720901:CAM720924">
      <formula1>項目!C17:$CAG$720897</formula1>
    </dataValidation>
    <dataValidation type="list" allowBlank="1" showInputMessage="1" showErrorMessage="1" sqref="CKI720901:CKI720924">
      <formula1>項目!C17:$CKC$720897</formula1>
    </dataValidation>
    <dataValidation type="list" allowBlank="1" showInputMessage="1" showErrorMessage="1" sqref="CUE720901:CUE720924">
      <formula1>項目!C17:$CTY$720897</formula1>
    </dataValidation>
    <dataValidation type="list" allowBlank="1" showInputMessage="1" showErrorMessage="1" sqref="DEA720901:DEA720924">
      <formula1>項目!C17:$DDU$720897</formula1>
    </dataValidation>
    <dataValidation type="list" allowBlank="1" showInputMessage="1" showErrorMessage="1" sqref="DNW720901:DNW720924">
      <formula1>項目!C17:$DNQ$720897</formula1>
    </dataValidation>
    <dataValidation type="list" allowBlank="1" showInputMessage="1" showErrorMessage="1" sqref="DXS720901:DXS720924">
      <formula1>項目!C17:$DXM$720897</formula1>
    </dataValidation>
    <dataValidation type="list" allowBlank="1" showInputMessage="1" showErrorMessage="1" sqref="EHO720901:EHO720924">
      <formula1>項目!C17:$EHI$720897</formula1>
    </dataValidation>
    <dataValidation type="list" allowBlank="1" showInputMessage="1" showErrorMessage="1" sqref="ERK720901:ERK720924">
      <formula1>項目!C17:$ERE$720897</formula1>
    </dataValidation>
    <dataValidation type="list" allowBlank="1" showInputMessage="1" showErrorMessage="1" sqref="FBG720901:FBG720924">
      <formula1>項目!C17:$FBA$720897</formula1>
    </dataValidation>
    <dataValidation type="list" allowBlank="1" showInputMessage="1" showErrorMessage="1" sqref="FLC720901:FLC720924">
      <formula1>項目!C17:$FKW$720897</formula1>
    </dataValidation>
    <dataValidation type="list" allowBlank="1" showInputMessage="1" showErrorMessage="1" sqref="FUY720901:FUY720924">
      <formula1>項目!C17:$FUS$720897</formula1>
    </dataValidation>
    <dataValidation type="list" allowBlank="1" showInputMessage="1" showErrorMessage="1" sqref="GEU720901:GEU720924">
      <formula1>項目!C17:$GEO$720897</formula1>
    </dataValidation>
    <dataValidation type="list" allowBlank="1" showInputMessage="1" showErrorMessage="1" sqref="GOQ720901:GOQ720924">
      <formula1>項目!C17:$GOK$720897</formula1>
    </dataValidation>
    <dataValidation type="list" allowBlank="1" showInputMessage="1" showErrorMessage="1" sqref="GYM720901:GYM720924">
      <formula1>項目!C17:$GYG$720897</formula1>
    </dataValidation>
    <dataValidation type="list" allowBlank="1" showInputMessage="1" showErrorMessage="1" sqref="HII720901:HII720924">
      <formula1>項目!C17:$HIC$720897</formula1>
    </dataValidation>
    <dataValidation type="list" allowBlank="1" showInputMessage="1" showErrorMessage="1" sqref="HSE720901:HSE720924">
      <formula1>項目!C17:$HRY$720897</formula1>
    </dataValidation>
    <dataValidation type="list" allowBlank="1" showInputMessage="1" showErrorMessage="1" sqref="ICA720901:ICA720924">
      <formula1>項目!C17:$IBU$720897</formula1>
    </dataValidation>
    <dataValidation type="list" allowBlank="1" showInputMessage="1" showErrorMessage="1" sqref="ILW720901:ILW720924">
      <formula1>項目!C17:$ILQ$720897</formula1>
    </dataValidation>
    <dataValidation type="list" allowBlank="1" showInputMessage="1" showErrorMessage="1" sqref="IVS720901:IVS720924">
      <formula1>項目!C17:$IVM$720897</formula1>
    </dataValidation>
    <dataValidation type="list" allowBlank="1" showInputMessage="1" showErrorMessage="1" sqref="JFO720901:JFO720924">
      <formula1>項目!C17:$JFI$720897</formula1>
    </dataValidation>
    <dataValidation type="list" allowBlank="1" showInputMessage="1" showErrorMessage="1" sqref="JPK720901:JPK720924">
      <formula1>項目!C17:$JPE$720897</formula1>
    </dataValidation>
    <dataValidation type="list" allowBlank="1" showInputMessage="1" showErrorMessage="1" sqref="JZG720901:JZG720924">
      <formula1>項目!C17:$JZA$720897</formula1>
    </dataValidation>
    <dataValidation type="list" allowBlank="1" showInputMessage="1" showErrorMessage="1" sqref="KJC720901:KJC720924">
      <formula1>項目!C17:$KIW$720897</formula1>
    </dataValidation>
    <dataValidation type="list" allowBlank="1" showInputMessage="1" showErrorMessage="1" sqref="KSY720901:KSY720924">
      <formula1>項目!C17:$KSS$720897</formula1>
    </dataValidation>
    <dataValidation type="list" allowBlank="1" showInputMessage="1" showErrorMessage="1" sqref="LCU720901:LCU720924">
      <formula1>項目!C17:$LCO$720897</formula1>
    </dataValidation>
    <dataValidation type="list" allowBlank="1" showInputMessage="1" showErrorMessage="1" sqref="LMQ720901:LMQ720924">
      <formula1>項目!C17:$LMK$720897</formula1>
    </dataValidation>
    <dataValidation type="list" allowBlank="1" showInputMessage="1" showErrorMessage="1" sqref="LWM720901:LWM720924">
      <formula1>項目!C17:$LWG$720897</formula1>
    </dataValidation>
    <dataValidation type="list" allowBlank="1" showInputMessage="1" showErrorMessage="1" sqref="MGI720901:MGI720924">
      <formula1>項目!C17:$MGC$720897</formula1>
    </dataValidation>
    <dataValidation type="list" allowBlank="1" showInputMessage="1" showErrorMessage="1" sqref="MQE720901:MQE720924">
      <formula1>項目!C17:$MPY$720897</formula1>
    </dataValidation>
    <dataValidation type="list" allowBlank="1" showInputMessage="1" showErrorMessage="1" sqref="NAA720901:NAA720924">
      <formula1>項目!C17:$MZU$720897</formula1>
    </dataValidation>
    <dataValidation type="list" allowBlank="1" showInputMessage="1" showErrorMessage="1" sqref="NJW720901:NJW720924">
      <formula1>項目!C17:$NJQ$720897</formula1>
    </dataValidation>
    <dataValidation type="list" allowBlank="1" showInputMessage="1" showErrorMessage="1" sqref="NTS720901:NTS720924">
      <formula1>項目!C17:$NTM$720897</formula1>
    </dataValidation>
    <dataValidation type="list" allowBlank="1" showInputMessage="1" showErrorMessage="1" sqref="ODO720901:ODO720924">
      <formula1>項目!C17:$ODI$720897</formula1>
    </dataValidation>
    <dataValidation type="list" allowBlank="1" showInputMessage="1" showErrorMessage="1" sqref="ONK720901:ONK720924">
      <formula1>項目!C17:$ONE$720897</formula1>
    </dataValidation>
    <dataValidation type="list" allowBlank="1" showInputMessage="1" showErrorMessage="1" sqref="OXG720901:OXG720924">
      <formula1>項目!C17:$OXA$720897</formula1>
    </dataValidation>
    <dataValidation type="list" allowBlank="1" showInputMessage="1" showErrorMessage="1" sqref="PHC720901:PHC720924">
      <formula1>項目!C17:$PGW$720897</formula1>
    </dataValidation>
    <dataValidation type="list" allowBlank="1" showInputMessage="1" showErrorMessage="1" sqref="PQY720901:PQY720924">
      <formula1>項目!C17:$PQS$720897</formula1>
    </dataValidation>
    <dataValidation type="list" allowBlank="1" showInputMessage="1" showErrorMessage="1" sqref="QAU720901:QAU720924">
      <formula1>項目!C17:$QAO$720897</formula1>
    </dataValidation>
    <dataValidation type="list" allowBlank="1" showInputMessage="1" showErrorMessage="1" sqref="QKQ720901:QKQ720924">
      <formula1>項目!C17:$QKK$720897</formula1>
    </dataValidation>
    <dataValidation type="list" allowBlank="1" showInputMessage="1" showErrorMessage="1" sqref="QUM720901:QUM720924">
      <formula1>項目!C17:$QUG$720897</formula1>
    </dataValidation>
    <dataValidation type="list" allowBlank="1" showInputMessage="1" showErrorMessage="1" sqref="REI720901:REI720924">
      <formula1>項目!C17:$REC$720897</formula1>
    </dataValidation>
    <dataValidation type="list" allowBlank="1" showInputMessage="1" showErrorMessage="1" sqref="ROE720901:ROE720924">
      <formula1>項目!C17:$RNY$720897</formula1>
    </dataValidation>
    <dataValidation type="list" allowBlank="1" showInputMessage="1" showErrorMessage="1" sqref="RYA720901:RYA720924">
      <formula1>項目!C17:$RXU$720897</formula1>
    </dataValidation>
    <dataValidation type="list" allowBlank="1" showInputMessage="1" showErrorMessage="1" sqref="SHW720901:SHW720924">
      <formula1>項目!C17:$SHQ$720897</formula1>
    </dataValidation>
    <dataValidation type="list" allowBlank="1" showInputMessage="1" showErrorMessage="1" sqref="SRS720901:SRS720924">
      <formula1>項目!C17:$SRM$720897</formula1>
    </dataValidation>
    <dataValidation type="list" allowBlank="1" showInputMessage="1" showErrorMessage="1" sqref="TBO720901:TBO720924">
      <formula1>項目!C17:$TBI$720897</formula1>
    </dataValidation>
    <dataValidation type="list" allowBlank="1" showInputMessage="1" showErrorMessage="1" sqref="TLK720901:TLK720924">
      <formula1>項目!C17:$TLE$720897</formula1>
    </dataValidation>
    <dataValidation type="list" allowBlank="1" showInputMessage="1" showErrorMessage="1" sqref="TVG720901:TVG720924">
      <formula1>項目!C17:$TVA$720897</formula1>
    </dataValidation>
    <dataValidation type="list" allowBlank="1" showInputMessage="1" showErrorMessage="1" sqref="UFC720901:UFC720924">
      <formula1>項目!C17:$UEW$720897</formula1>
    </dataValidation>
    <dataValidation type="list" allowBlank="1" showInputMessage="1" showErrorMessage="1" sqref="UOY720901:UOY720924">
      <formula1>項目!C17:$UOS$720897</formula1>
    </dataValidation>
    <dataValidation type="list" allowBlank="1" showInputMessage="1" showErrorMessage="1" sqref="UYU720901:UYU720924">
      <formula1>項目!C17:$UYO$720897</formula1>
    </dataValidation>
    <dataValidation type="list" allowBlank="1" showInputMessage="1" showErrorMessage="1" sqref="VIQ720901:VIQ720924">
      <formula1>項目!C17:$VIK$720897</formula1>
    </dataValidation>
    <dataValidation type="list" allowBlank="1" showInputMessage="1" showErrorMessage="1" sqref="VSM720901:VSM720924">
      <formula1>項目!C17:$VSG$720897</formula1>
    </dataValidation>
    <dataValidation type="list" allowBlank="1" showInputMessage="1" showErrorMessage="1" sqref="WCI720901:WCI720924">
      <formula1>項目!C17:$WCC$720897</formula1>
    </dataValidation>
    <dataValidation type="list" allowBlank="1" showInputMessage="1" showErrorMessage="1" sqref="WME720901:WME720924">
      <formula1>項目!C17:$WLY$720897</formula1>
    </dataValidation>
    <dataValidation type="list" allowBlank="1" showInputMessage="1" showErrorMessage="1" sqref="WWA720901:WWA720924">
      <formula1>項目!C17:$WVU$720897</formula1>
    </dataValidation>
    <dataValidation type="list" allowBlank="1" showInputMessage="1" showErrorMessage="1" sqref="S786437:S786460">
      <formula1>項目!C17:$M$786433</formula1>
    </dataValidation>
    <dataValidation type="list" allowBlank="1" showInputMessage="1" showErrorMessage="1" sqref="JO786437:JO786460">
      <formula1>項目!C17:$JI$786433</formula1>
    </dataValidation>
    <dataValidation type="list" allowBlank="1" showInputMessage="1" showErrorMessage="1" sqref="TK786437:TK786460">
      <formula1>項目!C17:$TE$786433</formula1>
    </dataValidation>
    <dataValidation type="list" allowBlank="1" showInputMessage="1" showErrorMessage="1" sqref="ADG786437:ADG786460">
      <formula1>項目!C17:$ADA$786433</formula1>
    </dataValidation>
    <dataValidation type="list" allowBlank="1" showInputMessage="1" showErrorMessage="1" sqref="ANC786437:ANC786460">
      <formula1>項目!C17:$AMW$786433</formula1>
    </dataValidation>
    <dataValidation type="list" allowBlank="1" showInputMessage="1" showErrorMessage="1" sqref="AWY786437:AWY786460">
      <formula1>項目!C17:$AWS$786433</formula1>
    </dataValidation>
    <dataValidation type="list" allowBlank="1" showInputMessage="1" showErrorMessage="1" sqref="BGU786437:BGU786460">
      <formula1>項目!C17:$BGO$786433</formula1>
    </dataValidation>
    <dataValidation type="list" allowBlank="1" showInputMessage="1" showErrorMessage="1" sqref="BQQ786437:BQQ786460">
      <formula1>項目!C17:$BQK$786433</formula1>
    </dataValidation>
    <dataValidation type="list" allowBlank="1" showInputMessage="1" showErrorMessage="1" sqref="CAM786437:CAM786460">
      <formula1>項目!C17:$CAG$786433</formula1>
    </dataValidation>
    <dataValidation type="list" allowBlank="1" showInputMessage="1" showErrorMessage="1" sqref="CKI786437:CKI786460">
      <formula1>項目!C17:$CKC$786433</formula1>
    </dataValidation>
    <dataValidation type="list" allowBlank="1" showInputMessage="1" showErrorMessage="1" sqref="CUE786437:CUE786460">
      <formula1>項目!C17:$CTY$786433</formula1>
    </dataValidation>
    <dataValidation type="list" allowBlank="1" showInputMessage="1" showErrorMessage="1" sqref="DEA786437:DEA786460">
      <formula1>項目!C17:$DDU$786433</formula1>
    </dataValidation>
    <dataValidation type="list" allowBlank="1" showInputMessage="1" showErrorMessage="1" sqref="DNW786437:DNW786460">
      <formula1>項目!C17:$DNQ$786433</formula1>
    </dataValidation>
    <dataValidation type="list" allowBlank="1" showInputMessage="1" showErrorMessage="1" sqref="DXS786437:DXS786460">
      <formula1>項目!C17:$DXM$786433</formula1>
    </dataValidation>
    <dataValidation type="list" allowBlank="1" showInputMessage="1" showErrorMessage="1" sqref="EHO786437:EHO786460">
      <formula1>項目!C17:$EHI$786433</formula1>
    </dataValidation>
    <dataValidation type="list" allowBlank="1" showInputMessage="1" showErrorMessage="1" sqref="ERK786437:ERK786460">
      <formula1>項目!C17:$ERE$786433</formula1>
    </dataValidation>
    <dataValidation type="list" allowBlank="1" showInputMessage="1" showErrorMessage="1" sqref="FBG786437:FBG786460">
      <formula1>項目!C17:$FBA$786433</formula1>
    </dataValidation>
    <dataValidation type="list" allowBlank="1" showInputMessage="1" showErrorMessage="1" sqref="FLC786437:FLC786460">
      <formula1>項目!C17:$FKW$786433</formula1>
    </dataValidation>
    <dataValidation type="list" allowBlank="1" showInputMessage="1" showErrorMessage="1" sqref="FUY786437:FUY786460">
      <formula1>項目!C17:$FUS$786433</formula1>
    </dataValidation>
    <dataValidation type="list" allowBlank="1" showInputMessage="1" showErrorMessage="1" sqref="GEU786437:GEU786460">
      <formula1>項目!C17:$GEO$786433</formula1>
    </dataValidation>
    <dataValidation type="list" allowBlank="1" showInputMessage="1" showErrorMessage="1" sqref="GOQ786437:GOQ786460">
      <formula1>項目!C17:$GOK$786433</formula1>
    </dataValidation>
    <dataValidation type="list" allowBlank="1" showInputMessage="1" showErrorMessage="1" sqref="GYM786437:GYM786460">
      <formula1>項目!C17:$GYG$786433</formula1>
    </dataValidation>
    <dataValidation type="list" allowBlank="1" showInputMessage="1" showErrorMessage="1" sqref="HII786437:HII786460">
      <formula1>項目!C17:$HIC$786433</formula1>
    </dataValidation>
    <dataValidation type="list" allowBlank="1" showInputMessage="1" showErrorMessage="1" sqref="HSE786437:HSE786460">
      <formula1>項目!C17:$HRY$786433</formula1>
    </dataValidation>
    <dataValidation type="list" allowBlank="1" showInputMessage="1" showErrorMessage="1" sqref="ICA786437:ICA786460">
      <formula1>項目!C17:$IBU$786433</formula1>
    </dataValidation>
    <dataValidation type="list" allowBlank="1" showInputMessage="1" showErrorMessage="1" sqref="ILW786437:ILW786460">
      <formula1>項目!C17:$ILQ$786433</formula1>
    </dataValidation>
    <dataValidation type="list" allowBlank="1" showInputMessage="1" showErrorMessage="1" sqref="IVS786437:IVS786460">
      <formula1>項目!C17:$IVM$786433</formula1>
    </dataValidation>
    <dataValidation type="list" allowBlank="1" showInputMessage="1" showErrorMessage="1" sqref="JFO786437:JFO786460">
      <formula1>項目!C17:$JFI$786433</formula1>
    </dataValidation>
    <dataValidation type="list" allowBlank="1" showInputMessage="1" showErrorMessage="1" sqref="JPK786437:JPK786460">
      <formula1>項目!C17:$JPE$786433</formula1>
    </dataValidation>
    <dataValidation type="list" allowBlank="1" showInputMessage="1" showErrorMessage="1" sqref="JZG786437:JZG786460">
      <formula1>項目!C17:$JZA$786433</formula1>
    </dataValidation>
    <dataValidation type="list" allowBlank="1" showInputMessage="1" showErrorMessage="1" sqref="KJC786437:KJC786460">
      <formula1>項目!C17:$KIW$786433</formula1>
    </dataValidation>
    <dataValidation type="list" allowBlank="1" showInputMessage="1" showErrorMessage="1" sqref="KSY786437:KSY786460">
      <formula1>項目!C17:$KSS$786433</formula1>
    </dataValidation>
    <dataValidation type="list" allowBlank="1" showInputMessage="1" showErrorMessage="1" sqref="LCU786437:LCU786460">
      <formula1>項目!C17:$LCO$786433</formula1>
    </dataValidation>
    <dataValidation type="list" allowBlank="1" showInputMessage="1" showErrorMessage="1" sqref="LMQ786437:LMQ786460">
      <formula1>項目!C17:$LMK$786433</formula1>
    </dataValidation>
    <dataValidation type="list" allowBlank="1" showInputMessage="1" showErrorMessage="1" sqref="LWM786437:LWM786460">
      <formula1>項目!C17:$LWG$786433</formula1>
    </dataValidation>
    <dataValidation type="list" allowBlank="1" showInputMessage="1" showErrorMessage="1" sqref="MGI786437:MGI786460">
      <formula1>項目!C17:$MGC$786433</formula1>
    </dataValidation>
    <dataValidation type="list" allowBlank="1" showInputMessage="1" showErrorMessage="1" sqref="MQE786437:MQE786460">
      <formula1>項目!C17:$MPY$786433</formula1>
    </dataValidation>
    <dataValidation type="list" allowBlank="1" showInputMessage="1" showErrorMessage="1" sqref="NAA786437:NAA786460">
      <formula1>項目!C17:$MZU$786433</formula1>
    </dataValidation>
    <dataValidation type="list" allowBlank="1" showInputMessage="1" showErrorMessage="1" sqref="NJW786437:NJW786460">
      <formula1>項目!C17:$NJQ$786433</formula1>
    </dataValidation>
    <dataValidation type="list" allowBlank="1" showInputMessage="1" showErrorMessage="1" sqref="NTS786437:NTS786460">
      <formula1>項目!C17:$NTM$786433</formula1>
    </dataValidation>
    <dataValidation type="list" allowBlank="1" showInputMessage="1" showErrorMessage="1" sqref="ODO786437:ODO786460">
      <formula1>項目!C17:$ODI$786433</formula1>
    </dataValidation>
    <dataValidation type="list" allowBlank="1" showInputMessage="1" showErrorMessage="1" sqref="ONK786437:ONK786460">
      <formula1>項目!C17:$ONE$786433</formula1>
    </dataValidation>
    <dataValidation type="list" allowBlank="1" showInputMessage="1" showErrorMessage="1" sqref="OXG786437:OXG786460">
      <formula1>項目!C17:$OXA$786433</formula1>
    </dataValidation>
    <dataValidation type="list" allowBlank="1" showInputMessage="1" showErrorMessage="1" sqref="PHC786437:PHC786460">
      <formula1>項目!C17:$PGW$786433</formula1>
    </dataValidation>
    <dataValidation type="list" allowBlank="1" showInputMessage="1" showErrorMessage="1" sqref="PQY786437:PQY786460">
      <formula1>項目!C17:$PQS$786433</formula1>
    </dataValidation>
    <dataValidation type="list" allowBlank="1" showInputMessage="1" showErrorMessage="1" sqref="QAU786437:QAU786460">
      <formula1>項目!C17:$QAO$786433</formula1>
    </dataValidation>
    <dataValidation type="list" allowBlank="1" showInputMessage="1" showErrorMessage="1" sqref="QKQ786437:QKQ786460">
      <formula1>項目!C17:$QKK$786433</formula1>
    </dataValidation>
    <dataValidation type="list" allowBlank="1" showInputMessage="1" showErrorMessage="1" sqref="QUM786437:QUM786460">
      <formula1>項目!C17:$QUG$786433</formula1>
    </dataValidation>
    <dataValidation type="list" allowBlank="1" showInputMessage="1" showErrorMessage="1" sqref="REI786437:REI786460">
      <formula1>項目!C17:$REC$786433</formula1>
    </dataValidation>
    <dataValidation type="list" allowBlank="1" showInputMessage="1" showErrorMessage="1" sqref="ROE786437:ROE786460">
      <formula1>項目!C17:$RNY$786433</formula1>
    </dataValidation>
    <dataValidation type="list" allowBlank="1" showInputMessage="1" showErrorMessage="1" sqref="RYA786437:RYA786460">
      <formula1>項目!C17:$RXU$786433</formula1>
    </dataValidation>
    <dataValidation type="list" allowBlank="1" showInputMessage="1" showErrorMessage="1" sqref="SHW786437:SHW786460">
      <formula1>項目!C17:$SHQ$786433</formula1>
    </dataValidation>
    <dataValidation type="list" allowBlank="1" showInputMessage="1" showErrorMessage="1" sqref="SRS786437:SRS786460">
      <formula1>項目!C17:$SRM$786433</formula1>
    </dataValidation>
    <dataValidation type="list" allowBlank="1" showInputMessage="1" showErrorMessage="1" sqref="TBO786437:TBO786460">
      <formula1>項目!C17:$TBI$786433</formula1>
    </dataValidation>
    <dataValidation type="list" allowBlank="1" showInputMessage="1" showErrorMessage="1" sqref="TLK786437:TLK786460">
      <formula1>項目!C17:$TLE$786433</formula1>
    </dataValidation>
    <dataValidation type="list" allowBlank="1" showInputMessage="1" showErrorMessage="1" sqref="TVG786437:TVG786460">
      <formula1>項目!C17:$TVA$786433</formula1>
    </dataValidation>
    <dataValidation type="list" allowBlank="1" showInputMessage="1" showErrorMessage="1" sqref="UFC786437:UFC786460">
      <formula1>項目!C17:$UEW$786433</formula1>
    </dataValidation>
    <dataValidation type="list" allowBlank="1" showInputMessage="1" showErrorMessage="1" sqref="UOY786437:UOY786460">
      <formula1>項目!C17:$UOS$786433</formula1>
    </dataValidation>
    <dataValidation type="list" allowBlank="1" showInputMessage="1" showErrorMessage="1" sqref="UYU786437:UYU786460">
      <formula1>項目!C17:$UYO$786433</formula1>
    </dataValidation>
    <dataValidation type="list" allowBlank="1" showInputMessage="1" showErrorMessage="1" sqref="VIQ786437:VIQ786460">
      <formula1>項目!C17:$VIK$786433</formula1>
    </dataValidation>
    <dataValidation type="list" allowBlank="1" showInputMessage="1" showErrorMessage="1" sqref="VSM786437:VSM786460">
      <formula1>項目!C17:$VSG$786433</formula1>
    </dataValidation>
    <dataValidation type="list" allowBlank="1" showInputMessage="1" showErrorMessage="1" sqref="WCI786437:WCI786460">
      <formula1>項目!C17:$WCC$786433</formula1>
    </dataValidation>
    <dataValidation type="list" allowBlank="1" showInputMessage="1" showErrorMessage="1" sqref="WME786437:WME786460">
      <formula1>項目!C17:$WLY$786433</formula1>
    </dataValidation>
    <dataValidation type="list" allowBlank="1" showInputMessage="1" showErrorMessage="1" sqref="WWA786437:WWA786460">
      <formula1>項目!C17:$WVU$786433</formula1>
    </dataValidation>
    <dataValidation type="list" allowBlank="1" showInputMessage="1" showErrorMessage="1" sqref="S851973:S851996">
      <formula1>項目!C17:$M$851969</formula1>
    </dataValidation>
    <dataValidation type="list" allowBlank="1" showInputMessage="1" showErrorMessage="1" sqref="JO851973:JO851996">
      <formula1>項目!C17:$JI$851969</formula1>
    </dataValidation>
    <dataValidation type="list" allowBlank="1" showInputMessage="1" showErrorMessage="1" sqref="TK851973:TK851996">
      <formula1>項目!C17:$TE$851969</formula1>
    </dataValidation>
    <dataValidation type="list" allowBlank="1" showInputMessage="1" showErrorMessage="1" sqref="ADG851973:ADG851996">
      <formula1>項目!C17:$ADA$851969</formula1>
    </dataValidation>
    <dataValidation type="list" allowBlank="1" showInputMessage="1" showErrorMessage="1" sqref="ANC851973:ANC851996">
      <formula1>項目!C17:$AMW$851969</formula1>
    </dataValidation>
    <dataValidation type="list" allowBlank="1" showInputMessage="1" showErrorMessage="1" sqref="AWY851973:AWY851996">
      <formula1>項目!C17:$AWS$851969</formula1>
    </dataValidation>
    <dataValidation type="list" allowBlank="1" showInputMessage="1" showErrorMessage="1" sqref="BGU851973:BGU851996">
      <formula1>項目!C17:$BGO$851969</formula1>
    </dataValidation>
    <dataValidation type="list" allowBlank="1" showInputMessage="1" showErrorMessage="1" sqref="BQQ851973:BQQ851996">
      <formula1>項目!C17:$BQK$851969</formula1>
    </dataValidation>
    <dataValidation type="list" allowBlank="1" showInputMessage="1" showErrorMessage="1" sqref="CAM851973:CAM851996">
      <formula1>項目!C17:$CAG$851969</formula1>
    </dataValidation>
    <dataValidation type="list" allowBlank="1" showInputMessage="1" showErrorMessage="1" sqref="CKI851973:CKI851996">
      <formula1>項目!C17:$CKC$851969</formula1>
    </dataValidation>
    <dataValidation type="list" allowBlank="1" showInputMessage="1" showErrorMessage="1" sqref="CUE851973:CUE851996">
      <formula1>項目!C17:$CTY$851969</formula1>
    </dataValidation>
    <dataValidation type="list" allowBlank="1" showInputMessage="1" showErrorMessage="1" sqref="DEA851973:DEA851996">
      <formula1>項目!C17:$DDU$851969</formula1>
    </dataValidation>
    <dataValidation type="list" allowBlank="1" showInputMessage="1" showErrorMessage="1" sqref="DNW851973:DNW851996">
      <formula1>項目!C17:$DNQ$851969</formula1>
    </dataValidation>
    <dataValidation type="list" allowBlank="1" showInputMessage="1" showErrorMessage="1" sqref="DXS851973:DXS851996">
      <formula1>項目!C17:$DXM$851969</formula1>
    </dataValidation>
    <dataValidation type="list" allowBlank="1" showInputMessage="1" showErrorMessage="1" sqref="EHO851973:EHO851996">
      <formula1>項目!C17:$EHI$851969</formula1>
    </dataValidation>
    <dataValidation type="list" allowBlank="1" showInputMessage="1" showErrorMessage="1" sqref="ERK851973:ERK851996">
      <formula1>項目!C17:$ERE$851969</formula1>
    </dataValidation>
    <dataValidation type="list" allowBlank="1" showInputMessage="1" showErrorMessage="1" sqref="FBG851973:FBG851996">
      <formula1>項目!C17:$FBA$851969</formula1>
    </dataValidation>
    <dataValidation type="list" allowBlank="1" showInputMessage="1" showErrorMessage="1" sqref="FLC851973:FLC851996">
      <formula1>項目!C17:$FKW$851969</formula1>
    </dataValidation>
    <dataValidation type="list" allowBlank="1" showInputMessage="1" showErrorMessage="1" sqref="FUY851973:FUY851996">
      <formula1>項目!C17:$FUS$851969</formula1>
    </dataValidation>
    <dataValidation type="list" allowBlank="1" showInputMessage="1" showErrorMessage="1" sqref="GEU851973:GEU851996">
      <formula1>項目!C17:$GEO$851969</formula1>
    </dataValidation>
    <dataValidation type="list" allowBlank="1" showInputMessage="1" showErrorMessage="1" sqref="GOQ851973:GOQ851996">
      <formula1>項目!C17:$GOK$851969</formula1>
    </dataValidation>
    <dataValidation type="list" allowBlank="1" showInputMessage="1" showErrorMessage="1" sqref="GYM851973:GYM851996">
      <formula1>項目!C17:$GYG$851969</formula1>
    </dataValidation>
    <dataValidation type="list" allowBlank="1" showInputMessage="1" showErrorMessage="1" sqref="HII851973:HII851996">
      <formula1>項目!C17:$HIC$851969</formula1>
    </dataValidation>
    <dataValidation type="list" allowBlank="1" showInputMessage="1" showErrorMessage="1" sqref="HSE851973:HSE851996">
      <formula1>項目!C17:$HRY$851969</formula1>
    </dataValidation>
    <dataValidation type="list" allowBlank="1" showInputMessage="1" showErrorMessage="1" sqref="ICA851973:ICA851996">
      <formula1>項目!C17:$IBU$851969</formula1>
    </dataValidation>
    <dataValidation type="list" allowBlank="1" showInputMessage="1" showErrorMessage="1" sqref="ILW851973:ILW851996">
      <formula1>項目!C17:$ILQ$851969</formula1>
    </dataValidation>
    <dataValidation type="list" allowBlank="1" showInputMessage="1" showErrorMessage="1" sqref="IVS851973:IVS851996">
      <formula1>項目!C17:$IVM$851969</formula1>
    </dataValidation>
    <dataValidation type="list" allowBlank="1" showInputMessage="1" showErrorMessage="1" sqref="JFO851973:JFO851996">
      <formula1>項目!C17:$JFI$851969</formula1>
    </dataValidation>
    <dataValidation type="list" allowBlank="1" showInputMessage="1" showErrorMessage="1" sqref="JPK851973:JPK851996">
      <formula1>項目!C17:$JPE$851969</formula1>
    </dataValidation>
    <dataValidation type="list" allowBlank="1" showInputMessage="1" showErrorMessage="1" sqref="JZG851973:JZG851996">
      <formula1>項目!C17:$JZA$851969</formula1>
    </dataValidation>
    <dataValidation type="list" allowBlank="1" showInputMessage="1" showErrorMessage="1" sqref="KJC851973:KJC851996">
      <formula1>項目!C17:$KIW$851969</formula1>
    </dataValidation>
    <dataValidation type="list" allowBlank="1" showInputMessage="1" showErrorMessage="1" sqref="KSY851973:KSY851996">
      <formula1>項目!C17:$KSS$851969</formula1>
    </dataValidation>
    <dataValidation type="list" allowBlank="1" showInputMessage="1" showErrorMessage="1" sqref="LCU851973:LCU851996">
      <formula1>項目!C17:$LCO$851969</formula1>
    </dataValidation>
    <dataValidation type="list" allowBlank="1" showInputMessage="1" showErrorMessage="1" sqref="LMQ851973:LMQ851996">
      <formula1>項目!C17:$LMK$851969</formula1>
    </dataValidation>
    <dataValidation type="list" allowBlank="1" showInputMessage="1" showErrorMessage="1" sqref="LWM851973:LWM851996">
      <formula1>項目!C17:$LWG$851969</formula1>
    </dataValidation>
    <dataValidation type="list" allowBlank="1" showInputMessage="1" showErrorMessage="1" sqref="MGI851973:MGI851996">
      <formula1>項目!C17:$MGC$851969</formula1>
    </dataValidation>
    <dataValidation type="list" allowBlank="1" showInputMessage="1" showErrorMessage="1" sqref="MQE851973:MQE851996">
      <formula1>項目!C17:$MPY$851969</formula1>
    </dataValidation>
    <dataValidation type="list" allowBlank="1" showInputMessage="1" showErrorMessage="1" sqref="NAA851973:NAA851996">
      <formula1>項目!C17:$MZU$851969</formula1>
    </dataValidation>
    <dataValidation type="list" allowBlank="1" showInputMessage="1" showErrorMessage="1" sqref="NJW851973:NJW851996">
      <formula1>項目!C17:$NJQ$851969</formula1>
    </dataValidation>
    <dataValidation type="list" allowBlank="1" showInputMessage="1" showErrorMessage="1" sqref="NTS851973:NTS851996">
      <formula1>項目!C17:$NTM$851969</formula1>
    </dataValidation>
    <dataValidation type="list" allowBlank="1" showInputMessage="1" showErrorMessage="1" sqref="ODO851973:ODO851996">
      <formula1>項目!C17:$ODI$851969</formula1>
    </dataValidation>
    <dataValidation type="list" allowBlank="1" showInputMessage="1" showErrorMessage="1" sqref="ONK851973:ONK851996">
      <formula1>項目!C17:$ONE$851969</formula1>
    </dataValidation>
    <dataValidation type="list" allowBlank="1" showInputMessage="1" showErrorMessage="1" sqref="OXG851973:OXG851996">
      <formula1>項目!C17:$OXA$851969</formula1>
    </dataValidation>
    <dataValidation type="list" allowBlank="1" showInputMessage="1" showErrorMessage="1" sqref="PHC851973:PHC851996">
      <formula1>項目!C17:$PGW$851969</formula1>
    </dataValidation>
    <dataValidation type="list" allowBlank="1" showInputMessage="1" showErrorMessage="1" sqref="PQY851973:PQY851996">
      <formula1>項目!C17:$PQS$851969</formula1>
    </dataValidation>
    <dataValidation type="list" allowBlank="1" showInputMessage="1" showErrorMessage="1" sqref="QAU851973:QAU851996">
      <formula1>項目!C17:$QAO$851969</formula1>
    </dataValidation>
    <dataValidation type="list" allowBlank="1" showInputMessage="1" showErrorMessage="1" sqref="QKQ851973:QKQ851996">
      <formula1>項目!C17:$QKK$851969</formula1>
    </dataValidation>
    <dataValidation type="list" allowBlank="1" showInputMessage="1" showErrorMessage="1" sqref="QUM851973:QUM851996">
      <formula1>項目!C17:$QUG$851969</formula1>
    </dataValidation>
    <dataValidation type="list" allowBlank="1" showInputMessage="1" showErrorMessage="1" sqref="REI851973:REI851996">
      <formula1>項目!C17:$REC$851969</formula1>
    </dataValidation>
    <dataValidation type="list" allowBlank="1" showInputMessage="1" showErrorMessage="1" sqref="ROE851973:ROE851996">
      <formula1>項目!C17:$RNY$851969</formula1>
    </dataValidation>
    <dataValidation type="list" allowBlank="1" showInputMessage="1" showErrorMessage="1" sqref="RYA851973:RYA851996">
      <formula1>項目!C17:$RXU$851969</formula1>
    </dataValidation>
    <dataValidation type="list" allowBlank="1" showInputMessage="1" showErrorMessage="1" sqref="SHW851973:SHW851996">
      <formula1>項目!C17:$SHQ$851969</formula1>
    </dataValidation>
    <dataValidation type="list" allowBlank="1" showInputMessage="1" showErrorMessage="1" sqref="SRS851973:SRS851996">
      <formula1>項目!C17:$SRM$851969</formula1>
    </dataValidation>
    <dataValidation type="list" allowBlank="1" showInputMessage="1" showErrorMessage="1" sqref="TBO851973:TBO851996">
      <formula1>項目!C17:$TBI$851969</formula1>
    </dataValidation>
    <dataValidation type="list" allowBlank="1" showInputMessage="1" showErrorMessage="1" sqref="TLK851973:TLK851996">
      <formula1>項目!C17:$TLE$851969</formula1>
    </dataValidation>
    <dataValidation type="list" allowBlank="1" showInputMessage="1" showErrorMessage="1" sqref="TVG851973:TVG851996">
      <formula1>項目!C17:$TVA$851969</formula1>
    </dataValidation>
    <dataValidation type="list" allowBlank="1" showInputMessage="1" showErrorMessage="1" sqref="UFC851973:UFC851996">
      <formula1>項目!C17:$UEW$851969</formula1>
    </dataValidation>
    <dataValidation type="list" allowBlank="1" showInputMessage="1" showErrorMessage="1" sqref="UOY851973:UOY851996">
      <formula1>項目!C17:$UOS$851969</formula1>
    </dataValidation>
    <dataValidation type="list" allowBlank="1" showInputMessage="1" showErrorMessage="1" sqref="UYU851973:UYU851996">
      <formula1>項目!C17:$UYO$851969</formula1>
    </dataValidation>
    <dataValidation type="list" allowBlank="1" showInputMessage="1" showErrorMessage="1" sqref="VIQ851973:VIQ851996">
      <formula1>項目!C17:$VIK$851969</formula1>
    </dataValidation>
    <dataValidation type="list" allowBlank="1" showInputMessage="1" showErrorMessage="1" sqref="VSM851973:VSM851996">
      <formula1>項目!C17:$VSG$851969</formula1>
    </dataValidation>
    <dataValidation type="list" allowBlank="1" showInputMessage="1" showErrorMessage="1" sqref="WCI851973:WCI851996">
      <formula1>項目!C17:$WCC$851969</formula1>
    </dataValidation>
    <dataValidation type="list" allowBlank="1" showInputMessage="1" showErrorMessage="1" sqref="WME851973:WME851996">
      <formula1>項目!C17:$WLY$851969</formula1>
    </dataValidation>
    <dataValidation type="list" allowBlank="1" showInputMessage="1" showErrorMessage="1" sqref="WWA851973:WWA851996">
      <formula1>項目!C17:$WVU$851969</formula1>
    </dataValidation>
    <dataValidation type="list" allowBlank="1" showInputMessage="1" showErrorMessage="1" sqref="S917509:S917532">
      <formula1>項目!C17:$M$917505</formula1>
    </dataValidation>
    <dataValidation type="list" allowBlank="1" showInputMessage="1" showErrorMessage="1" sqref="JO917509:JO917532">
      <formula1>項目!C17:$JI$917505</formula1>
    </dataValidation>
    <dataValidation type="list" allowBlank="1" showInputMessage="1" showErrorMessage="1" sqref="TK917509:TK917532">
      <formula1>項目!C17:$TE$917505</formula1>
    </dataValidation>
    <dataValidation type="list" allowBlank="1" showInputMessage="1" showErrorMessage="1" sqref="ADG917509:ADG917532">
      <formula1>項目!C17:$ADA$917505</formula1>
    </dataValidation>
    <dataValidation type="list" allowBlank="1" showInputMessage="1" showErrorMessage="1" sqref="ANC917509:ANC917532">
      <formula1>項目!C17:$AMW$917505</formula1>
    </dataValidation>
    <dataValidation type="list" allowBlank="1" showInputMessage="1" showErrorMessage="1" sqref="AWY917509:AWY917532">
      <formula1>項目!C17:$AWS$917505</formula1>
    </dataValidation>
    <dataValidation type="list" allowBlank="1" showInputMessage="1" showErrorMessage="1" sqref="BGU917509:BGU917532">
      <formula1>項目!C17:$BGO$917505</formula1>
    </dataValidation>
    <dataValidation type="list" allowBlank="1" showInputMessage="1" showErrorMessage="1" sqref="BQQ917509:BQQ917532">
      <formula1>項目!C17:$BQK$917505</formula1>
    </dataValidation>
    <dataValidation type="list" allowBlank="1" showInputMessage="1" showErrorMessage="1" sqref="CAM917509:CAM917532">
      <formula1>項目!C17:$CAG$917505</formula1>
    </dataValidation>
    <dataValidation type="list" allowBlank="1" showInputMessage="1" showErrorMessage="1" sqref="CKI917509:CKI917532">
      <formula1>項目!C17:$CKC$917505</formula1>
    </dataValidation>
    <dataValidation type="list" allowBlank="1" showInputMessage="1" showErrorMessage="1" sqref="CUE917509:CUE917532">
      <formula1>項目!C17:$CTY$917505</formula1>
    </dataValidation>
    <dataValidation type="list" allowBlank="1" showInputMessage="1" showErrorMessage="1" sqref="DEA917509:DEA917532">
      <formula1>項目!C17:$DDU$917505</formula1>
    </dataValidation>
    <dataValidation type="list" allowBlank="1" showInputMessage="1" showErrorMessage="1" sqref="DNW917509:DNW917532">
      <formula1>項目!C17:$DNQ$917505</formula1>
    </dataValidation>
    <dataValidation type="list" allowBlank="1" showInputMessage="1" showErrorMessage="1" sqref="DXS917509:DXS917532">
      <formula1>項目!C17:$DXM$917505</formula1>
    </dataValidation>
    <dataValidation type="list" allowBlank="1" showInputMessage="1" showErrorMessage="1" sqref="EHO917509:EHO917532">
      <formula1>項目!C17:$EHI$917505</formula1>
    </dataValidation>
    <dataValidation type="list" allowBlank="1" showInputMessage="1" showErrorMessage="1" sqref="ERK917509:ERK917532">
      <formula1>項目!C17:$ERE$917505</formula1>
    </dataValidation>
    <dataValidation type="list" allowBlank="1" showInputMessage="1" showErrorMessage="1" sqref="FBG917509:FBG917532">
      <formula1>項目!C17:$FBA$917505</formula1>
    </dataValidation>
    <dataValidation type="list" allowBlank="1" showInputMessage="1" showErrorMessage="1" sqref="FLC917509:FLC917532">
      <formula1>項目!C17:$FKW$917505</formula1>
    </dataValidation>
    <dataValidation type="list" allowBlank="1" showInputMessage="1" showErrorMessage="1" sqref="FUY917509:FUY917532">
      <formula1>項目!C17:$FUS$917505</formula1>
    </dataValidation>
    <dataValidation type="list" allowBlank="1" showInputMessage="1" showErrorMessage="1" sqref="GEU917509:GEU917532">
      <formula1>項目!C17:$GEO$917505</formula1>
    </dataValidation>
    <dataValidation type="list" allowBlank="1" showInputMessage="1" showErrorMessage="1" sqref="GOQ917509:GOQ917532">
      <formula1>項目!C17:$GOK$917505</formula1>
    </dataValidation>
    <dataValidation type="list" allowBlank="1" showInputMessage="1" showErrorMessage="1" sqref="GYM917509:GYM917532">
      <formula1>項目!C17:$GYG$917505</formula1>
    </dataValidation>
    <dataValidation type="list" allowBlank="1" showInputMessage="1" showErrorMessage="1" sqref="HII917509:HII917532">
      <formula1>項目!C17:$HIC$917505</formula1>
    </dataValidation>
    <dataValidation type="list" allowBlank="1" showInputMessage="1" showErrorMessage="1" sqref="HSE917509:HSE917532">
      <formula1>項目!C17:$HRY$917505</formula1>
    </dataValidation>
    <dataValidation type="list" allowBlank="1" showInputMessage="1" showErrorMessage="1" sqref="ICA917509:ICA917532">
      <formula1>項目!C17:$IBU$917505</formula1>
    </dataValidation>
    <dataValidation type="list" allowBlank="1" showInputMessage="1" showErrorMessage="1" sqref="ILW917509:ILW917532">
      <formula1>項目!C17:$ILQ$917505</formula1>
    </dataValidation>
    <dataValidation type="list" allowBlank="1" showInputMessage="1" showErrorMessage="1" sqref="IVS917509:IVS917532">
      <formula1>項目!C17:$IVM$917505</formula1>
    </dataValidation>
    <dataValidation type="list" allowBlank="1" showInputMessage="1" showErrorMessage="1" sqref="JFO917509:JFO917532">
      <formula1>項目!C17:$JFI$917505</formula1>
    </dataValidation>
    <dataValidation type="list" allowBlank="1" showInputMessage="1" showErrorMessage="1" sqref="JPK917509:JPK917532">
      <formula1>項目!C17:$JPE$917505</formula1>
    </dataValidation>
    <dataValidation type="list" allowBlank="1" showInputMessage="1" showErrorMessage="1" sqref="JZG917509:JZG917532">
      <formula1>項目!C17:$JZA$917505</formula1>
    </dataValidation>
    <dataValidation type="list" allowBlank="1" showInputMessage="1" showErrorMessage="1" sqref="KJC917509:KJC917532">
      <formula1>項目!C17:$KIW$917505</formula1>
    </dataValidation>
    <dataValidation type="list" allowBlank="1" showInputMessage="1" showErrorMessage="1" sqref="KSY917509:KSY917532">
      <formula1>項目!C17:$KSS$917505</formula1>
    </dataValidation>
    <dataValidation type="list" allowBlank="1" showInputMessage="1" showErrorMessage="1" sqref="LCU917509:LCU917532">
      <formula1>項目!C17:$LCO$917505</formula1>
    </dataValidation>
    <dataValidation type="list" allowBlank="1" showInputMessage="1" showErrorMessage="1" sqref="LMQ917509:LMQ917532">
      <formula1>項目!C17:$LMK$917505</formula1>
    </dataValidation>
    <dataValidation type="list" allowBlank="1" showInputMessage="1" showErrorMessage="1" sqref="LWM917509:LWM917532">
      <formula1>項目!C17:$LWG$917505</formula1>
    </dataValidation>
    <dataValidation type="list" allowBlank="1" showInputMessage="1" showErrorMessage="1" sqref="MGI917509:MGI917532">
      <formula1>項目!C17:$MGC$917505</formula1>
    </dataValidation>
    <dataValidation type="list" allowBlank="1" showInputMessage="1" showErrorMessage="1" sqref="MQE917509:MQE917532">
      <formula1>項目!C17:$MPY$917505</formula1>
    </dataValidation>
    <dataValidation type="list" allowBlank="1" showInputMessage="1" showErrorMessage="1" sqref="NAA917509:NAA917532">
      <formula1>項目!C17:$MZU$917505</formula1>
    </dataValidation>
    <dataValidation type="list" allowBlank="1" showInputMessage="1" showErrorMessage="1" sqref="NJW917509:NJW917532">
      <formula1>項目!C17:$NJQ$917505</formula1>
    </dataValidation>
    <dataValidation type="list" allowBlank="1" showInputMessage="1" showErrorMessage="1" sqref="NTS917509:NTS917532">
      <formula1>項目!C17:$NTM$917505</formula1>
    </dataValidation>
    <dataValidation type="list" allowBlank="1" showInputMessage="1" showErrorMessage="1" sqref="ODO917509:ODO917532">
      <formula1>項目!C17:$ODI$917505</formula1>
    </dataValidation>
    <dataValidation type="list" allowBlank="1" showInputMessage="1" showErrorMessage="1" sqref="ONK917509:ONK917532">
      <formula1>項目!C17:$ONE$917505</formula1>
    </dataValidation>
    <dataValidation type="list" allowBlank="1" showInputMessage="1" showErrorMessage="1" sqref="OXG917509:OXG917532">
      <formula1>項目!C17:$OXA$917505</formula1>
    </dataValidation>
    <dataValidation type="list" allowBlank="1" showInputMessage="1" showErrorMessage="1" sqref="PHC917509:PHC917532">
      <formula1>項目!C17:$PGW$917505</formula1>
    </dataValidation>
    <dataValidation type="list" allowBlank="1" showInputMessage="1" showErrorMessage="1" sqref="PQY917509:PQY917532">
      <formula1>項目!C17:$PQS$917505</formula1>
    </dataValidation>
    <dataValidation type="list" allowBlank="1" showInputMessage="1" showErrorMessage="1" sqref="QAU917509:QAU917532">
      <formula1>項目!C17:$QAO$917505</formula1>
    </dataValidation>
    <dataValidation type="list" allowBlank="1" showInputMessage="1" showErrorMessage="1" sqref="QKQ917509:QKQ917532">
      <formula1>項目!C17:$QKK$917505</formula1>
    </dataValidation>
    <dataValidation type="list" allowBlank="1" showInputMessage="1" showErrorMessage="1" sqref="QUM917509:QUM917532">
      <formula1>項目!C17:$QUG$917505</formula1>
    </dataValidation>
    <dataValidation type="list" allowBlank="1" showInputMessage="1" showErrorMessage="1" sqref="REI917509:REI917532">
      <formula1>項目!C17:$REC$917505</formula1>
    </dataValidation>
    <dataValidation type="list" allowBlank="1" showInputMessage="1" showErrorMessage="1" sqref="ROE917509:ROE917532">
      <formula1>項目!C17:$RNY$917505</formula1>
    </dataValidation>
    <dataValidation type="list" allowBlank="1" showInputMessage="1" showErrorMessage="1" sqref="RYA917509:RYA917532">
      <formula1>項目!C17:$RXU$917505</formula1>
    </dataValidation>
    <dataValidation type="list" allowBlank="1" showInputMessage="1" showErrorMessage="1" sqref="SHW917509:SHW917532">
      <formula1>項目!C17:$SHQ$917505</formula1>
    </dataValidation>
    <dataValidation type="list" allowBlank="1" showInputMessage="1" showErrorMessage="1" sqref="SRS917509:SRS917532">
      <formula1>項目!C17:$SRM$917505</formula1>
    </dataValidation>
    <dataValidation type="list" allowBlank="1" showInputMessage="1" showErrorMessage="1" sqref="TBO917509:TBO917532">
      <formula1>項目!C17:$TBI$917505</formula1>
    </dataValidation>
    <dataValidation type="list" allowBlank="1" showInputMessage="1" showErrorMessage="1" sqref="TLK917509:TLK917532">
      <formula1>項目!C17:$TLE$917505</formula1>
    </dataValidation>
    <dataValidation type="list" allowBlank="1" showInputMessage="1" showErrorMessage="1" sqref="TVG917509:TVG917532">
      <formula1>項目!C17:$TVA$917505</formula1>
    </dataValidation>
    <dataValidation type="list" allowBlank="1" showInputMessage="1" showErrorMessage="1" sqref="UFC917509:UFC917532">
      <formula1>項目!C17:$UEW$917505</formula1>
    </dataValidation>
    <dataValidation type="list" allowBlank="1" showInputMessage="1" showErrorMessage="1" sqref="UOY917509:UOY917532">
      <formula1>項目!C17:$UOS$917505</formula1>
    </dataValidation>
    <dataValidation type="list" allowBlank="1" showInputMessage="1" showErrorMessage="1" sqref="UYU917509:UYU917532">
      <formula1>項目!C17:$UYO$917505</formula1>
    </dataValidation>
    <dataValidation type="list" allowBlank="1" showInputMessage="1" showErrorMessage="1" sqref="VIQ917509:VIQ917532">
      <formula1>項目!C17:$VIK$917505</formula1>
    </dataValidation>
    <dataValidation type="list" allowBlank="1" showInputMessage="1" showErrorMessage="1" sqref="VSM917509:VSM917532">
      <formula1>項目!C17:$VSG$917505</formula1>
    </dataValidation>
    <dataValidation type="list" allowBlank="1" showInputMessage="1" showErrorMessage="1" sqref="WCI917509:WCI917532">
      <formula1>項目!C17:$WCC$917505</formula1>
    </dataValidation>
    <dataValidation type="list" allowBlank="1" showInputMessage="1" showErrorMessage="1" sqref="WME917509:WME917532">
      <formula1>項目!C17:$WLY$917505</formula1>
    </dataValidation>
    <dataValidation type="list" allowBlank="1" showInputMessage="1" showErrorMessage="1" sqref="WWA917509:WWA917532">
      <formula1>項目!C17:$WVU$917505</formula1>
    </dataValidation>
    <dataValidation type="list" allowBlank="1" showInputMessage="1" showErrorMessage="1" sqref="S983045:S983068">
      <formula1>項目!C17:$M$983041</formula1>
    </dataValidation>
    <dataValidation type="list" allowBlank="1" showInputMessage="1" showErrorMessage="1" sqref="JO983045:JO983068">
      <formula1>項目!C17:$JI$983041</formula1>
    </dataValidation>
    <dataValidation type="list" allowBlank="1" showInputMessage="1" showErrorMessage="1" sqref="TK983045:TK983068">
      <formula1>項目!C17:$TE$983041</formula1>
    </dataValidation>
    <dataValidation type="list" allowBlank="1" showInputMessage="1" showErrorMessage="1" sqref="ADG983045:ADG983068">
      <formula1>項目!C17:$ADA$983041</formula1>
    </dataValidation>
    <dataValidation type="list" allowBlank="1" showInputMessage="1" showErrorMessage="1" sqref="ANC983045:ANC983068">
      <formula1>項目!C17:$AMW$983041</formula1>
    </dataValidation>
    <dataValidation type="list" allowBlank="1" showInputMessage="1" showErrorMessage="1" sqref="AWY983045:AWY983068">
      <formula1>項目!C17:$AWS$983041</formula1>
    </dataValidation>
    <dataValidation type="list" allowBlank="1" showInputMessage="1" showErrorMessage="1" sqref="BGU983045:BGU983068">
      <formula1>項目!C17:$BGO$983041</formula1>
    </dataValidation>
    <dataValidation type="list" allowBlank="1" showInputMessage="1" showErrorMessage="1" sqref="BQQ983045:BQQ983068">
      <formula1>項目!C17:$BQK$983041</formula1>
    </dataValidation>
    <dataValidation type="list" allowBlank="1" showInputMessage="1" showErrorMessage="1" sqref="CAM983045:CAM983068">
      <formula1>項目!C17:$CAG$983041</formula1>
    </dataValidation>
    <dataValidation type="list" allowBlank="1" showInputMessage="1" showErrorMessage="1" sqref="CKI983045:CKI983068">
      <formula1>項目!C17:$CKC$983041</formula1>
    </dataValidation>
    <dataValidation type="list" allowBlank="1" showInputMessage="1" showErrorMessage="1" sqref="CUE983045:CUE983068">
      <formula1>項目!C17:$CTY$983041</formula1>
    </dataValidation>
    <dataValidation type="list" allowBlank="1" showInputMessage="1" showErrorMessage="1" sqref="DEA983045:DEA983068">
      <formula1>項目!C17:$DDU$983041</formula1>
    </dataValidation>
    <dataValidation type="list" allowBlank="1" showInputMessage="1" showErrorMessage="1" sqref="DNW983045:DNW983068">
      <formula1>項目!C17:$DNQ$983041</formula1>
    </dataValidation>
    <dataValidation type="list" allowBlank="1" showInputMessage="1" showErrorMessage="1" sqref="DXS983045:DXS983068">
      <formula1>項目!C17:$DXM$983041</formula1>
    </dataValidation>
    <dataValidation type="list" allowBlank="1" showInputMessage="1" showErrorMessage="1" sqref="EHO983045:EHO983068">
      <formula1>項目!C17:$EHI$983041</formula1>
    </dataValidation>
    <dataValidation type="list" allowBlank="1" showInputMessage="1" showErrorMessage="1" sqref="ERK983045:ERK983068">
      <formula1>項目!C17:$ERE$983041</formula1>
    </dataValidation>
    <dataValidation type="list" allowBlank="1" showInputMessage="1" showErrorMessage="1" sqref="FBG983045:FBG983068">
      <formula1>項目!C17:$FBA$983041</formula1>
    </dataValidation>
    <dataValidation type="list" allowBlank="1" showInputMessage="1" showErrorMessage="1" sqref="FLC983045:FLC983068">
      <formula1>項目!C17:$FKW$983041</formula1>
    </dataValidation>
    <dataValidation type="list" allowBlank="1" showInputMessage="1" showErrorMessage="1" sqref="FUY983045:FUY983068">
      <formula1>項目!C17:$FUS$983041</formula1>
    </dataValidation>
    <dataValidation type="list" allowBlank="1" showInputMessage="1" showErrorMessage="1" sqref="GEU983045:GEU983068">
      <formula1>項目!C17:$GEO$983041</formula1>
    </dataValidation>
    <dataValidation type="list" allowBlank="1" showInputMessage="1" showErrorMessage="1" sqref="GOQ983045:GOQ983068">
      <formula1>項目!C17:$GOK$983041</formula1>
    </dataValidation>
    <dataValidation type="list" allowBlank="1" showInputMessage="1" showErrorMessage="1" sqref="GYM983045:GYM983068">
      <formula1>項目!C17:$GYG$983041</formula1>
    </dataValidation>
    <dataValidation type="list" allowBlank="1" showInputMessage="1" showErrorMessage="1" sqref="HII983045:HII983068">
      <formula1>項目!C17:$HIC$983041</formula1>
    </dataValidation>
    <dataValidation type="list" allowBlank="1" showInputMessage="1" showErrorMessage="1" sqref="HSE983045:HSE983068">
      <formula1>項目!C17:$HRY$983041</formula1>
    </dataValidation>
    <dataValidation type="list" allowBlank="1" showInputMessage="1" showErrorMessage="1" sqref="ICA983045:ICA983068">
      <formula1>項目!C17:$IBU$983041</formula1>
    </dataValidation>
    <dataValidation type="list" allowBlank="1" showInputMessage="1" showErrorMessage="1" sqref="ILW983045:ILW983068">
      <formula1>項目!C17:$ILQ$983041</formula1>
    </dataValidation>
    <dataValidation type="list" allowBlank="1" showInputMessage="1" showErrorMessage="1" sqref="IVS983045:IVS983068">
      <formula1>項目!C17:$IVM$983041</formula1>
    </dataValidation>
    <dataValidation type="list" allowBlank="1" showInputMessage="1" showErrorMessage="1" sqref="JFO983045:JFO983068">
      <formula1>項目!C17:$JFI$983041</formula1>
    </dataValidation>
    <dataValidation type="list" allowBlank="1" showInputMessage="1" showErrorMessage="1" sqref="JPK983045:JPK983068">
      <formula1>項目!C17:$JPE$983041</formula1>
    </dataValidation>
    <dataValidation type="list" allowBlank="1" showInputMessage="1" showErrorMessage="1" sqref="JZG983045:JZG983068">
      <formula1>項目!C17:$JZA$983041</formula1>
    </dataValidation>
    <dataValidation type="list" allowBlank="1" showInputMessage="1" showErrorMessage="1" sqref="KJC983045:KJC983068">
      <formula1>項目!C17:$KIW$983041</formula1>
    </dataValidation>
    <dataValidation type="list" allowBlank="1" showInputMessage="1" showErrorMessage="1" sqref="KSY983045:KSY983068">
      <formula1>項目!C17:$KSS$983041</formula1>
    </dataValidation>
    <dataValidation type="list" allowBlank="1" showInputMessage="1" showErrorMessage="1" sqref="LCU983045:LCU983068">
      <formula1>項目!C17:$LCO$983041</formula1>
    </dataValidation>
    <dataValidation type="list" allowBlank="1" showInputMessage="1" showErrorMessage="1" sqref="LMQ983045:LMQ983068">
      <formula1>項目!C17:$LMK$983041</formula1>
    </dataValidation>
    <dataValidation type="list" allowBlank="1" showInputMessage="1" showErrorMessage="1" sqref="LWM983045:LWM983068">
      <formula1>項目!C17:$LWG$983041</formula1>
    </dataValidation>
    <dataValidation type="list" allowBlank="1" showInputMessage="1" showErrorMessage="1" sqref="MGI983045:MGI983068">
      <formula1>項目!C17:$MGC$983041</formula1>
    </dataValidation>
    <dataValidation type="list" allowBlank="1" showInputMessage="1" showErrorMessage="1" sqref="MQE983045:MQE983068">
      <formula1>項目!C17:$MPY$983041</formula1>
    </dataValidation>
    <dataValidation type="list" allowBlank="1" showInputMessage="1" showErrorMessage="1" sqref="NAA983045:NAA983068">
      <formula1>項目!C17:$MZU$983041</formula1>
    </dataValidation>
    <dataValidation type="list" allowBlank="1" showInputMessage="1" showErrorMessage="1" sqref="NJW983045:NJW983068">
      <formula1>項目!C17:$NJQ$983041</formula1>
    </dataValidation>
    <dataValidation type="list" allowBlank="1" showInputMessage="1" showErrorMessage="1" sqref="NTS983045:NTS983068">
      <formula1>項目!C17:$NTM$983041</formula1>
    </dataValidation>
    <dataValidation type="list" allowBlank="1" showInputMessage="1" showErrorMessage="1" sqref="ODO983045:ODO983068">
      <formula1>項目!C17:$ODI$983041</formula1>
    </dataValidation>
    <dataValidation type="list" allowBlank="1" showInputMessage="1" showErrorMessage="1" sqref="ONK983045:ONK983068">
      <formula1>項目!C17:$ONE$983041</formula1>
    </dataValidation>
    <dataValidation type="list" allowBlank="1" showInputMessage="1" showErrorMessage="1" sqref="OXG983045:OXG983068">
      <formula1>項目!C17:$OXA$983041</formula1>
    </dataValidation>
    <dataValidation type="list" allowBlank="1" showInputMessage="1" showErrorMessage="1" sqref="PHC983045:PHC983068">
      <formula1>項目!C17:$PGW$983041</formula1>
    </dataValidation>
    <dataValidation type="list" allowBlank="1" showInputMessage="1" showErrorMessage="1" sqref="PQY983045:PQY983068">
      <formula1>項目!C17:$PQS$983041</formula1>
    </dataValidation>
    <dataValidation type="list" allowBlank="1" showInputMessage="1" showErrorMessage="1" sqref="QAU983045:QAU983068">
      <formula1>項目!C17:$QAO$983041</formula1>
    </dataValidation>
    <dataValidation type="list" allowBlank="1" showInputMessage="1" showErrorMessage="1" sqref="QKQ983045:QKQ983068">
      <formula1>項目!C17:$QKK$983041</formula1>
    </dataValidation>
    <dataValidation type="list" allowBlank="1" showInputMessage="1" showErrorMessage="1" sqref="QUM983045:QUM983068">
      <formula1>項目!C17:$QUG$983041</formula1>
    </dataValidation>
    <dataValidation type="list" allowBlank="1" showInputMessage="1" showErrorMessage="1" sqref="REI983045:REI983068">
      <formula1>項目!C17:$REC$983041</formula1>
    </dataValidation>
    <dataValidation type="list" allowBlank="1" showInputMessage="1" showErrorMessage="1" sqref="ROE983045:ROE983068">
      <formula1>項目!C17:$RNY$983041</formula1>
    </dataValidation>
    <dataValidation type="list" allowBlank="1" showInputMessage="1" showErrorMessage="1" sqref="RYA983045:RYA983068">
      <formula1>項目!C17:$RXU$983041</formula1>
    </dataValidation>
    <dataValidation type="list" allowBlank="1" showInputMessage="1" showErrorMessage="1" sqref="SHW983045:SHW983068">
      <formula1>項目!C17:$SHQ$983041</formula1>
    </dataValidation>
    <dataValidation type="list" allowBlank="1" showInputMessage="1" showErrorMessage="1" sqref="SRS983045:SRS983068">
      <formula1>項目!C17:$SRM$983041</formula1>
    </dataValidation>
    <dataValidation type="list" allowBlank="1" showInputMessage="1" showErrorMessage="1" sqref="TBO983045:TBO983068">
      <formula1>項目!C17:$TBI$983041</formula1>
    </dataValidation>
    <dataValidation type="list" allowBlank="1" showInputMessage="1" showErrorMessage="1" sqref="TLK983045:TLK983068">
      <formula1>項目!C17:$TLE$983041</formula1>
    </dataValidation>
    <dataValidation type="list" allowBlank="1" showInputMessage="1" showErrorMessage="1" sqref="TVG983045:TVG983068">
      <formula1>項目!C17:$TVA$983041</formula1>
    </dataValidation>
    <dataValidation type="list" allowBlank="1" showInputMessage="1" showErrorMessage="1" sqref="UFC983045:UFC983068">
      <formula1>項目!C17:$UEW$983041</formula1>
    </dataValidation>
    <dataValidation type="list" allowBlank="1" showInputMessage="1" showErrorMessage="1" sqref="UOY983045:UOY983068">
      <formula1>項目!C17:$UOS$983041</formula1>
    </dataValidation>
    <dataValidation type="list" allowBlank="1" showInputMessage="1" showErrorMessage="1" sqref="UYU983045:UYU983068">
      <formula1>項目!C17:$UYO$983041</formula1>
    </dataValidation>
    <dataValidation type="list" allowBlank="1" showInputMessage="1" showErrorMessage="1" sqref="VIQ983045:VIQ983068">
      <formula1>項目!C17:$VIK$983041</formula1>
    </dataValidation>
    <dataValidation type="list" allowBlank="1" showInputMessage="1" showErrorMessage="1" sqref="VSM983045:VSM983068">
      <formula1>項目!C17:$VSG$983041</formula1>
    </dataValidation>
    <dataValidation type="list" allowBlank="1" showInputMessage="1" showErrorMessage="1" sqref="WCI983045:WCI983068">
      <formula1>項目!C17:$WCC$983041</formula1>
    </dataValidation>
    <dataValidation type="list" allowBlank="1" showInputMessage="1" showErrorMessage="1" sqref="WME983045:WME983068">
      <formula1>項目!C17:$WLY$983041</formula1>
    </dataValidation>
    <dataValidation type="list" allowBlank="1" showInputMessage="1" showErrorMessage="1" sqref="WWA983045:WWA983068">
      <formula1>項目!C17:$WVU$983041</formula1>
    </dataValidation>
    <dataValidation type="list" allowBlank="1" showInputMessage="1" showErrorMessage="1" sqref="ACU5:ACU28">
      <formula1>項目!C1:$ACO$17</formula1>
    </dataValidation>
    <dataValidation type="list" allowBlank="1" showInputMessage="1" showErrorMessage="1" sqref="JS5:JS28">
      <formula1>項目!C1:$JM$17</formula1>
    </dataValidation>
    <dataValidation type="list" allowBlank="1" showInputMessage="1" showErrorMessage="1" sqref="TO5:TO28">
      <formula1>項目!C1:$TI$17</formula1>
    </dataValidation>
    <dataValidation type="list" allowBlank="1" showInputMessage="1" showErrorMessage="1" sqref="ADK5:ADK28">
      <formula1>項目!C1:$ADE$17</formula1>
    </dataValidation>
    <dataValidation type="list" allowBlank="1" showInputMessage="1" showErrorMessage="1" sqref="ANG5:ANG28">
      <formula1>項目!C1:$ANA$17</formula1>
    </dataValidation>
    <dataValidation type="list" allowBlank="1" showInputMessage="1" showErrorMessage="1" sqref="AXC5:AXC28">
      <formula1>項目!C1:$AWW$17</formula1>
    </dataValidation>
    <dataValidation type="list" allowBlank="1" showInputMessage="1" showErrorMessage="1" sqref="BGY5:BGY28">
      <formula1>項目!C1:$BGS$17</formula1>
    </dataValidation>
    <dataValidation type="list" allowBlank="1" showInputMessage="1" showErrorMessage="1" sqref="BQU5:BQU28">
      <formula1>項目!C1:$BQO$17</formula1>
    </dataValidation>
    <dataValidation type="list" allowBlank="1" showInputMessage="1" showErrorMessage="1" sqref="CAQ5:CAQ28">
      <formula1>項目!C1:$CAK$17</formula1>
    </dataValidation>
    <dataValidation type="list" allowBlank="1" showInputMessage="1" showErrorMessage="1" sqref="CKM5:CKM28">
      <formula1>項目!C1:$CKG$17</formula1>
    </dataValidation>
    <dataValidation type="list" allowBlank="1" showInputMessage="1" showErrorMessage="1" sqref="CUI5:CUI28">
      <formula1>項目!C1:$CUC$17</formula1>
    </dataValidation>
    <dataValidation type="list" allowBlank="1" showInputMessage="1" showErrorMessage="1" sqref="DEE5:DEE28">
      <formula1>項目!C1:$DDY$17</formula1>
    </dataValidation>
    <dataValidation type="list" allowBlank="1" showInputMessage="1" showErrorMessage="1" sqref="DOA5:DOA28">
      <formula1>項目!C1:$DNU$17</formula1>
    </dataValidation>
    <dataValidation type="list" allowBlank="1" showInputMessage="1" showErrorMessage="1" sqref="DXW5:DXW28">
      <formula1>項目!C1:$DXQ$17</formula1>
    </dataValidation>
    <dataValidation type="list" allowBlank="1" showInputMessage="1" showErrorMessage="1" sqref="EHS5:EHS28">
      <formula1>項目!C1:$EHM$17</formula1>
    </dataValidation>
    <dataValidation type="list" allowBlank="1" showInputMessage="1" showErrorMessage="1" sqref="ERO5:ERO28">
      <formula1>項目!C1:$ERI$17</formula1>
    </dataValidation>
    <dataValidation type="list" allowBlank="1" showInputMessage="1" showErrorMessage="1" sqref="FBK5:FBK28">
      <formula1>項目!C1:$FBE$17</formula1>
    </dataValidation>
    <dataValidation type="list" allowBlank="1" showInputMessage="1" showErrorMessage="1" sqref="FLG5:FLG28">
      <formula1>項目!C1:$FLA$17</formula1>
    </dataValidation>
    <dataValidation type="list" allowBlank="1" showInputMessage="1" showErrorMessage="1" sqref="FVC5:FVC28">
      <formula1>項目!C1:$FUW$17</formula1>
    </dataValidation>
    <dataValidation type="list" allowBlank="1" showInputMessage="1" showErrorMessage="1" sqref="GEY5:GEY28">
      <formula1>項目!C1:$GES$17</formula1>
    </dataValidation>
    <dataValidation type="list" allowBlank="1" showInputMessage="1" showErrorMessage="1" sqref="GOU5:GOU28">
      <formula1>項目!C1:$GOO$17</formula1>
    </dataValidation>
    <dataValidation type="list" allowBlank="1" showInputMessage="1" showErrorMessage="1" sqref="GYQ5:GYQ28">
      <formula1>項目!C1:$GYK$17</formula1>
    </dataValidation>
    <dataValidation type="list" allowBlank="1" showInputMessage="1" showErrorMessage="1" sqref="HIM5:HIM28">
      <formula1>項目!C1:$HIG$17</formula1>
    </dataValidation>
    <dataValidation type="list" allowBlank="1" showInputMessage="1" showErrorMessage="1" sqref="HSI5:HSI28">
      <formula1>項目!C1:$HSC$17</formula1>
    </dataValidation>
    <dataValidation type="list" allowBlank="1" showInputMessage="1" showErrorMessage="1" sqref="ICE5:ICE28">
      <formula1>項目!C1:$IBY$17</formula1>
    </dataValidation>
    <dataValidation type="list" allowBlank="1" showInputMessage="1" showErrorMessage="1" sqref="IMA5:IMA28">
      <formula1>項目!C1:$ILU$17</formula1>
    </dataValidation>
    <dataValidation type="list" allowBlank="1" showInputMessage="1" showErrorMessage="1" sqref="IVW5:IVW28">
      <formula1>項目!C1:$IVQ$17</formula1>
    </dataValidation>
    <dataValidation type="list" allowBlank="1" showInputMessage="1" showErrorMessage="1" sqref="JFS5:JFS28">
      <formula1>項目!C1:$JFM$17</formula1>
    </dataValidation>
    <dataValidation type="list" allowBlank="1" showInputMessage="1" showErrorMessage="1" sqref="JPO5:JPO28">
      <formula1>項目!C1:$JPI$17</formula1>
    </dataValidation>
    <dataValidation type="list" allowBlank="1" showInputMessage="1" showErrorMessage="1" sqref="JZK5:JZK28">
      <formula1>項目!C1:$JZE$17</formula1>
    </dataValidation>
    <dataValidation type="list" allowBlank="1" showInputMessage="1" showErrorMessage="1" sqref="KJG5:KJG28">
      <formula1>項目!C1:$KJA$17</formula1>
    </dataValidation>
    <dataValidation type="list" allowBlank="1" showInputMessage="1" showErrorMessage="1" sqref="KTC5:KTC28">
      <formula1>項目!C1:$KSW$17</formula1>
    </dataValidation>
    <dataValidation type="list" allowBlank="1" showInputMessage="1" showErrorMessage="1" sqref="LCY5:LCY28">
      <formula1>項目!C1:$LCS$17</formula1>
    </dataValidation>
    <dataValidation type="list" allowBlank="1" showInputMessage="1" showErrorMessage="1" sqref="LMU5:LMU28">
      <formula1>項目!C1:$LMO$17</formula1>
    </dataValidation>
    <dataValidation type="list" allowBlank="1" showInputMessage="1" showErrorMessage="1" sqref="LWQ5:LWQ28">
      <formula1>項目!C1:$LWK$17</formula1>
    </dataValidation>
    <dataValidation type="list" allowBlank="1" showInputMessage="1" showErrorMessage="1" sqref="MGM5:MGM28">
      <formula1>項目!C1:$MGG$17</formula1>
    </dataValidation>
    <dataValidation type="list" allowBlank="1" showInputMessage="1" showErrorMessage="1" sqref="MQI5:MQI28">
      <formula1>項目!C1:$MQC$17</formula1>
    </dataValidation>
    <dataValidation type="list" allowBlank="1" showInputMessage="1" showErrorMessage="1" sqref="NAE5:NAE28">
      <formula1>項目!C1:$MZY$17</formula1>
    </dataValidation>
    <dataValidation type="list" allowBlank="1" showInputMessage="1" showErrorMessage="1" sqref="NKA5:NKA28">
      <formula1>項目!C1:$NJU$17</formula1>
    </dataValidation>
    <dataValidation type="list" allowBlank="1" showInputMessage="1" showErrorMessage="1" sqref="NTW5:NTW28">
      <formula1>項目!C1:$NTQ$17</formula1>
    </dataValidation>
    <dataValidation type="list" allowBlank="1" showInputMessage="1" showErrorMessage="1" sqref="ODS5:ODS28">
      <formula1>項目!C1:$ODM$17</formula1>
    </dataValidation>
    <dataValidation type="list" allowBlank="1" showInputMessage="1" showErrorMessage="1" sqref="ONO5:ONO28">
      <formula1>項目!C1:$ONI$17</formula1>
    </dataValidation>
    <dataValidation type="list" allowBlank="1" showInputMessage="1" showErrorMessage="1" sqref="OXK5:OXK28">
      <formula1>項目!C1:$OXE$17</formula1>
    </dataValidation>
    <dataValidation type="list" allowBlank="1" showInputMessage="1" showErrorMessage="1" sqref="PHG5:PHG28">
      <formula1>項目!C1:$PHA$17</formula1>
    </dataValidation>
    <dataValidation type="list" allowBlank="1" showInputMessage="1" showErrorMessage="1" sqref="PRC5:PRC28">
      <formula1>項目!C1:$PQW$17</formula1>
    </dataValidation>
    <dataValidation type="list" allowBlank="1" showInputMessage="1" showErrorMessage="1" sqref="QAY5:QAY28">
      <formula1>項目!C1:$QAS$17</formula1>
    </dataValidation>
    <dataValidation type="list" allowBlank="1" showInputMessage="1" showErrorMessage="1" sqref="QKU5:QKU28">
      <formula1>項目!C1:$QKO$17</formula1>
    </dataValidation>
    <dataValidation type="list" allowBlank="1" showInputMessage="1" showErrorMessage="1" sqref="QUQ5:QUQ28">
      <formula1>項目!C1:$QUK$17</formula1>
    </dataValidation>
    <dataValidation type="list" allowBlank="1" showInputMessage="1" showErrorMessage="1" sqref="REM5:REM28">
      <formula1>項目!C1:$REG$17</formula1>
    </dataValidation>
    <dataValidation type="list" allowBlank="1" showInputMessage="1" showErrorMessage="1" sqref="ROI5:ROI28">
      <formula1>項目!C1:$ROC$17</formula1>
    </dataValidation>
    <dataValidation type="list" allowBlank="1" showInputMessage="1" showErrorMessage="1" sqref="RYE5:RYE28">
      <formula1>項目!C1:$RXY$17</formula1>
    </dataValidation>
    <dataValidation type="list" allowBlank="1" showInputMessage="1" showErrorMessage="1" sqref="SIA5:SIA28">
      <formula1>項目!C1:$SHU$17</formula1>
    </dataValidation>
    <dataValidation type="list" allowBlank="1" showInputMessage="1" showErrorMessage="1" sqref="SRW5:SRW28">
      <formula1>項目!C1:$SRQ$17</formula1>
    </dataValidation>
    <dataValidation type="list" allowBlank="1" showInputMessage="1" showErrorMessage="1" sqref="TBS5:TBS28">
      <formula1>項目!C1:$TBM$17</formula1>
    </dataValidation>
    <dataValidation type="list" allowBlank="1" showInputMessage="1" showErrorMessage="1" sqref="TLO5:TLO28">
      <formula1>項目!C1:$TLI$17</formula1>
    </dataValidation>
    <dataValidation type="list" allowBlank="1" showInputMessage="1" showErrorMessage="1" sqref="TVK5:TVK28">
      <formula1>項目!C1:$TVE$17</formula1>
    </dataValidation>
    <dataValidation type="list" allowBlank="1" showInputMessage="1" showErrorMessage="1" sqref="UFG5:UFG28">
      <formula1>項目!C1:$UFA$17</formula1>
    </dataValidation>
    <dataValidation type="list" allowBlank="1" showInputMessage="1" showErrorMessage="1" sqref="UPC5:UPC28">
      <formula1>項目!C1:$UOW$17</formula1>
    </dataValidation>
    <dataValidation type="list" allowBlank="1" showInputMessage="1" showErrorMessage="1" sqref="UYY5:UYY28">
      <formula1>項目!C1:$UYS$17</formula1>
    </dataValidation>
    <dataValidation type="list" allowBlank="1" showInputMessage="1" showErrorMessage="1" sqref="VIU5:VIU28">
      <formula1>項目!C1:$VIO$17</formula1>
    </dataValidation>
    <dataValidation type="list" allowBlank="1" showInputMessage="1" showErrorMessage="1" sqref="VSQ5:VSQ28">
      <formula1>項目!C1:$VSK$17</formula1>
    </dataValidation>
    <dataValidation type="list" allowBlank="1" showInputMessage="1" showErrorMessage="1" sqref="WCM5:WCM28">
      <formula1>項目!C1:$WCG$17</formula1>
    </dataValidation>
    <dataValidation type="list" allowBlank="1" showInputMessage="1" showErrorMessage="1" sqref="WMI5:WMI28">
      <formula1>項目!C1:$WMC$17</formula1>
    </dataValidation>
    <dataValidation type="list" allowBlank="1" showInputMessage="1" showErrorMessage="1" sqref="WWE5:WWE28">
      <formula1>項目!C1:$WVY$17</formula1>
    </dataValidation>
    <dataValidation type="list" allowBlank="1" showInputMessage="1" showErrorMessage="1" sqref="W65541:W65564">
      <formula1>項目!C17:$Q$65537</formula1>
    </dataValidation>
    <dataValidation type="list" allowBlank="1" showInputMessage="1" showErrorMessage="1" sqref="JS65541:JS65564">
      <formula1>項目!C17:$JM$65537</formula1>
    </dataValidation>
    <dataValidation type="list" allowBlank="1" showInputMessage="1" showErrorMessage="1" sqref="TO65541:TO65564">
      <formula1>項目!C17:$TI$65537</formula1>
    </dataValidation>
    <dataValidation type="list" allowBlank="1" showInputMessage="1" showErrorMessage="1" sqref="ADK65541:ADK65564">
      <formula1>項目!C17:$ADE$65537</formula1>
    </dataValidation>
    <dataValidation type="list" allowBlank="1" showInputMessage="1" showErrorMessage="1" sqref="ANG65541:ANG65564">
      <formula1>項目!C17:$ANA$65537</formula1>
    </dataValidation>
    <dataValidation type="list" allowBlank="1" showInputMessage="1" showErrorMessage="1" sqref="AXC65541:AXC65564">
      <formula1>項目!C17:$AWW$65537</formula1>
    </dataValidation>
    <dataValidation type="list" allowBlank="1" showInputMessage="1" showErrorMessage="1" sqref="BGY65541:BGY65564">
      <formula1>項目!C17:$BGS$65537</formula1>
    </dataValidation>
    <dataValidation type="list" allowBlank="1" showInputMessage="1" showErrorMessage="1" sqref="BQU65541:BQU65564">
      <formula1>項目!C17:$BQO$65537</formula1>
    </dataValidation>
    <dataValidation type="list" allowBlank="1" showInputMessage="1" showErrorMessage="1" sqref="CAQ65541:CAQ65564">
      <formula1>項目!C17:$CAK$65537</formula1>
    </dataValidation>
    <dataValidation type="list" allowBlank="1" showInputMessage="1" showErrorMessage="1" sqref="CKM65541:CKM65564">
      <formula1>項目!C17:$CKG$65537</formula1>
    </dataValidation>
    <dataValidation type="list" allowBlank="1" showInputMessage="1" showErrorMessage="1" sqref="CUI65541:CUI65564">
      <formula1>項目!C17:$CUC$65537</formula1>
    </dataValidation>
    <dataValidation type="list" allowBlank="1" showInputMessage="1" showErrorMessage="1" sqref="DEE65541:DEE65564">
      <formula1>項目!C17:$DDY$65537</formula1>
    </dataValidation>
    <dataValidation type="list" allowBlank="1" showInputMessage="1" showErrorMessage="1" sqref="DOA65541:DOA65564">
      <formula1>項目!C17:$DNU$65537</formula1>
    </dataValidation>
    <dataValidation type="list" allowBlank="1" showInputMessage="1" showErrorMessage="1" sqref="DXW65541:DXW65564">
      <formula1>項目!C17:$DXQ$65537</formula1>
    </dataValidation>
    <dataValidation type="list" allowBlank="1" showInputMessage="1" showErrorMessage="1" sqref="EHS65541:EHS65564">
      <formula1>項目!C17:$EHM$65537</formula1>
    </dataValidation>
    <dataValidation type="list" allowBlank="1" showInputMessage="1" showErrorMessage="1" sqref="ERO65541:ERO65564">
      <formula1>項目!C17:$ERI$65537</formula1>
    </dataValidation>
    <dataValidation type="list" allowBlank="1" showInputMessage="1" showErrorMessage="1" sqref="FBK65541:FBK65564">
      <formula1>項目!C17:$FBE$65537</formula1>
    </dataValidation>
    <dataValidation type="list" allowBlank="1" showInputMessage="1" showErrorMessage="1" sqref="FLG65541:FLG65564">
      <formula1>項目!C17:$FLA$65537</formula1>
    </dataValidation>
    <dataValidation type="list" allowBlank="1" showInputMessage="1" showErrorMessage="1" sqref="FVC65541:FVC65564">
      <formula1>項目!C17:$FUW$65537</formula1>
    </dataValidation>
    <dataValidation type="list" allowBlank="1" showInputMessage="1" showErrorMessage="1" sqref="GEY65541:GEY65564">
      <formula1>項目!C17:$GES$65537</formula1>
    </dataValidation>
    <dataValidation type="list" allowBlank="1" showInputMessage="1" showErrorMessage="1" sqref="GOU65541:GOU65564">
      <formula1>項目!C17:$GOO$65537</formula1>
    </dataValidation>
    <dataValidation type="list" allowBlank="1" showInputMessage="1" showErrorMessage="1" sqref="GYQ65541:GYQ65564">
      <formula1>項目!C17:$GYK$65537</formula1>
    </dataValidation>
    <dataValidation type="list" allowBlank="1" showInputMessage="1" showErrorMessage="1" sqref="HIM65541:HIM65564">
      <formula1>項目!C17:$HIG$65537</formula1>
    </dataValidation>
    <dataValidation type="list" allowBlank="1" showInputMessage="1" showErrorMessage="1" sqref="HSI65541:HSI65564">
      <formula1>項目!C17:$HSC$65537</formula1>
    </dataValidation>
    <dataValidation type="list" allowBlank="1" showInputMessage="1" showErrorMessage="1" sqref="ICE65541:ICE65564">
      <formula1>項目!C17:$IBY$65537</formula1>
    </dataValidation>
    <dataValidation type="list" allowBlank="1" showInputMessage="1" showErrorMessage="1" sqref="IMA65541:IMA65564">
      <formula1>項目!C17:$ILU$65537</formula1>
    </dataValidation>
    <dataValidation type="list" allowBlank="1" showInputMessage="1" showErrorMessage="1" sqref="IVW65541:IVW65564">
      <formula1>項目!C17:$IVQ$65537</formula1>
    </dataValidation>
    <dataValidation type="list" allowBlank="1" showInputMessage="1" showErrorMessage="1" sqref="JFS65541:JFS65564">
      <formula1>項目!C17:$JFM$65537</formula1>
    </dataValidation>
    <dataValidation type="list" allowBlank="1" showInputMessage="1" showErrorMessage="1" sqref="JPO65541:JPO65564">
      <formula1>項目!C17:$JPI$65537</formula1>
    </dataValidation>
    <dataValidation type="list" allowBlank="1" showInputMessage="1" showErrorMessage="1" sqref="JZK65541:JZK65564">
      <formula1>項目!C17:$JZE$65537</formula1>
    </dataValidation>
    <dataValidation type="list" allowBlank="1" showInputMessage="1" showErrorMessage="1" sqref="KJG65541:KJG65564">
      <formula1>項目!C17:$KJA$65537</formula1>
    </dataValidation>
    <dataValidation type="list" allowBlank="1" showInputMessage="1" showErrorMessage="1" sqref="KTC65541:KTC65564">
      <formula1>項目!C17:$KSW$65537</formula1>
    </dataValidation>
    <dataValidation type="list" allowBlank="1" showInputMessage="1" showErrorMessage="1" sqref="LCY65541:LCY65564">
      <formula1>項目!C17:$LCS$65537</formula1>
    </dataValidation>
    <dataValidation type="list" allowBlank="1" showInputMessage="1" showErrorMessage="1" sqref="LMU65541:LMU65564">
      <formula1>項目!C17:$LMO$65537</formula1>
    </dataValidation>
    <dataValidation type="list" allowBlank="1" showInputMessage="1" showErrorMessage="1" sqref="LWQ65541:LWQ65564">
      <formula1>項目!C17:$LWK$65537</formula1>
    </dataValidation>
    <dataValidation type="list" allowBlank="1" showInputMessage="1" showErrorMessage="1" sqref="MGM65541:MGM65564">
      <formula1>項目!C17:$MGG$65537</formula1>
    </dataValidation>
    <dataValidation type="list" allowBlank="1" showInputMessage="1" showErrorMessage="1" sqref="MQI65541:MQI65564">
      <formula1>項目!C17:$MQC$65537</formula1>
    </dataValidation>
    <dataValidation type="list" allowBlank="1" showInputMessage="1" showErrorMessage="1" sqref="NAE65541:NAE65564">
      <formula1>項目!C17:$MZY$65537</formula1>
    </dataValidation>
    <dataValidation type="list" allowBlank="1" showInputMessage="1" showErrorMessage="1" sqref="NKA65541:NKA65564">
      <formula1>項目!C17:$NJU$65537</formula1>
    </dataValidation>
    <dataValidation type="list" allowBlank="1" showInputMessage="1" showErrorMessage="1" sqref="NTW65541:NTW65564">
      <formula1>項目!C17:$NTQ$65537</formula1>
    </dataValidation>
    <dataValidation type="list" allowBlank="1" showInputMessage="1" showErrorMessage="1" sqref="ODS65541:ODS65564">
      <formula1>項目!C17:$ODM$65537</formula1>
    </dataValidation>
    <dataValidation type="list" allowBlank="1" showInputMessage="1" showErrorMessage="1" sqref="ONO65541:ONO65564">
      <formula1>項目!C17:$ONI$65537</formula1>
    </dataValidation>
    <dataValidation type="list" allowBlank="1" showInputMessage="1" showErrorMessage="1" sqref="OXK65541:OXK65564">
      <formula1>項目!C17:$OXE$65537</formula1>
    </dataValidation>
    <dataValidation type="list" allowBlank="1" showInputMessage="1" showErrorMessage="1" sqref="PHG65541:PHG65564">
      <formula1>項目!C17:$PHA$65537</formula1>
    </dataValidation>
    <dataValidation type="list" allowBlank="1" showInputMessage="1" showErrorMessage="1" sqref="PRC65541:PRC65564">
      <formula1>項目!C17:$PQW$65537</formula1>
    </dataValidation>
    <dataValidation type="list" allowBlank="1" showInputMessage="1" showErrorMessage="1" sqref="QAY65541:QAY65564">
      <formula1>項目!C17:$QAS$65537</formula1>
    </dataValidation>
    <dataValidation type="list" allowBlank="1" showInputMessage="1" showErrorMessage="1" sqref="QKU65541:QKU65564">
      <formula1>項目!C17:$QKO$65537</formula1>
    </dataValidation>
    <dataValidation type="list" allowBlank="1" showInputMessage="1" showErrorMessage="1" sqref="QUQ65541:QUQ65564">
      <formula1>項目!C17:$QUK$65537</formula1>
    </dataValidation>
    <dataValidation type="list" allowBlank="1" showInputMessage="1" showErrorMessage="1" sqref="REM65541:REM65564">
      <formula1>項目!C17:$REG$65537</formula1>
    </dataValidation>
    <dataValidation type="list" allowBlank="1" showInputMessage="1" showErrorMessage="1" sqref="ROI65541:ROI65564">
      <formula1>項目!C17:$ROC$65537</formula1>
    </dataValidation>
    <dataValidation type="list" allowBlank="1" showInputMessage="1" showErrorMessage="1" sqref="RYE65541:RYE65564">
      <formula1>項目!C17:$RXY$65537</formula1>
    </dataValidation>
    <dataValidation type="list" allowBlank="1" showInputMessage="1" showErrorMessage="1" sqref="SIA65541:SIA65564">
      <formula1>項目!C17:$SHU$65537</formula1>
    </dataValidation>
    <dataValidation type="list" allowBlank="1" showInputMessage="1" showErrorMessage="1" sqref="SRW65541:SRW65564">
      <formula1>項目!C17:$SRQ$65537</formula1>
    </dataValidation>
    <dataValidation type="list" allowBlank="1" showInputMessage="1" showErrorMessage="1" sqref="TBS65541:TBS65564">
      <formula1>項目!C17:$TBM$65537</formula1>
    </dataValidation>
    <dataValidation type="list" allowBlank="1" showInputMessage="1" showErrorMessage="1" sqref="TLO65541:TLO65564">
      <formula1>項目!C17:$TLI$65537</formula1>
    </dataValidation>
    <dataValidation type="list" allowBlank="1" showInputMessage="1" showErrorMessage="1" sqref="TVK65541:TVK65564">
      <formula1>項目!C17:$TVE$65537</formula1>
    </dataValidation>
    <dataValidation type="list" allowBlank="1" showInputMessage="1" showErrorMessage="1" sqref="UFG65541:UFG65564">
      <formula1>項目!C17:$UFA$65537</formula1>
    </dataValidation>
    <dataValidation type="list" allowBlank="1" showInputMessage="1" showErrorMessage="1" sqref="UPC65541:UPC65564">
      <formula1>項目!C17:$UOW$65537</formula1>
    </dataValidation>
    <dataValidation type="list" allowBlank="1" showInputMessage="1" showErrorMessage="1" sqref="UYY65541:UYY65564">
      <formula1>項目!C17:$UYS$65537</formula1>
    </dataValidation>
    <dataValidation type="list" allowBlank="1" showInputMessage="1" showErrorMessage="1" sqref="VIU65541:VIU65564">
      <formula1>項目!C17:$VIO$65537</formula1>
    </dataValidation>
    <dataValidation type="list" allowBlank="1" showInputMessage="1" showErrorMessage="1" sqref="VSQ65541:VSQ65564">
      <formula1>項目!C17:$VSK$65537</formula1>
    </dataValidation>
    <dataValidation type="list" allowBlank="1" showInputMessage="1" showErrorMessage="1" sqref="WCM65541:WCM65564">
      <formula1>項目!C17:$WCG$65537</formula1>
    </dataValidation>
    <dataValidation type="list" allowBlank="1" showInputMessage="1" showErrorMessage="1" sqref="WMI65541:WMI65564">
      <formula1>項目!C17:$WMC$65537</formula1>
    </dataValidation>
    <dataValidation type="list" allowBlank="1" showInputMessage="1" showErrorMessage="1" sqref="WWE65541:WWE65564">
      <formula1>項目!C17:$WVY$65537</formula1>
    </dataValidation>
    <dataValidation type="list" allowBlank="1" showInputMessage="1" showErrorMessage="1" sqref="W131077:W131100">
      <formula1>項目!C17:$Q$131073</formula1>
    </dataValidation>
    <dataValidation type="list" allowBlank="1" showInputMessage="1" showErrorMessage="1" sqref="JS131077:JS131100">
      <formula1>項目!C17:$JM$131073</formula1>
    </dataValidation>
    <dataValidation type="list" allowBlank="1" showInputMessage="1" showErrorMessage="1" sqref="TO131077:TO131100">
      <formula1>項目!C17:$TI$131073</formula1>
    </dataValidation>
    <dataValidation type="list" allowBlank="1" showInputMessage="1" showErrorMessage="1" sqref="ADK131077:ADK131100">
      <formula1>項目!C17:$ADE$131073</formula1>
    </dataValidation>
    <dataValidation type="list" allowBlank="1" showInputMessage="1" showErrorMessage="1" sqref="ANG131077:ANG131100">
      <formula1>項目!C17:$ANA$131073</formula1>
    </dataValidation>
    <dataValidation type="list" allowBlank="1" showInputMessage="1" showErrorMessage="1" sqref="AXC131077:AXC131100">
      <formula1>項目!C17:$AWW$131073</formula1>
    </dataValidation>
    <dataValidation type="list" allowBlank="1" showInputMessage="1" showErrorMessage="1" sqref="BGY131077:BGY131100">
      <formula1>項目!C17:$BGS$131073</formula1>
    </dataValidation>
    <dataValidation type="list" allowBlank="1" showInputMessage="1" showErrorMessage="1" sqref="BQU131077:BQU131100">
      <formula1>項目!C17:$BQO$131073</formula1>
    </dataValidation>
    <dataValidation type="list" allowBlank="1" showInputMessage="1" showErrorMessage="1" sqref="CAQ131077:CAQ131100">
      <formula1>項目!C17:$CAK$131073</formula1>
    </dataValidation>
    <dataValidation type="list" allowBlank="1" showInputMessage="1" showErrorMessage="1" sqref="CKM131077:CKM131100">
      <formula1>項目!C17:$CKG$131073</formula1>
    </dataValidation>
    <dataValidation type="list" allowBlank="1" showInputMessage="1" showErrorMessage="1" sqref="CUI131077:CUI131100">
      <formula1>項目!C17:$CUC$131073</formula1>
    </dataValidation>
    <dataValidation type="list" allowBlank="1" showInputMessage="1" showErrorMessage="1" sqref="DEE131077:DEE131100">
      <formula1>項目!C17:$DDY$131073</formula1>
    </dataValidation>
    <dataValidation type="list" allowBlank="1" showInputMessage="1" showErrorMessage="1" sqref="DOA131077:DOA131100">
      <formula1>項目!C17:$DNU$131073</formula1>
    </dataValidation>
    <dataValidation type="list" allowBlank="1" showInputMessage="1" showErrorMessage="1" sqref="DXW131077:DXW131100">
      <formula1>項目!C17:$DXQ$131073</formula1>
    </dataValidation>
    <dataValidation type="list" allowBlank="1" showInputMessage="1" showErrorMessage="1" sqref="EHS131077:EHS131100">
      <formula1>項目!C17:$EHM$131073</formula1>
    </dataValidation>
    <dataValidation type="list" allowBlank="1" showInputMessage="1" showErrorMessage="1" sqref="ERO131077:ERO131100">
      <formula1>項目!C17:$ERI$131073</formula1>
    </dataValidation>
    <dataValidation type="list" allowBlank="1" showInputMessage="1" showErrorMessage="1" sqref="FBK131077:FBK131100">
      <formula1>項目!C17:$FBE$131073</formula1>
    </dataValidation>
    <dataValidation type="list" allowBlank="1" showInputMessage="1" showErrorMessage="1" sqref="FLG131077:FLG131100">
      <formula1>項目!C17:$FLA$131073</formula1>
    </dataValidation>
    <dataValidation type="list" allowBlank="1" showInputMessage="1" showErrorMessage="1" sqref="FVC131077:FVC131100">
      <formula1>項目!C17:$FUW$131073</formula1>
    </dataValidation>
    <dataValidation type="list" allowBlank="1" showInputMessage="1" showErrorMessage="1" sqref="GEY131077:GEY131100">
      <formula1>項目!C17:$GES$131073</formula1>
    </dataValidation>
    <dataValidation type="list" allowBlank="1" showInputMessage="1" showErrorMessage="1" sqref="GOU131077:GOU131100">
      <formula1>項目!C17:$GOO$131073</formula1>
    </dataValidation>
    <dataValidation type="list" allowBlank="1" showInputMessage="1" showErrorMessage="1" sqref="GYQ131077:GYQ131100">
      <formula1>項目!C17:$GYK$131073</formula1>
    </dataValidation>
    <dataValidation type="list" allowBlank="1" showInputMessage="1" showErrorMessage="1" sqref="HIM131077:HIM131100">
      <formula1>項目!C17:$HIG$131073</formula1>
    </dataValidation>
    <dataValidation type="list" allowBlank="1" showInputMessage="1" showErrorMessage="1" sqref="HSI131077:HSI131100">
      <formula1>項目!C17:$HSC$131073</formula1>
    </dataValidation>
    <dataValidation type="list" allowBlank="1" showInputMessage="1" showErrorMessage="1" sqref="ICE131077:ICE131100">
      <formula1>項目!C17:$IBY$131073</formula1>
    </dataValidation>
    <dataValidation type="list" allowBlank="1" showInputMessage="1" showErrorMessage="1" sqref="IMA131077:IMA131100">
      <formula1>項目!C17:$ILU$131073</formula1>
    </dataValidation>
    <dataValidation type="list" allowBlank="1" showInputMessage="1" showErrorMessage="1" sqref="IVW131077:IVW131100">
      <formula1>項目!C17:$IVQ$131073</formula1>
    </dataValidation>
    <dataValidation type="list" allowBlank="1" showInputMessage="1" showErrorMessage="1" sqref="JFS131077:JFS131100">
      <formula1>項目!C17:$JFM$131073</formula1>
    </dataValidation>
    <dataValidation type="list" allowBlank="1" showInputMessage="1" showErrorMessage="1" sqref="JPO131077:JPO131100">
      <formula1>項目!C17:$JPI$131073</formula1>
    </dataValidation>
    <dataValidation type="list" allowBlank="1" showInputMessage="1" showErrorMessage="1" sqref="JZK131077:JZK131100">
      <formula1>項目!C17:$JZE$131073</formula1>
    </dataValidation>
    <dataValidation type="list" allowBlank="1" showInputMessage="1" showErrorMessage="1" sqref="KJG131077:KJG131100">
      <formula1>項目!C17:$KJA$131073</formula1>
    </dataValidation>
    <dataValidation type="list" allowBlank="1" showInputMessage="1" showErrorMessage="1" sqref="KTC131077:KTC131100">
      <formula1>項目!C17:$KSW$131073</formula1>
    </dataValidation>
    <dataValidation type="list" allowBlank="1" showInputMessage="1" showErrorMessage="1" sqref="LCY131077:LCY131100">
      <formula1>項目!C17:$LCS$131073</formula1>
    </dataValidation>
    <dataValidation type="list" allowBlank="1" showInputMessage="1" showErrorMessage="1" sqref="LMU131077:LMU131100">
      <formula1>項目!C17:$LMO$131073</formula1>
    </dataValidation>
    <dataValidation type="list" allowBlank="1" showInputMessage="1" showErrorMessage="1" sqref="LWQ131077:LWQ131100">
      <formula1>項目!C17:$LWK$131073</formula1>
    </dataValidation>
    <dataValidation type="list" allowBlank="1" showInputMessage="1" showErrorMessage="1" sqref="MGM131077:MGM131100">
      <formula1>項目!C17:$MGG$131073</formula1>
    </dataValidation>
    <dataValidation type="list" allowBlank="1" showInputMessage="1" showErrorMessage="1" sqref="MQI131077:MQI131100">
      <formula1>項目!C17:$MQC$131073</formula1>
    </dataValidation>
    <dataValidation type="list" allowBlank="1" showInputMessage="1" showErrorMessage="1" sqref="NAE131077:NAE131100">
      <formula1>項目!C17:$MZY$131073</formula1>
    </dataValidation>
    <dataValidation type="list" allowBlank="1" showInputMessage="1" showErrorMessage="1" sqref="NKA131077:NKA131100">
      <formula1>項目!C17:$NJU$131073</formula1>
    </dataValidation>
    <dataValidation type="list" allowBlank="1" showInputMessage="1" showErrorMessage="1" sqref="NTW131077:NTW131100">
      <formula1>項目!C17:$NTQ$131073</formula1>
    </dataValidation>
    <dataValidation type="list" allowBlank="1" showInputMessage="1" showErrorMessage="1" sqref="ODS131077:ODS131100">
      <formula1>項目!C17:$ODM$131073</formula1>
    </dataValidation>
    <dataValidation type="list" allowBlank="1" showInputMessage="1" showErrorMessage="1" sqref="ONO131077:ONO131100">
      <formula1>項目!C17:$ONI$131073</formula1>
    </dataValidation>
    <dataValidation type="list" allowBlank="1" showInputMessage="1" showErrorMessage="1" sqref="OXK131077:OXK131100">
      <formula1>項目!C17:$OXE$131073</formula1>
    </dataValidation>
    <dataValidation type="list" allowBlank="1" showInputMessage="1" showErrorMessage="1" sqref="PHG131077:PHG131100">
      <formula1>項目!C17:$PHA$131073</formula1>
    </dataValidation>
    <dataValidation type="list" allowBlank="1" showInputMessage="1" showErrorMessage="1" sqref="PRC131077:PRC131100">
      <formula1>項目!C17:$PQW$131073</formula1>
    </dataValidation>
    <dataValidation type="list" allowBlank="1" showInputMessage="1" showErrorMessage="1" sqref="QAY131077:QAY131100">
      <formula1>項目!C17:$QAS$131073</formula1>
    </dataValidation>
    <dataValidation type="list" allowBlank="1" showInputMessage="1" showErrorMessage="1" sqref="QKU131077:QKU131100">
      <formula1>項目!C17:$QKO$131073</formula1>
    </dataValidation>
    <dataValidation type="list" allowBlank="1" showInputMessage="1" showErrorMessage="1" sqref="QUQ131077:QUQ131100">
      <formula1>項目!C17:$QUK$131073</formula1>
    </dataValidation>
    <dataValidation type="list" allowBlank="1" showInputMessage="1" showErrorMessage="1" sqref="REM131077:REM131100">
      <formula1>項目!C17:$REG$131073</formula1>
    </dataValidation>
    <dataValidation type="list" allowBlank="1" showInputMessage="1" showErrorMessage="1" sqref="ROI131077:ROI131100">
      <formula1>項目!C17:$ROC$131073</formula1>
    </dataValidation>
    <dataValidation type="list" allowBlank="1" showInputMessage="1" showErrorMessage="1" sqref="RYE131077:RYE131100">
      <formula1>項目!C17:$RXY$131073</formula1>
    </dataValidation>
    <dataValidation type="list" allowBlank="1" showInputMessage="1" showErrorMessage="1" sqref="SIA131077:SIA131100">
      <formula1>項目!C17:$SHU$131073</formula1>
    </dataValidation>
    <dataValidation type="list" allowBlank="1" showInputMessage="1" showErrorMessage="1" sqref="SRW131077:SRW131100">
      <formula1>項目!C17:$SRQ$131073</formula1>
    </dataValidation>
    <dataValidation type="list" allowBlank="1" showInputMessage="1" showErrorMessage="1" sqref="TBS131077:TBS131100">
      <formula1>項目!C17:$TBM$131073</formula1>
    </dataValidation>
    <dataValidation type="list" allowBlank="1" showInputMessage="1" showErrorMessage="1" sqref="TLO131077:TLO131100">
      <formula1>項目!C17:$TLI$131073</formula1>
    </dataValidation>
    <dataValidation type="list" allowBlank="1" showInputMessage="1" showErrorMessage="1" sqref="TVK131077:TVK131100">
      <formula1>項目!C17:$TVE$131073</formula1>
    </dataValidation>
    <dataValidation type="list" allowBlank="1" showInputMessage="1" showErrorMessage="1" sqref="UFG131077:UFG131100">
      <formula1>項目!C17:$UFA$131073</formula1>
    </dataValidation>
    <dataValidation type="list" allowBlank="1" showInputMessage="1" showErrorMessage="1" sqref="UPC131077:UPC131100">
      <formula1>項目!C17:$UOW$131073</formula1>
    </dataValidation>
    <dataValidation type="list" allowBlank="1" showInputMessage="1" showErrorMessage="1" sqref="UYY131077:UYY131100">
      <formula1>項目!C17:$UYS$131073</formula1>
    </dataValidation>
    <dataValidation type="list" allowBlank="1" showInputMessage="1" showErrorMessage="1" sqref="VIU131077:VIU131100">
      <formula1>項目!C17:$VIO$131073</formula1>
    </dataValidation>
    <dataValidation type="list" allowBlank="1" showInputMessage="1" showErrorMessage="1" sqref="VSQ131077:VSQ131100">
      <formula1>項目!C17:$VSK$131073</formula1>
    </dataValidation>
    <dataValidation type="list" allowBlank="1" showInputMessage="1" showErrorMessage="1" sqref="WCM131077:WCM131100">
      <formula1>項目!C17:$WCG$131073</formula1>
    </dataValidation>
    <dataValidation type="list" allowBlank="1" showInputMessage="1" showErrorMessage="1" sqref="WMI131077:WMI131100">
      <formula1>項目!C17:$WMC$131073</formula1>
    </dataValidation>
    <dataValidation type="list" allowBlank="1" showInputMessage="1" showErrorMessage="1" sqref="WWE131077:WWE131100">
      <formula1>項目!C17:$WVY$131073</formula1>
    </dataValidation>
    <dataValidation type="list" allowBlank="1" showInputMessage="1" showErrorMessage="1" sqref="W196613:W196636">
      <formula1>項目!C17:$Q$196609</formula1>
    </dataValidation>
    <dataValidation type="list" allowBlank="1" showInputMessage="1" showErrorMessage="1" sqref="JS196613:JS196636">
      <formula1>項目!C17:$JM$196609</formula1>
    </dataValidation>
    <dataValidation type="list" allowBlank="1" showInputMessage="1" showErrorMessage="1" sqref="TO196613:TO196636">
      <formula1>項目!C17:$TI$196609</formula1>
    </dataValidation>
    <dataValidation type="list" allowBlank="1" showInputMessage="1" showErrorMessage="1" sqref="ADK196613:ADK196636">
      <formula1>項目!C17:$ADE$196609</formula1>
    </dataValidation>
    <dataValidation type="list" allowBlank="1" showInputMessage="1" showErrorMessage="1" sqref="ANG196613:ANG196636">
      <formula1>項目!C17:$ANA$196609</formula1>
    </dataValidation>
    <dataValidation type="list" allowBlank="1" showInputMessage="1" showErrorMessage="1" sqref="AXC196613:AXC196636">
      <formula1>項目!C17:$AWW$196609</formula1>
    </dataValidation>
    <dataValidation type="list" allowBlank="1" showInputMessage="1" showErrorMessage="1" sqref="BGY196613:BGY196636">
      <formula1>項目!C17:$BGS$196609</formula1>
    </dataValidation>
    <dataValidation type="list" allowBlank="1" showInputMessage="1" showErrorMessage="1" sqref="BQU196613:BQU196636">
      <formula1>項目!C17:$BQO$196609</formula1>
    </dataValidation>
    <dataValidation type="list" allowBlank="1" showInputMessage="1" showErrorMessage="1" sqref="CAQ196613:CAQ196636">
      <formula1>項目!C17:$CAK$196609</formula1>
    </dataValidation>
    <dataValidation type="list" allowBlank="1" showInputMessage="1" showErrorMessage="1" sqref="CKM196613:CKM196636">
      <formula1>項目!C17:$CKG$196609</formula1>
    </dataValidation>
    <dataValidation type="list" allowBlank="1" showInputMessage="1" showErrorMessage="1" sqref="CUI196613:CUI196636">
      <formula1>項目!C17:$CUC$196609</formula1>
    </dataValidation>
    <dataValidation type="list" allowBlank="1" showInputMessage="1" showErrorMessage="1" sqref="DEE196613:DEE196636">
      <formula1>項目!C17:$DDY$196609</formula1>
    </dataValidation>
    <dataValidation type="list" allowBlank="1" showInputMessage="1" showErrorMessage="1" sqref="DOA196613:DOA196636">
      <formula1>項目!C17:$DNU$196609</formula1>
    </dataValidation>
    <dataValidation type="list" allowBlank="1" showInputMessage="1" showErrorMessage="1" sqref="DXW196613:DXW196636">
      <formula1>項目!C17:$DXQ$196609</formula1>
    </dataValidation>
    <dataValidation type="list" allowBlank="1" showInputMessage="1" showErrorMessage="1" sqref="EHS196613:EHS196636">
      <formula1>項目!C17:$EHM$196609</formula1>
    </dataValidation>
    <dataValidation type="list" allowBlank="1" showInputMessage="1" showErrorMessage="1" sqref="ERO196613:ERO196636">
      <formula1>項目!C17:$ERI$196609</formula1>
    </dataValidation>
    <dataValidation type="list" allowBlank="1" showInputMessage="1" showErrorMessage="1" sqref="FBK196613:FBK196636">
      <formula1>項目!C17:$FBE$196609</formula1>
    </dataValidation>
    <dataValidation type="list" allowBlank="1" showInputMessage="1" showErrorMessage="1" sqref="FLG196613:FLG196636">
      <formula1>項目!C17:$FLA$196609</formula1>
    </dataValidation>
    <dataValidation type="list" allowBlank="1" showInputMessage="1" showErrorMessage="1" sqref="FVC196613:FVC196636">
      <formula1>項目!C17:$FUW$196609</formula1>
    </dataValidation>
    <dataValidation type="list" allowBlank="1" showInputMessage="1" showErrorMessage="1" sqref="GEY196613:GEY196636">
      <formula1>項目!C17:$GES$196609</formula1>
    </dataValidation>
    <dataValidation type="list" allowBlank="1" showInputMessage="1" showErrorMessage="1" sqref="GOU196613:GOU196636">
      <formula1>項目!C17:$GOO$196609</formula1>
    </dataValidation>
    <dataValidation type="list" allowBlank="1" showInputMessage="1" showErrorMessage="1" sqref="GYQ196613:GYQ196636">
      <formula1>項目!C17:$GYK$196609</formula1>
    </dataValidation>
    <dataValidation type="list" allowBlank="1" showInputMessage="1" showErrorMessage="1" sqref="HIM196613:HIM196636">
      <formula1>項目!C17:$HIG$196609</formula1>
    </dataValidation>
    <dataValidation type="list" allowBlank="1" showInputMessage="1" showErrorMessage="1" sqref="HSI196613:HSI196636">
      <formula1>項目!C17:$HSC$196609</formula1>
    </dataValidation>
    <dataValidation type="list" allowBlank="1" showInputMessage="1" showErrorMessage="1" sqref="ICE196613:ICE196636">
      <formula1>項目!C17:$IBY$196609</formula1>
    </dataValidation>
    <dataValidation type="list" allowBlank="1" showInputMessage="1" showErrorMessage="1" sqref="IMA196613:IMA196636">
      <formula1>項目!C17:$ILU$196609</formula1>
    </dataValidation>
    <dataValidation type="list" allowBlank="1" showInputMessage="1" showErrorMessage="1" sqref="IVW196613:IVW196636">
      <formula1>項目!C17:$IVQ$196609</formula1>
    </dataValidation>
    <dataValidation type="list" allowBlank="1" showInputMessage="1" showErrorMessage="1" sqref="JFS196613:JFS196636">
      <formula1>項目!C17:$JFM$196609</formula1>
    </dataValidation>
    <dataValidation type="list" allowBlank="1" showInputMessage="1" showErrorMessage="1" sqref="JPO196613:JPO196636">
      <formula1>項目!C17:$JPI$196609</formula1>
    </dataValidation>
    <dataValidation type="list" allowBlank="1" showInputMessage="1" showErrorMessage="1" sqref="JZK196613:JZK196636">
      <formula1>項目!C17:$JZE$196609</formula1>
    </dataValidation>
    <dataValidation type="list" allowBlank="1" showInputMessage="1" showErrorMessage="1" sqref="KJG196613:KJG196636">
      <formula1>項目!C17:$KJA$196609</formula1>
    </dataValidation>
    <dataValidation type="list" allowBlank="1" showInputMessage="1" showErrorMessage="1" sqref="KTC196613:KTC196636">
      <formula1>項目!C17:$KSW$196609</formula1>
    </dataValidation>
    <dataValidation type="list" allowBlank="1" showInputMessage="1" showErrorMessage="1" sqref="LCY196613:LCY196636">
      <formula1>項目!C17:$LCS$196609</formula1>
    </dataValidation>
    <dataValidation type="list" allowBlank="1" showInputMessage="1" showErrorMessage="1" sqref="LMU196613:LMU196636">
      <formula1>項目!C17:$LMO$196609</formula1>
    </dataValidation>
    <dataValidation type="list" allowBlank="1" showInputMessage="1" showErrorMessage="1" sqref="LWQ196613:LWQ196636">
      <formula1>項目!C17:$LWK$196609</formula1>
    </dataValidation>
    <dataValidation type="list" allowBlank="1" showInputMessage="1" showErrorMessage="1" sqref="MGM196613:MGM196636">
      <formula1>項目!C17:$MGG$196609</formula1>
    </dataValidation>
    <dataValidation type="list" allowBlank="1" showInputMessage="1" showErrorMessage="1" sqref="MQI196613:MQI196636">
      <formula1>項目!C17:$MQC$196609</formula1>
    </dataValidation>
    <dataValidation type="list" allowBlank="1" showInputMessage="1" showErrorMessage="1" sqref="NAE196613:NAE196636">
      <formula1>項目!C17:$MZY$196609</formula1>
    </dataValidation>
    <dataValidation type="list" allowBlank="1" showInputMessage="1" showErrorMessage="1" sqref="NKA196613:NKA196636">
      <formula1>項目!C17:$NJU$196609</formula1>
    </dataValidation>
    <dataValidation type="list" allowBlank="1" showInputMessage="1" showErrorMessage="1" sqref="NTW196613:NTW196636">
      <formula1>項目!C17:$NTQ$196609</formula1>
    </dataValidation>
    <dataValidation type="list" allowBlank="1" showInputMessage="1" showErrorMessage="1" sqref="ODS196613:ODS196636">
      <formula1>項目!C17:$ODM$196609</formula1>
    </dataValidation>
    <dataValidation type="list" allowBlank="1" showInputMessage="1" showErrorMessage="1" sqref="ONO196613:ONO196636">
      <formula1>項目!C17:$ONI$196609</formula1>
    </dataValidation>
    <dataValidation type="list" allowBlank="1" showInputMessage="1" showErrorMessage="1" sqref="OXK196613:OXK196636">
      <formula1>項目!C17:$OXE$196609</formula1>
    </dataValidation>
    <dataValidation type="list" allowBlank="1" showInputMessage="1" showErrorMessage="1" sqref="PHG196613:PHG196636">
      <formula1>項目!C17:$PHA$196609</formula1>
    </dataValidation>
    <dataValidation type="list" allowBlank="1" showInputMessage="1" showErrorMessage="1" sqref="PRC196613:PRC196636">
      <formula1>項目!C17:$PQW$196609</formula1>
    </dataValidation>
    <dataValidation type="list" allowBlank="1" showInputMessage="1" showErrorMessage="1" sqref="QAY196613:QAY196636">
      <formula1>項目!C17:$QAS$196609</formula1>
    </dataValidation>
    <dataValidation type="list" allowBlank="1" showInputMessage="1" showErrorMessage="1" sqref="QKU196613:QKU196636">
      <formula1>項目!C17:$QKO$196609</formula1>
    </dataValidation>
    <dataValidation type="list" allowBlank="1" showInputMessage="1" showErrorMessage="1" sqref="QUQ196613:QUQ196636">
      <formula1>項目!C17:$QUK$196609</formula1>
    </dataValidation>
    <dataValidation type="list" allowBlank="1" showInputMessage="1" showErrorMessage="1" sqref="REM196613:REM196636">
      <formula1>項目!C17:$REG$196609</formula1>
    </dataValidation>
    <dataValidation type="list" allowBlank="1" showInputMessage="1" showErrorMessage="1" sqref="ROI196613:ROI196636">
      <formula1>項目!C17:$ROC$196609</formula1>
    </dataValidation>
    <dataValidation type="list" allowBlank="1" showInputMessage="1" showErrorMessage="1" sqref="RYE196613:RYE196636">
      <formula1>項目!C17:$RXY$196609</formula1>
    </dataValidation>
    <dataValidation type="list" allowBlank="1" showInputMessage="1" showErrorMessage="1" sqref="SIA196613:SIA196636">
      <formula1>項目!C17:$SHU$196609</formula1>
    </dataValidation>
    <dataValidation type="list" allowBlank="1" showInputMessage="1" showErrorMessage="1" sqref="SRW196613:SRW196636">
      <formula1>項目!C17:$SRQ$196609</formula1>
    </dataValidation>
    <dataValidation type="list" allowBlank="1" showInputMessage="1" showErrorMessage="1" sqref="TBS196613:TBS196636">
      <formula1>項目!C17:$TBM$196609</formula1>
    </dataValidation>
    <dataValidation type="list" allowBlank="1" showInputMessage="1" showErrorMessage="1" sqref="TLO196613:TLO196636">
      <formula1>項目!C17:$TLI$196609</formula1>
    </dataValidation>
    <dataValidation type="list" allowBlank="1" showInputMessage="1" showErrorMessage="1" sqref="TVK196613:TVK196636">
      <formula1>項目!C17:$TVE$196609</formula1>
    </dataValidation>
    <dataValidation type="list" allowBlank="1" showInputMessage="1" showErrorMessage="1" sqref="UFG196613:UFG196636">
      <formula1>項目!C17:$UFA$196609</formula1>
    </dataValidation>
    <dataValidation type="list" allowBlank="1" showInputMessage="1" showErrorMessage="1" sqref="UPC196613:UPC196636">
      <formula1>項目!C17:$UOW$196609</formula1>
    </dataValidation>
    <dataValidation type="list" allowBlank="1" showInputMessage="1" showErrorMessage="1" sqref="UYY196613:UYY196636">
      <formula1>項目!C17:$UYS$196609</formula1>
    </dataValidation>
    <dataValidation type="list" allowBlank="1" showInputMessage="1" showErrorMessage="1" sqref="VIU196613:VIU196636">
      <formula1>項目!C17:$VIO$196609</formula1>
    </dataValidation>
    <dataValidation type="list" allowBlank="1" showInputMessage="1" showErrorMessage="1" sqref="VSQ196613:VSQ196636">
      <formula1>項目!C17:$VSK$196609</formula1>
    </dataValidation>
    <dataValidation type="list" allowBlank="1" showInputMessage="1" showErrorMessage="1" sqref="WCM196613:WCM196636">
      <formula1>項目!C17:$WCG$196609</formula1>
    </dataValidation>
    <dataValidation type="list" allowBlank="1" showInputMessage="1" showErrorMessage="1" sqref="WMI196613:WMI196636">
      <formula1>項目!C17:$WMC$196609</formula1>
    </dataValidation>
    <dataValidation type="list" allowBlank="1" showInputMessage="1" showErrorMessage="1" sqref="WWE196613:WWE196636">
      <formula1>項目!C17:$WVY$196609</formula1>
    </dataValidation>
    <dataValidation type="list" allowBlank="1" showInputMessage="1" showErrorMessage="1" sqref="W262149:W262172">
      <formula1>項目!C17:$Q$262145</formula1>
    </dataValidation>
    <dataValidation type="list" allowBlank="1" showInputMessage="1" showErrorMessage="1" sqref="JS262149:JS262172">
      <formula1>項目!C17:$JM$262145</formula1>
    </dataValidation>
    <dataValidation type="list" allowBlank="1" showInputMessage="1" showErrorMessage="1" sqref="TO262149:TO262172">
      <formula1>項目!C17:$TI$262145</formula1>
    </dataValidation>
    <dataValidation type="list" allowBlank="1" showInputMessage="1" showErrorMessage="1" sqref="ADK262149:ADK262172">
      <formula1>項目!C17:$ADE$262145</formula1>
    </dataValidation>
    <dataValidation type="list" allowBlank="1" showInputMessage="1" showErrorMessage="1" sqref="ANG262149:ANG262172">
      <formula1>項目!C17:$ANA$262145</formula1>
    </dataValidation>
    <dataValidation type="list" allowBlank="1" showInputMessage="1" showErrorMessage="1" sqref="AXC262149:AXC262172">
      <formula1>項目!C17:$AWW$262145</formula1>
    </dataValidation>
    <dataValidation type="list" allowBlank="1" showInputMessage="1" showErrorMessage="1" sqref="BGY262149:BGY262172">
      <formula1>項目!C17:$BGS$262145</formula1>
    </dataValidation>
    <dataValidation type="list" allowBlank="1" showInputMessage="1" showErrorMessage="1" sqref="BQU262149:BQU262172">
      <formula1>項目!C17:$BQO$262145</formula1>
    </dataValidation>
    <dataValidation type="list" allowBlank="1" showInputMessage="1" showErrorMessage="1" sqref="CAQ262149:CAQ262172">
      <formula1>項目!C17:$CAK$262145</formula1>
    </dataValidation>
    <dataValidation type="list" allowBlank="1" showInputMessage="1" showErrorMessage="1" sqref="CKM262149:CKM262172">
      <formula1>項目!C17:$CKG$262145</formula1>
    </dataValidation>
    <dataValidation type="list" allowBlank="1" showInputMessage="1" showErrorMessage="1" sqref="CUI262149:CUI262172">
      <formula1>項目!C17:$CUC$262145</formula1>
    </dataValidation>
    <dataValidation type="list" allowBlank="1" showInputMessage="1" showErrorMessage="1" sqref="DEE262149:DEE262172">
      <formula1>項目!C17:$DDY$262145</formula1>
    </dataValidation>
    <dataValidation type="list" allowBlank="1" showInputMessage="1" showErrorMessage="1" sqref="DOA262149:DOA262172">
      <formula1>項目!C17:$DNU$262145</formula1>
    </dataValidation>
    <dataValidation type="list" allowBlank="1" showInputMessage="1" showErrorMessage="1" sqref="DXW262149:DXW262172">
      <formula1>項目!C17:$DXQ$262145</formula1>
    </dataValidation>
    <dataValidation type="list" allowBlank="1" showInputMessage="1" showErrorMessage="1" sqref="EHS262149:EHS262172">
      <formula1>項目!C17:$EHM$262145</formula1>
    </dataValidation>
    <dataValidation type="list" allowBlank="1" showInputMessage="1" showErrorMessage="1" sqref="ERO262149:ERO262172">
      <formula1>項目!C17:$ERI$262145</formula1>
    </dataValidation>
    <dataValidation type="list" allowBlank="1" showInputMessage="1" showErrorMessage="1" sqref="FBK262149:FBK262172">
      <formula1>項目!C17:$FBE$262145</formula1>
    </dataValidation>
    <dataValidation type="list" allowBlank="1" showInputMessage="1" showErrorMessage="1" sqref="FLG262149:FLG262172">
      <formula1>項目!C17:$FLA$262145</formula1>
    </dataValidation>
    <dataValidation type="list" allowBlank="1" showInputMessage="1" showErrorMessage="1" sqref="FVC262149:FVC262172">
      <formula1>項目!C17:$FUW$262145</formula1>
    </dataValidation>
    <dataValidation type="list" allowBlank="1" showInputMessage="1" showErrorMessage="1" sqref="GEY262149:GEY262172">
      <formula1>項目!C17:$GES$262145</formula1>
    </dataValidation>
    <dataValidation type="list" allowBlank="1" showInputMessage="1" showErrorMessage="1" sqref="GOU262149:GOU262172">
      <formula1>項目!C17:$GOO$262145</formula1>
    </dataValidation>
    <dataValidation type="list" allowBlank="1" showInputMessage="1" showErrorMessage="1" sqref="GYQ262149:GYQ262172">
      <formula1>項目!C17:$GYK$262145</formula1>
    </dataValidation>
    <dataValidation type="list" allowBlank="1" showInputMessage="1" showErrorMessage="1" sqref="HIM262149:HIM262172">
      <formula1>項目!C17:$HIG$262145</formula1>
    </dataValidation>
    <dataValidation type="list" allowBlank="1" showInputMessage="1" showErrorMessage="1" sqref="HSI262149:HSI262172">
      <formula1>項目!C17:$HSC$262145</formula1>
    </dataValidation>
    <dataValidation type="list" allowBlank="1" showInputMessage="1" showErrorMessage="1" sqref="ICE262149:ICE262172">
      <formula1>項目!C17:$IBY$262145</formula1>
    </dataValidation>
    <dataValidation type="list" allowBlank="1" showInputMessage="1" showErrorMessage="1" sqref="IMA262149:IMA262172">
      <formula1>項目!C17:$ILU$262145</formula1>
    </dataValidation>
    <dataValidation type="list" allowBlank="1" showInputMessage="1" showErrorMessage="1" sqref="IVW262149:IVW262172">
      <formula1>項目!C17:$IVQ$262145</formula1>
    </dataValidation>
    <dataValidation type="list" allowBlank="1" showInputMessage="1" showErrorMessage="1" sqref="JFS262149:JFS262172">
      <formula1>項目!C17:$JFM$262145</formula1>
    </dataValidation>
    <dataValidation type="list" allowBlank="1" showInputMessage="1" showErrorMessage="1" sqref="JPO262149:JPO262172">
      <formula1>項目!C17:$JPI$262145</formula1>
    </dataValidation>
    <dataValidation type="list" allowBlank="1" showInputMessage="1" showErrorMessage="1" sqref="JZK262149:JZK262172">
      <formula1>項目!C17:$JZE$262145</formula1>
    </dataValidation>
    <dataValidation type="list" allowBlank="1" showInputMessage="1" showErrorMessage="1" sqref="KJG262149:KJG262172">
      <formula1>項目!C17:$KJA$262145</formula1>
    </dataValidation>
    <dataValidation type="list" allowBlank="1" showInputMessage="1" showErrorMessage="1" sqref="KTC262149:KTC262172">
      <formula1>項目!C17:$KSW$262145</formula1>
    </dataValidation>
    <dataValidation type="list" allowBlank="1" showInputMessage="1" showErrorMessage="1" sqref="LCY262149:LCY262172">
      <formula1>項目!C17:$LCS$262145</formula1>
    </dataValidation>
    <dataValidation type="list" allowBlank="1" showInputMessage="1" showErrorMessage="1" sqref="LMU262149:LMU262172">
      <formula1>項目!C17:$LMO$262145</formula1>
    </dataValidation>
    <dataValidation type="list" allowBlank="1" showInputMessage="1" showErrorMessage="1" sqref="LWQ262149:LWQ262172">
      <formula1>項目!C17:$LWK$262145</formula1>
    </dataValidation>
    <dataValidation type="list" allowBlank="1" showInputMessage="1" showErrorMessage="1" sqref="MGM262149:MGM262172">
      <formula1>項目!C17:$MGG$262145</formula1>
    </dataValidation>
    <dataValidation type="list" allowBlank="1" showInputMessage="1" showErrorMessage="1" sqref="MQI262149:MQI262172">
      <formula1>項目!C17:$MQC$262145</formula1>
    </dataValidation>
    <dataValidation type="list" allowBlank="1" showInputMessage="1" showErrorMessage="1" sqref="NAE262149:NAE262172">
      <formula1>項目!C17:$MZY$262145</formula1>
    </dataValidation>
    <dataValidation type="list" allowBlank="1" showInputMessage="1" showErrorMessage="1" sqref="NKA262149:NKA262172">
      <formula1>項目!C17:$NJU$262145</formula1>
    </dataValidation>
    <dataValidation type="list" allowBlank="1" showInputMessage="1" showErrorMessage="1" sqref="NTW262149:NTW262172">
      <formula1>項目!C17:$NTQ$262145</formula1>
    </dataValidation>
    <dataValidation type="list" allowBlank="1" showInputMessage="1" showErrorMessage="1" sqref="ODS262149:ODS262172">
      <formula1>項目!C17:$ODM$262145</formula1>
    </dataValidation>
    <dataValidation type="list" allowBlank="1" showInputMessage="1" showErrorMessage="1" sqref="ONO262149:ONO262172">
      <formula1>項目!C17:$ONI$262145</formula1>
    </dataValidation>
    <dataValidation type="list" allowBlank="1" showInputMessage="1" showErrorMessage="1" sqref="OXK262149:OXK262172">
      <formula1>項目!C17:$OXE$262145</formula1>
    </dataValidation>
    <dataValidation type="list" allowBlank="1" showInputMessage="1" showErrorMessage="1" sqref="PHG262149:PHG262172">
      <formula1>項目!C17:$PHA$262145</formula1>
    </dataValidation>
    <dataValidation type="list" allowBlank="1" showInputMessage="1" showErrorMessage="1" sqref="PRC262149:PRC262172">
      <formula1>項目!C17:$PQW$262145</formula1>
    </dataValidation>
    <dataValidation type="list" allowBlank="1" showInputMessage="1" showErrorMessage="1" sqref="QAY262149:QAY262172">
      <formula1>項目!C17:$QAS$262145</formula1>
    </dataValidation>
    <dataValidation type="list" allowBlank="1" showInputMessage="1" showErrorMessage="1" sqref="QKU262149:QKU262172">
      <formula1>項目!C17:$QKO$262145</formula1>
    </dataValidation>
    <dataValidation type="list" allowBlank="1" showInputMessage="1" showErrorMessage="1" sqref="QUQ262149:QUQ262172">
      <formula1>項目!C17:$QUK$262145</formula1>
    </dataValidation>
    <dataValidation type="list" allowBlank="1" showInputMessage="1" showErrorMessage="1" sqref="REM262149:REM262172">
      <formula1>項目!C17:$REG$262145</formula1>
    </dataValidation>
    <dataValidation type="list" allowBlank="1" showInputMessage="1" showErrorMessage="1" sqref="ROI262149:ROI262172">
      <formula1>項目!C17:$ROC$262145</formula1>
    </dataValidation>
    <dataValidation type="list" allowBlank="1" showInputMessage="1" showErrorMessage="1" sqref="RYE262149:RYE262172">
      <formula1>項目!C17:$RXY$262145</formula1>
    </dataValidation>
    <dataValidation type="list" allowBlank="1" showInputMessage="1" showErrorMessage="1" sqref="SIA262149:SIA262172">
      <formula1>項目!C17:$SHU$262145</formula1>
    </dataValidation>
    <dataValidation type="list" allowBlank="1" showInputMessage="1" showErrorMessage="1" sqref="SRW262149:SRW262172">
      <formula1>項目!C17:$SRQ$262145</formula1>
    </dataValidation>
    <dataValidation type="list" allowBlank="1" showInputMessage="1" showErrorMessage="1" sqref="TBS262149:TBS262172">
      <formula1>項目!C17:$TBM$262145</formula1>
    </dataValidation>
    <dataValidation type="list" allowBlank="1" showInputMessage="1" showErrorMessage="1" sqref="TLO262149:TLO262172">
      <formula1>項目!C17:$TLI$262145</formula1>
    </dataValidation>
    <dataValidation type="list" allowBlank="1" showInputMessage="1" showErrorMessage="1" sqref="TVK262149:TVK262172">
      <formula1>項目!C17:$TVE$262145</formula1>
    </dataValidation>
    <dataValidation type="list" allowBlank="1" showInputMessage="1" showErrorMessage="1" sqref="UFG262149:UFG262172">
      <formula1>項目!C17:$UFA$262145</formula1>
    </dataValidation>
    <dataValidation type="list" allowBlank="1" showInputMessage="1" showErrorMessage="1" sqref="UPC262149:UPC262172">
      <formula1>項目!C17:$UOW$262145</formula1>
    </dataValidation>
    <dataValidation type="list" allowBlank="1" showInputMessage="1" showErrorMessage="1" sqref="UYY262149:UYY262172">
      <formula1>項目!C17:$UYS$262145</formula1>
    </dataValidation>
    <dataValidation type="list" allowBlank="1" showInputMessage="1" showErrorMessage="1" sqref="VIU262149:VIU262172">
      <formula1>項目!C17:$VIO$262145</formula1>
    </dataValidation>
    <dataValidation type="list" allowBlank="1" showInputMessage="1" showErrorMessage="1" sqref="VSQ262149:VSQ262172">
      <formula1>項目!C17:$VSK$262145</formula1>
    </dataValidation>
    <dataValidation type="list" allowBlank="1" showInputMessage="1" showErrorMessage="1" sqref="WCM262149:WCM262172">
      <formula1>項目!C17:$WCG$262145</formula1>
    </dataValidation>
    <dataValidation type="list" allowBlank="1" showInputMessage="1" showErrorMessage="1" sqref="WMI262149:WMI262172">
      <formula1>項目!C17:$WMC$262145</formula1>
    </dataValidation>
    <dataValidation type="list" allowBlank="1" showInputMessage="1" showErrorMessage="1" sqref="WWE262149:WWE262172">
      <formula1>項目!C17:$WVY$262145</formula1>
    </dataValidation>
    <dataValidation type="list" allowBlank="1" showInputMessage="1" showErrorMessage="1" sqref="W327685:W327708">
      <formula1>項目!C17:$Q$327681</formula1>
    </dataValidation>
    <dataValidation type="list" allowBlank="1" showInputMessage="1" showErrorMessage="1" sqref="JS327685:JS327708">
      <formula1>項目!C17:$JM$327681</formula1>
    </dataValidation>
    <dataValidation type="list" allowBlank="1" showInputMessage="1" showErrorMessage="1" sqref="TO327685:TO327708">
      <formula1>項目!C17:$TI$327681</formula1>
    </dataValidation>
    <dataValidation type="list" allowBlank="1" showInputMessage="1" showErrorMessage="1" sqref="ADK327685:ADK327708">
      <formula1>項目!C17:$ADE$327681</formula1>
    </dataValidation>
    <dataValidation type="list" allowBlank="1" showInputMessage="1" showErrorMessage="1" sqref="ANG327685:ANG327708">
      <formula1>項目!C17:$ANA$327681</formula1>
    </dataValidation>
    <dataValidation type="list" allowBlank="1" showInputMessage="1" showErrorMessage="1" sqref="AXC327685:AXC327708">
      <formula1>項目!C17:$AWW$327681</formula1>
    </dataValidation>
    <dataValidation type="list" allowBlank="1" showInputMessage="1" showErrorMessage="1" sqref="BGY327685:BGY327708">
      <formula1>項目!C17:$BGS$327681</formula1>
    </dataValidation>
    <dataValidation type="list" allowBlank="1" showInputMessage="1" showErrorMessage="1" sqref="BQU327685:BQU327708">
      <formula1>項目!C17:$BQO$327681</formula1>
    </dataValidation>
    <dataValidation type="list" allowBlank="1" showInputMessage="1" showErrorMessage="1" sqref="CAQ327685:CAQ327708">
      <formula1>項目!C17:$CAK$327681</formula1>
    </dataValidation>
    <dataValidation type="list" allowBlank="1" showInputMessage="1" showErrorMessage="1" sqref="CKM327685:CKM327708">
      <formula1>項目!C17:$CKG$327681</formula1>
    </dataValidation>
    <dataValidation type="list" allowBlank="1" showInputMessage="1" showErrorMessage="1" sqref="CUI327685:CUI327708">
      <formula1>項目!C17:$CUC$327681</formula1>
    </dataValidation>
    <dataValidation type="list" allowBlank="1" showInputMessage="1" showErrorMessage="1" sqref="DEE327685:DEE327708">
      <formula1>項目!C17:$DDY$327681</formula1>
    </dataValidation>
    <dataValidation type="list" allowBlank="1" showInputMessage="1" showErrorMessage="1" sqref="DOA327685:DOA327708">
      <formula1>項目!C17:$DNU$327681</formula1>
    </dataValidation>
    <dataValidation type="list" allowBlank="1" showInputMessage="1" showErrorMessage="1" sqref="DXW327685:DXW327708">
      <formula1>項目!C17:$DXQ$327681</formula1>
    </dataValidation>
    <dataValidation type="list" allowBlank="1" showInputMessage="1" showErrorMessage="1" sqref="EHS327685:EHS327708">
      <formula1>項目!C17:$EHM$327681</formula1>
    </dataValidation>
    <dataValidation type="list" allowBlank="1" showInputMessage="1" showErrorMessage="1" sqref="ERO327685:ERO327708">
      <formula1>項目!C17:$ERI$327681</formula1>
    </dataValidation>
    <dataValidation type="list" allowBlank="1" showInputMessage="1" showErrorMessage="1" sqref="FBK327685:FBK327708">
      <formula1>項目!C17:$FBE$327681</formula1>
    </dataValidation>
    <dataValidation type="list" allowBlank="1" showInputMessage="1" showErrorMessage="1" sqref="FLG327685:FLG327708">
      <formula1>項目!C17:$FLA$327681</formula1>
    </dataValidation>
    <dataValidation type="list" allowBlank="1" showInputMessage="1" showErrorMessage="1" sqref="FVC327685:FVC327708">
      <formula1>項目!C17:$FUW$327681</formula1>
    </dataValidation>
    <dataValidation type="list" allowBlank="1" showInputMessage="1" showErrorMessage="1" sqref="GEY327685:GEY327708">
      <formula1>項目!C17:$GES$327681</formula1>
    </dataValidation>
    <dataValidation type="list" allowBlank="1" showInputMessage="1" showErrorMessage="1" sqref="GOU327685:GOU327708">
      <formula1>項目!C17:$GOO$327681</formula1>
    </dataValidation>
    <dataValidation type="list" allowBlank="1" showInputMessage="1" showErrorMessage="1" sqref="GYQ327685:GYQ327708">
      <formula1>項目!C17:$GYK$327681</formula1>
    </dataValidation>
    <dataValidation type="list" allowBlank="1" showInputMessage="1" showErrorMessage="1" sqref="HIM327685:HIM327708">
      <formula1>項目!C17:$HIG$327681</formula1>
    </dataValidation>
    <dataValidation type="list" allowBlank="1" showInputMessage="1" showErrorMessage="1" sqref="HSI327685:HSI327708">
      <formula1>項目!C17:$HSC$327681</formula1>
    </dataValidation>
    <dataValidation type="list" allowBlank="1" showInputMessage="1" showErrorMessage="1" sqref="ICE327685:ICE327708">
      <formula1>項目!C17:$IBY$327681</formula1>
    </dataValidation>
    <dataValidation type="list" allowBlank="1" showInputMessage="1" showErrorMessage="1" sqref="IMA327685:IMA327708">
      <formula1>項目!C17:$ILU$327681</formula1>
    </dataValidation>
    <dataValidation type="list" allowBlank="1" showInputMessage="1" showErrorMessage="1" sqref="IVW327685:IVW327708">
      <formula1>項目!C17:$IVQ$327681</formula1>
    </dataValidation>
    <dataValidation type="list" allowBlank="1" showInputMessage="1" showErrorMessage="1" sqref="JFS327685:JFS327708">
      <formula1>項目!C17:$JFM$327681</formula1>
    </dataValidation>
    <dataValidation type="list" allowBlank="1" showInputMessage="1" showErrorMessage="1" sqref="JPO327685:JPO327708">
      <formula1>項目!C17:$JPI$327681</formula1>
    </dataValidation>
    <dataValidation type="list" allowBlank="1" showInputMessage="1" showErrorMessage="1" sqref="JZK327685:JZK327708">
      <formula1>項目!C17:$JZE$327681</formula1>
    </dataValidation>
    <dataValidation type="list" allowBlank="1" showInputMessage="1" showErrorMessage="1" sqref="KJG327685:KJG327708">
      <formula1>項目!C17:$KJA$327681</formula1>
    </dataValidation>
    <dataValidation type="list" allowBlank="1" showInputMessage="1" showErrorMessage="1" sqref="KTC327685:KTC327708">
      <formula1>項目!C17:$KSW$327681</formula1>
    </dataValidation>
    <dataValidation type="list" allowBlank="1" showInputMessage="1" showErrorMessage="1" sqref="LCY327685:LCY327708">
      <formula1>項目!C17:$LCS$327681</formula1>
    </dataValidation>
    <dataValidation type="list" allowBlank="1" showInputMessage="1" showErrorMessage="1" sqref="LMU327685:LMU327708">
      <formula1>項目!C17:$LMO$327681</formula1>
    </dataValidation>
    <dataValidation type="list" allowBlank="1" showInputMessage="1" showErrorMessage="1" sqref="LWQ327685:LWQ327708">
      <formula1>項目!C17:$LWK$327681</formula1>
    </dataValidation>
    <dataValidation type="list" allowBlank="1" showInputMessage="1" showErrorMessage="1" sqref="MGM327685:MGM327708">
      <formula1>項目!C17:$MGG$327681</formula1>
    </dataValidation>
    <dataValidation type="list" allowBlank="1" showInputMessage="1" showErrorMessage="1" sqref="MQI327685:MQI327708">
      <formula1>項目!C17:$MQC$327681</formula1>
    </dataValidation>
    <dataValidation type="list" allowBlank="1" showInputMessage="1" showErrorMessage="1" sqref="NAE327685:NAE327708">
      <formula1>項目!C17:$MZY$327681</formula1>
    </dataValidation>
    <dataValidation type="list" allowBlank="1" showInputMessage="1" showErrorMessage="1" sqref="NKA327685:NKA327708">
      <formula1>項目!C17:$NJU$327681</formula1>
    </dataValidation>
    <dataValidation type="list" allowBlank="1" showInputMessage="1" showErrorMessage="1" sqref="NTW327685:NTW327708">
      <formula1>項目!C17:$NTQ$327681</formula1>
    </dataValidation>
    <dataValidation type="list" allowBlank="1" showInputMessage="1" showErrorMessage="1" sqref="ODS327685:ODS327708">
      <formula1>項目!C17:$ODM$327681</formula1>
    </dataValidation>
    <dataValidation type="list" allowBlank="1" showInputMessage="1" showErrorMessage="1" sqref="ONO327685:ONO327708">
      <formula1>項目!C17:$ONI$327681</formula1>
    </dataValidation>
    <dataValidation type="list" allowBlank="1" showInputMessage="1" showErrorMessage="1" sqref="OXK327685:OXK327708">
      <formula1>項目!C17:$OXE$327681</formula1>
    </dataValidation>
    <dataValidation type="list" allowBlank="1" showInputMessage="1" showErrorMessage="1" sqref="PHG327685:PHG327708">
      <formula1>項目!C17:$PHA$327681</formula1>
    </dataValidation>
    <dataValidation type="list" allowBlank="1" showInputMessage="1" showErrorMessage="1" sqref="PRC327685:PRC327708">
      <formula1>項目!C17:$PQW$327681</formula1>
    </dataValidation>
    <dataValidation type="list" allowBlank="1" showInputMessage="1" showErrorMessage="1" sqref="QAY327685:QAY327708">
      <formula1>項目!C17:$QAS$327681</formula1>
    </dataValidation>
    <dataValidation type="list" allowBlank="1" showInputMessage="1" showErrorMessage="1" sqref="QKU327685:QKU327708">
      <formula1>項目!C17:$QKO$327681</formula1>
    </dataValidation>
    <dataValidation type="list" allowBlank="1" showInputMessage="1" showErrorMessage="1" sqref="QUQ327685:QUQ327708">
      <formula1>項目!C17:$QUK$327681</formula1>
    </dataValidation>
    <dataValidation type="list" allowBlank="1" showInputMessage="1" showErrorMessage="1" sqref="REM327685:REM327708">
      <formula1>項目!C17:$REG$327681</formula1>
    </dataValidation>
    <dataValidation type="list" allowBlank="1" showInputMessage="1" showErrorMessage="1" sqref="ROI327685:ROI327708">
      <formula1>項目!C17:$ROC$327681</formula1>
    </dataValidation>
    <dataValidation type="list" allowBlank="1" showInputMessage="1" showErrorMessage="1" sqref="RYE327685:RYE327708">
      <formula1>項目!C17:$RXY$327681</formula1>
    </dataValidation>
    <dataValidation type="list" allowBlank="1" showInputMessage="1" showErrorMessage="1" sqref="SIA327685:SIA327708">
      <formula1>項目!C17:$SHU$327681</formula1>
    </dataValidation>
    <dataValidation type="list" allowBlank="1" showInputMessage="1" showErrorMessage="1" sqref="SRW327685:SRW327708">
      <formula1>項目!C17:$SRQ$327681</formula1>
    </dataValidation>
    <dataValidation type="list" allowBlank="1" showInputMessage="1" showErrorMessage="1" sqref="TBS327685:TBS327708">
      <formula1>項目!C17:$TBM$327681</formula1>
    </dataValidation>
    <dataValidation type="list" allowBlank="1" showInputMessage="1" showErrorMessage="1" sqref="TLO327685:TLO327708">
      <formula1>項目!C17:$TLI$327681</formula1>
    </dataValidation>
    <dataValidation type="list" allowBlank="1" showInputMessage="1" showErrorMessage="1" sqref="TVK327685:TVK327708">
      <formula1>項目!C17:$TVE$327681</formula1>
    </dataValidation>
    <dataValidation type="list" allowBlank="1" showInputMessage="1" showErrorMessage="1" sqref="UFG327685:UFG327708">
      <formula1>項目!C17:$UFA$327681</formula1>
    </dataValidation>
    <dataValidation type="list" allowBlank="1" showInputMessage="1" showErrorMessage="1" sqref="UPC327685:UPC327708">
      <formula1>項目!C17:$UOW$327681</formula1>
    </dataValidation>
    <dataValidation type="list" allowBlank="1" showInputMessage="1" showErrorMessage="1" sqref="UYY327685:UYY327708">
      <formula1>項目!C17:$UYS$327681</formula1>
    </dataValidation>
    <dataValidation type="list" allowBlank="1" showInputMessage="1" showErrorMessage="1" sqref="VIU327685:VIU327708">
      <formula1>項目!C17:$VIO$327681</formula1>
    </dataValidation>
    <dataValidation type="list" allowBlank="1" showInputMessage="1" showErrorMessage="1" sqref="VSQ327685:VSQ327708">
      <formula1>項目!C17:$VSK$327681</formula1>
    </dataValidation>
    <dataValidation type="list" allowBlank="1" showInputMessage="1" showErrorMessage="1" sqref="WCM327685:WCM327708">
      <formula1>項目!C17:$WCG$327681</formula1>
    </dataValidation>
    <dataValidation type="list" allowBlank="1" showInputMessage="1" showErrorMessage="1" sqref="WMI327685:WMI327708">
      <formula1>項目!C17:$WMC$327681</formula1>
    </dataValidation>
    <dataValidation type="list" allowBlank="1" showInputMessage="1" showErrorMessage="1" sqref="WWE327685:WWE327708">
      <formula1>項目!C17:$WVY$327681</formula1>
    </dataValidation>
    <dataValidation type="list" allowBlank="1" showInputMessage="1" showErrorMessage="1" sqref="W393221:W393244">
      <formula1>項目!C17:$Q$393217</formula1>
    </dataValidation>
    <dataValidation type="list" allowBlank="1" showInputMessage="1" showErrorMessage="1" sqref="JS393221:JS393244">
      <formula1>項目!C17:$JM$393217</formula1>
    </dataValidation>
    <dataValidation type="list" allowBlank="1" showInputMessage="1" showErrorMessage="1" sqref="TO393221:TO393244">
      <formula1>項目!C17:$TI$393217</formula1>
    </dataValidation>
    <dataValidation type="list" allowBlank="1" showInputMessage="1" showErrorMessage="1" sqref="ADK393221:ADK393244">
      <formula1>項目!C17:$ADE$393217</formula1>
    </dataValidation>
    <dataValidation type="list" allowBlank="1" showInputMessage="1" showErrorMessage="1" sqref="ANG393221:ANG393244">
      <formula1>項目!C17:$ANA$393217</formula1>
    </dataValidation>
    <dataValidation type="list" allowBlank="1" showInputMessage="1" showErrorMessage="1" sqref="AXC393221:AXC393244">
      <formula1>項目!C17:$AWW$393217</formula1>
    </dataValidation>
    <dataValidation type="list" allowBlank="1" showInputMessage="1" showErrorMessage="1" sqref="BGY393221:BGY393244">
      <formula1>項目!C17:$BGS$393217</formula1>
    </dataValidation>
    <dataValidation type="list" allowBlank="1" showInputMessage="1" showErrorMessage="1" sqref="BQU393221:BQU393244">
      <formula1>項目!C17:$BQO$393217</formula1>
    </dataValidation>
    <dataValidation type="list" allowBlank="1" showInputMessage="1" showErrorMessage="1" sqref="CAQ393221:CAQ393244">
      <formula1>項目!C17:$CAK$393217</formula1>
    </dataValidation>
    <dataValidation type="list" allowBlank="1" showInputMessage="1" showErrorMessage="1" sqref="CKM393221:CKM393244">
      <formula1>項目!C17:$CKG$393217</formula1>
    </dataValidation>
    <dataValidation type="list" allowBlank="1" showInputMessage="1" showErrorMessage="1" sqref="CUI393221:CUI393244">
      <formula1>項目!C17:$CUC$393217</formula1>
    </dataValidation>
    <dataValidation type="list" allowBlank="1" showInputMessage="1" showErrorMessage="1" sqref="DEE393221:DEE393244">
      <formula1>項目!C17:$DDY$393217</formula1>
    </dataValidation>
    <dataValidation type="list" allowBlank="1" showInputMessage="1" showErrorMessage="1" sqref="DOA393221:DOA393244">
      <formula1>項目!C17:$DNU$393217</formula1>
    </dataValidation>
    <dataValidation type="list" allowBlank="1" showInputMessage="1" showErrorMessage="1" sqref="DXW393221:DXW393244">
      <formula1>項目!C17:$DXQ$393217</formula1>
    </dataValidation>
    <dataValidation type="list" allowBlank="1" showInputMessage="1" showErrorMessage="1" sqref="EHS393221:EHS393244">
      <formula1>項目!C17:$EHM$393217</formula1>
    </dataValidation>
    <dataValidation type="list" allowBlank="1" showInputMessage="1" showErrorMessage="1" sqref="ERO393221:ERO393244">
      <formula1>項目!C17:$ERI$393217</formula1>
    </dataValidation>
    <dataValidation type="list" allowBlank="1" showInputMessage="1" showErrorMessage="1" sqref="FBK393221:FBK393244">
      <formula1>項目!C17:$FBE$393217</formula1>
    </dataValidation>
    <dataValidation type="list" allowBlank="1" showInputMessage="1" showErrorMessage="1" sqref="FLG393221:FLG393244">
      <formula1>項目!C17:$FLA$393217</formula1>
    </dataValidation>
    <dataValidation type="list" allowBlank="1" showInputMessage="1" showErrorMessage="1" sqref="FVC393221:FVC393244">
      <formula1>項目!C17:$FUW$393217</formula1>
    </dataValidation>
    <dataValidation type="list" allowBlank="1" showInputMessage="1" showErrorMessage="1" sqref="GEY393221:GEY393244">
      <formula1>項目!C17:$GES$393217</formula1>
    </dataValidation>
    <dataValidation type="list" allowBlank="1" showInputMessage="1" showErrorMessage="1" sqref="GOU393221:GOU393244">
      <formula1>項目!C17:$GOO$393217</formula1>
    </dataValidation>
    <dataValidation type="list" allowBlank="1" showInputMessage="1" showErrorMessage="1" sqref="GYQ393221:GYQ393244">
      <formula1>項目!C17:$GYK$393217</formula1>
    </dataValidation>
    <dataValidation type="list" allowBlank="1" showInputMessage="1" showErrorMessage="1" sqref="HIM393221:HIM393244">
      <formula1>項目!C17:$HIG$393217</formula1>
    </dataValidation>
    <dataValidation type="list" allowBlank="1" showInputMessage="1" showErrorMessage="1" sqref="HSI393221:HSI393244">
      <formula1>項目!C17:$HSC$393217</formula1>
    </dataValidation>
    <dataValidation type="list" allowBlank="1" showInputMessage="1" showErrorMessage="1" sqref="ICE393221:ICE393244">
      <formula1>項目!C17:$IBY$393217</formula1>
    </dataValidation>
    <dataValidation type="list" allowBlank="1" showInputMessage="1" showErrorMessage="1" sqref="IMA393221:IMA393244">
      <formula1>項目!C17:$ILU$393217</formula1>
    </dataValidation>
    <dataValidation type="list" allowBlank="1" showInputMessage="1" showErrorMessage="1" sqref="IVW393221:IVW393244">
      <formula1>項目!C17:$IVQ$393217</formula1>
    </dataValidation>
    <dataValidation type="list" allowBlank="1" showInputMessage="1" showErrorMessage="1" sqref="JFS393221:JFS393244">
      <formula1>項目!C17:$JFM$393217</formula1>
    </dataValidation>
    <dataValidation type="list" allowBlank="1" showInputMessage="1" showErrorMessage="1" sqref="JPO393221:JPO393244">
      <formula1>項目!C17:$JPI$393217</formula1>
    </dataValidation>
    <dataValidation type="list" allowBlank="1" showInputMessage="1" showErrorMessage="1" sqref="JZK393221:JZK393244">
      <formula1>項目!C17:$JZE$393217</formula1>
    </dataValidation>
    <dataValidation type="list" allowBlank="1" showInputMessage="1" showErrorMessage="1" sqref="KJG393221:KJG393244">
      <formula1>項目!C17:$KJA$393217</formula1>
    </dataValidation>
    <dataValidation type="list" allowBlank="1" showInputMessage="1" showErrorMessage="1" sqref="KTC393221:KTC393244">
      <formula1>項目!C17:$KSW$393217</formula1>
    </dataValidation>
    <dataValidation type="list" allowBlank="1" showInputMessage="1" showErrorMessage="1" sqref="LCY393221:LCY393244">
      <formula1>項目!C17:$LCS$393217</formula1>
    </dataValidation>
    <dataValidation type="list" allowBlank="1" showInputMessage="1" showErrorMessage="1" sqref="LMU393221:LMU393244">
      <formula1>項目!C17:$LMO$393217</formula1>
    </dataValidation>
    <dataValidation type="list" allowBlank="1" showInputMessage="1" showErrorMessage="1" sqref="LWQ393221:LWQ393244">
      <formula1>項目!C17:$LWK$393217</formula1>
    </dataValidation>
    <dataValidation type="list" allowBlank="1" showInputMessage="1" showErrorMessage="1" sqref="MGM393221:MGM393244">
      <formula1>項目!C17:$MGG$393217</formula1>
    </dataValidation>
    <dataValidation type="list" allowBlank="1" showInputMessage="1" showErrorMessage="1" sqref="MQI393221:MQI393244">
      <formula1>項目!C17:$MQC$393217</formula1>
    </dataValidation>
    <dataValidation type="list" allowBlank="1" showInputMessage="1" showErrorMessage="1" sqref="NAE393221:NAE393244">
      <formula1>項目!C17:$MZY$393217</formula1>
    </dataValidation>
    <dataValidation type="list" allowBlank="1" showInputMessage="1" showErrorMessage="1" sqref="NKA393221:NKA393244">
      <formula1>項目!C17:$NJU$393217</formula1>
    </dataValidation>
    <dataValidation type="list" allowBlank="1" showInputMessage="1" showErrorMessage="1" sqref="NTW393221:NTW393244">
      <formula1>項目!C17:$NTQ$393217</formula1>
    </dataValidation>
    <dataValidation type="list" allowBlank="1" showInputMessage="1" showErrorMessage="1" sqref="ODS393221:ODS393244">
      <formula1>項目!C17:$ODM$393217</formula1>
    </dataValidation>
    <dataValidation type="list" allowBlank="1" showInputMessage="1" showErrorMessage="1" sqref="ONO393221:ONO393244">
      <formula1>項目!C17:$ONI$393217</formula1>
    </dataValidation>
    <dataValidation type="list" allowBlank="1" showInputMessage="1" showErrorMessage="1" sqref="OXK393221:OXK393244">
      <formula1>項目!C17:$OXE$393217</formula1>
    </dataValidation>
    <dataValidation type="list" allowBlank="1" showInputMessage="1" showErrorMessage="1" sqref="PHG393221:PHG393244">
      <formula1>項目!C17:$PHA$393217</formula1>
    </dataValidation>
    <dataValidation type="list" allowBlank="1" showInputMessage="1" showErrorMessage="1" sqref="PRC393221:PRC393244">
      <formula1>項目!C17:$PQW$393217</formula1>
    </dataValidation>
    <dataValidation type="list" allowBlank="1" showInputMessage="1" showErrorMessage="1" sqref="QAY393221:QAY393244">
      <formula1>項目!C17:$QAS$393217</formula1>
    </dataValidation>
    <dataValidation type="list" allowBlank="1" showInputMessage="1" showErrorMessage="1" sqref="QKU393221:QKU393244">
      <formula1>項目!C17:$QKO$393217</formula1>
    </dataValidation>
    <dataValidation type="list" allowBlank="1" showInputMessage="1" showErrorMessage="1" sqref="QUQ393221:QUQ393244">
      <formula1>項目!C17:$QUK$393217</formula1>
    </dataValidation>
    <dataValidation type="list" allowBlank="1" showInputMessage="1" showErrorMessage="1" sqref="REM393221:REM393244">
      <formula1>項目!C17:$REG$393217</formula1>
    </dataValidation>
    <dataValidation type="list" allowBlank="1" showInputMessage="1" showErrorMessage="1" sqref="ROI393221:ROI393244">
      <formula1>項目!C17:$ROC$393217</formula1>
    </dataValidation>
    <dataValidation type="list" allowBlank="1" showInputMessage="1" showErrorMessage="1" sqref="RYE393221:RYE393244">
      <formula1>項目!C17:$RXY$393217</formula1>
    </dataValidation>
    <dataValidation type="list" allowBlank="1" showInputMessage="1" showErrorMessage="1" sqref="SIA393221:SIA393244">
      <formula1>項目!C17:$SHU$393217</formula1>
    </dataValidation>
    <dataValidation type="list" allowBlank="1" showInputMessage="1" showErrorMessage="1" sqref="SRW393221:SRW393244">
      <formula1>項目!C17:$SRQ$393217</formula1>
    </dataValidation>
    <dataValidation type="list" allowBlank="1" showInputMessage="1" showErrorMessage="1" sqref="TBS393221:TBS393244">
      <formula1>項目!C17:$TBM$393217</formula1>
    </dataValidation>
    <dataValidation type="list" allowBlank="1" showInputMessage="1" showErrorMessage="1" sqref="TLO393221:TLO393244">
      <formula1>項目!C17:$TLI$393217</formula1>
    </dataValidation>
    <dataValidation type="list" allowBlank="1" showInputMessage="1" showErrorMessage="1" sqref="TVK393221:TVK393244">
      <formula1>項目!C17:$TVE$393217</formula1>
    </dataValidation>
    <dataValidation type="list" allowBlank="1" showInputMessage="1" showErrorMessage="1" sqref="UFG393221:UFG393244">
      <formula1>項目!C17:$UFA$393217</formula1>
    </dataValidation>
    <dataValidation type="list" allowBlank="1" showInputMessage="1" showErrorMessage="1" sqref="UPC393221:UPC393244">
      <formula1>項目!C17:$UOW$393217</formula1>
    </dataValidation>
    <dataValidation type="list" allowBlank="1" showInputMessage="1" showErrorMessage="1" sqref="UYY393221:UYY393244">
      <formula1>項目!C17:$UYS$393217</formula1>
    </dataValidation>
    <dataValidation type="list" allowBlank="1" showInputMessage="1" showErrorMessage="1" sqref="VIU393221:VIU393244">
      <formula1>項目!C17:$VIO$393217</formula1>
    </dataValidation>
    <dataValidation type="list" allowBlank="1" showInputMessage="1" showErrorMessage="1" sqref="VSQ393221:VSQ393244">
      <formula1>項目!C17:$VSK$393217</formula1>
    </dataValidation>
    <dataValidation type="list" allowBlank="1" showInputMessage="1" showErrorMessage="1" sqref="WCM393221:WCM393244">
      <formula1>項目!C17:$WCG$393217</formula1>
    </dataValidation>
    <dataValidation type="list" allowBlank="1" showInputMessage="1" showErrorMessage="1" sqref="WMI393221:WMI393244">
      <formula1>項目!C17:$WMC$393217</formula1>
    </dataValidation>
    <dataValidation type="list" allowBlank="1" showInputMessage="1" showErrorMessage="1" sqref="WWE393221:WWE393244">
      <formula1>項目!C17:$WVY$393217</formula1>
    </dataValidation>
    <dataValidation type="list" allowBlank="1" showInputMessage="1" showErrorMessage="1" sqref="W458757:W458780">
      <formula1>項目!C17:$Q$458753</formula1>
    </dataValidation>
    <dataValidation type="list" allowBlank="1" showInputMessage="1" showErrorMessage="1" sqref="JS458757:JS458780">
      <formula1>項目!C17:$JM$458753</formula1>
    </dataValidation>
    <dataValidation type="list" allowBlank="1" showInputMessage="1" showErrorMessage="1" sqref="TO458757:TO458780">
      <formula1>項目!C17:$TI$458753</formula1>
    </dataValidation>
    <dataValidation type="list" allowBlank="1" showInputMessage="1" showErrorMessage="1" sqref="ADK458757:ADK458780">
      <formula1>項目!C17:$ADE$458753</formula1>
    </dataValidation>
    <dataValidation type="list" allowBlank="1" showInputMessage="1" showErrorMessage="1" sqref="ANG458757:ANG458780">
      <formula1>項目!C17:$ANA$458753</formula1>
    </dataValidation>
    <dataValidation type="list" allowBlank="1" showInputMessage="1" showErrorMessage="1" sqref="AXC458757:AXC458780">
      <formula1>項目!C17:$AWW$458753</formula1>
    </dataValidation>
    <dataValidation type="list" allowBlank="1" showInputMessage="1" showErrorMessage="1" sqref="BGY458757:BGY458780">
      <formula1>項目!C17:$BGS$458753</formula1>
    </dataValidation>
    <dataValidation type="list" allowBlank="1" showInputMessage="1" showErrorMessage="1" sqref="BQU458757:BQU458780">
      <formula1>項目!C17:$BQO$458753</formula1>
    </dataValidation>
    <dataValidation type="list" allowBlank="1" showInputMessage="1" showErrorMessage="1" sqref="CAQ458757:CAQ458780">
      <formula1>項目!C17:$CAK$458753</formula1>
    </dataValidation>
    <dataValidation type="list" allowBlank="1" showInputMessage="1" showErrorMessage="1" sqref="CKM458757:CKM458780">
      <formula1>項目!C17:$CKG$458753</formula1>
    </dataValidation>
    <dataValidation type="list" allowBlank="1" showInputMessage="1" showErrorMessage="1" sqref="CUI458757:CUI458780">
      <formula1>項目!C17:$CUC$458753</formula1>
    </dataValidation>
    <dataValidation type="list" allowBlank="1" showInputMessage="1" showErrorMessage="1" sqref="DEE458757:DEE458780">
      <formula1>項目!C17:$DDY$458753</formula1>
    </dataValidation>
    <dataValidation type="list" allowBlank="1" showInputMessage="1" showErrorMessage="1" sqref="DOA458757:DOA458780">
      <formula1>項目!C17:$DNU$458753</formula1>
    </dataValidation>
    <dataValidation type="list" allowBlank="1" showInputMessage="1" showErrorMessage="1" sqref="DXW458757:DXW458780">
      <formula1>項目!C17:$DXQ$458753</formula1>
    </dataValidation>
    <dataValidation type="list" allowBlank="1" showInputMessage="1" showErrorMessage="1" sqref="EHS458757:EHS458780">
      <formula1>項目!C17:$EHM$458753</formula1>
    </dataValidation>
    <dataValidation type="list" allowBlank="1" showInputMessage="1" showErrorMessage="1" sqref="ERO458757:ERO458780">
      <formula1>項目!C17:$ERI$458753</formula1>
    </dataValidation>
    <dataValidation type="list" allowBlank="1" showInputMessage="1" showErrorMessage="1" sqref="FBK458757:FBK458780">
      <formula1>項目!C17:$FBE$458753</formula1>
    </dataValidation>
    <dataValidation type="list" allowBlank="1" showInputMessage="1" showErrorMessage="1" sqref="FLG458757:FLG458780">
      <formula1>項目!C17:$FLA$458753</formula1>
    </dataValidation>
    <dataValidation type="list" allowBlank="1" showInputMessage="1" showErrorMessage="1" sqref="FVC458757:FVC458780">
      <formula1>項目!C17:$FUW$458753</formula1>
    </dataValidation>
    <dataValidation type="list" allowBlank="1" showInputMessage="1" showErrorMessage="1" sqref="GEY458757:GEY458780">
      <formula1>項目!C17:$GES$458753</formula1>
    </dataValidation>
    <dataValidation type="list" allowBlank="1" showInputMessage="1" showErrorMessage="1" sqref="GOU458757:GOU458780">
      <formula1>項目!C17:$GOO$458753</formula1>
    </dataValidation>
    <dataValidation type="list" allowBlank="1" showInputMessage="1" showErrorMessage="1" sqref="GYQ458757:GYQ458780">
      <formula1>項目!C17:$GYK$458753</formula1>
    </dataValidation>
    <dataValidation type="list" allowBlank="1" showInputMessage="1" showErrorMessage="1" sqref="HIM458757:HIM458780">
      <formula1>項目!C17:$HIG$458753</formula1>
    </dataValidation>
    <dataValidation type="list" allowBlank="1" showInputMessage="1" showErrorMessage="1" sqref="HSI458757:HSI458780">
      <formula1>項目!C17:$HSC$458753</formula1>
    </dataValidation>
    <dataValidation type="list" allowBlank="1" showInputMessage="1" showErrorMessage="1" sqref="ICE458757:ICE458780">
      <formula1>項目!C17:$IBY$458753</formula1>
    </dataValidation>
    <dataValidation type="list" allowBlank="1" showInputMessage="1" showErrorMessage="1" sqref="IMA458757:IMA458780">
      <formula1>項目!C17:$ILU$458753</formula1>
    </dataValidation>
    <dataValidation type="list" allowBlank="1" showInputMessage="1" showErrorMessage="1" sqref="IVW458757:IVW458780">
      <formula1>項目!C17:$IVQ$458753</formula1>
    </dataValidation>
    <dataValidation type="list" allowBlank="1" showInputMessage="1" showErrorMessage="1" sqref="JFS458757:JFS458780">
      <formula1>項目!C17:$JFM$458753</formula1>
    </dataValidation>
    <dataValidation type="list" allowBlank="1" showInputMessage="1" showErrorMessage="1" sqref="JPO458757:JPO458780">
      <formula1>項目!C17:$JPI$458753</formula1>
    </dataValidation>
    <dataValidation type="list" allowBlank="1" showInputMessage="1" showErrorMessage="1" sqref="JZK458757:JZK458780">
      <formula1>項目!C17:$JZE$458753</formula1>
    </dataValidation>
    <dataValidation type="list" allowBlank="1" showInputMessage="1" showErrorMessage="1" sqref="KJG458757:KJG458780">
      <formula1>項目!C17:$KJA$458753</formula1>
    </dataValidation>
    <dataValidation type="list" allowBlank="1" showInputMessage="1" showErrorMessage="1" sqref="KTC458757:KTC458780">
      <formula1>項目!C17:$KSW$458753</formula1>
    </dataValidation>
    <dataValidation type="list" allowBlank="1" showInputMessage="1" showErrorMessage="1" sqref="LCY458757:LCY458780">
      <formula1>項目!C17:$LCS$458753</formula1>
    </dataValidation>
    <dataValidation type="list" allowBlank="1" showInputMessage="1" showErrorMessage="1" sqref="LMU458757:LMU458780">
      <formula1>項目!C17:$LMO$458753</formula1>
    </dataValidation>
    <dataValidation type="list" allowBlank="1" showInputMessage="1" showErrorMessage="1" sqref="LWQ458757:LWQ458780">
      <formula1>項目!C17:$LWK$458753</formula1>
    </dataValidation>
    <dataValidation type="list" allowBlank="1" showInputMessage="1" showErrorMessage="1" sqref="MGM458757:MGM458780">
      <formula1>項目!C17:$MGG$458753</formula1>
    </dataValidation>
    <dataValidation type="list" allowBlank="1" showInputMessage="1" showErrorMessage="1" sqref="MQI458757:MQI458780">
      <formula1>項目!C17:$MQC$458753</formula1>
    </dataValidation>
    <dataValidation type="list" allowBlank="1" showInputMessage="1" showErrorMessage="1" sqref="NAE458757:NAE458780">
      <formula1>項目!C17:$MZY$458753</formula1>
    </dataValidation>
    <dataValidation type="list" allowBlank="1" showInputMessage="1" showErrorMessage="1" sqref="NKA458757:NKA458780">
      <formula1>項目!C17:$NJU$458753</formula1>
    </dataValidation>
    <dataValidation type="list" allowBlank="1" showInputMessage="1" showErrorMessage="1" sqref="NTW458757:NTW458780">
      <formula1>項目!C17:$NTQ$458753</formula1>
    </dataValidation>
    <dataValidation type="list" allowBlank="1" showInputMessage="1" showErrorMessage="1" sqref="ODS458757:ODS458780">
      <formula1>項目!C17:$ODM$458753</formula1>
    </dataValidation>
    <dataValidation type="list" allowBlank="1" showInputMessage="1" showErrorMessage="1" sqref="ONO458757:ONO458780">
      <formula1>項目!C17:$ONI$458753</formula1>
    </dataValidation>
    <dataValidation type="list" allowBlank="1" showInputMessage="1" showErrorMessage="1" sqref="OXK458757:OXK458780">
      <formula1>項目!C17:$OXE$458753</formula1>
    </dataValidation>
    <dataValidation type="list" allowBlank="1" showInputMessage="1" showErrorMessage="1" sqref="PHG458757:PHG458780">
      <formula1>項目!C17:$PHA$458753</formula1>
    </dataValidation>
    <dataValidation type="list" allowBlank="1" showInputMessage="1" showErrorMessage="1" sqref="PRC458757:PRC458780">
      <formula1>項目!C17:$PQW$458753</formula1>
    </dataValidation>
    <dataValidation type="list" allowBlank="1" showInputMessage="1" showErrorMessage="1" sqref="QAY458757:QAY458780">
      <formula1>項目!C17:$QAS$458753</formula1>
    </dataValidation>
    <dataValidation type="list" allowBlank="1" showInputMessage="1" showErrorMessage="1" sqref="QKU458757:QKU458780">
      <formula1>項目!C17:$QKO$458753</formula1>
    </dataValidation>
    <dataValidation type="list" allowBlank="1" showInputMessage="1" showErrorMessage="1" sqref="QUQ458757:QUQ458780">
      <formula1>項目!C17:$QUK$458753</formula1>
    </dataValidation>
    <dataValidation type="list" allowBlank="1" showInputMessage="1" showErrorMessage="1" sqref="REM458757:REM458780">
      <formula1>項目!C17:$REG$458753</formula1>
    </dataValidation>
    <dataValidation type="list" allowBlank="1" showInputMessage="1" showErrorMessage="1" sqref="ROI458757:ROI458780">
      <formula1>項目!C17:$ROC$458753</formula1>
    </dataValidation>
    <dataValidation type="list" allowBlank="1" showInputMessage="1" showErrorMessage="1" sqref="RYE458757:RYE458780">
      <formula1>項目!C17:$RXY$458753</formula1>
    </dataValidation>
    <dataValidation type="list" allowBlank="1" showInputMessage="1" showErrorMessage="1" sqref="SIA458757:SIA458780">
      <formula1>項目!C17:$SHU$458753</formula1>
    </dataValidation>
    <dataValidation type="list" allowBlank="1" showInputMessage="1" showErrorMessage="1" sqref="SRW458757:SRW458780">
      <formula1>項目!C17:$SRQ$458753</formula1>
    </dataValidation>
    <dataValidation type="list" allowBlank="1" showInputMessage="1" showErrorMessage="1" sqref="TBS458757:TBS458780">
      <formula1>項目!C17:$TBM$458753</formula1>
    </dataValidation>
    <dataValidation type="list" allowBlank="1" showInputMessage="1" showErrorMessage="1" sqref="TLO458757:TLO458780">
      <formula1>項目!C17:$TLI$458753</formula1>
    </dataValidation>
    <dataValidation type="list" allowBlank="1" showInputMessage="1" showErrorMessage="1" sqref="TVK458757:TVK458780">
      <formula1>項目!C17:$TVE$458753</formula1>
    </dataValidation>
    <dataValidation type="list" allowBlank="1" showInputMessage="1" showErrorMessage="1" sqref="UFG458757:UFG458780">
      <formula1>項目!C17:$UFA$458753</formula1>
    </dataValidation>
    <dataValidation type="list" allowBlank="1" showInputMessage="1" showErrorMessage="1" sqref="UPC458757:UPC458780">
      <formula1>項目!C17:$UOW$458753</formula1>
    </dataValidation>
    <dataValidation type="list" allowBlank="1" showInputMessage="1" showErrorMessage="1" sqref="UYY458757:UYY458780">
      <formula1>項目!C17:$UYS$458753</formula1>
    </dataValidation>
    <dataValidation type="list" allowBlank="1" showInputMessage="1" showErrorMessage="1" sqref="VIU458757:VIU458780">
      <formula1>項目!C17:$VIO$458753</formula1>
    </dataValidation>
    <dataValidation type="list" allowBlank="1" showInputMessage="1" showErrorMessage="1" sqref="VSQ458757:VSQ458780">
      <formula1>項目!C17:$VSK$458753</formula1>
    </dataValidation>
    <dataValidation type="list" allowBlank="1" showInputMessage="1" showErrorMessage="1" sqref="WCM458757:WCM458780">
      <formula1>項目!C17:$WCG$458753</formula1>
    </dataValidation>
    <dataValidation type="list" allowBlank="1" showInputMessage="1" showErrorMessage="1" sqref="WMI458757:WMI458780">
      <formula1>項目!C17:$WMC$458753</formula1>
    </dataValidation>
    <dataValidation type="list" allowBlank="1" showInputMessage="1" showErrorMessage="1" sqref="WWE458757:WWE458780">
      <formula1>項目!C17:$WVY$458753</formula1>
    </dataValidation>
    <dataValidation type="list" allowBlank="1" showInputMessage="1" showErrorMessage="1" sqref="W524293:W524316">
      <formula1>項目!C17:$Q$524289</formula1>
    </dataValidation>
    <dataValidation type="list" allowBlank="1" showInputMessage="1" showErrorMessage="1" sqref="JS524293:JS524316">
      <formula1>項目!C17:$JM$524289</formula1>
    </dataValidation>
    <dataValidation type="list" allowBlank="1" showInputMessage="1" showErrorMessage="1" sqref="TO524293:TO524316">
      <formula1>項目!C17:$TI$524289</formula1>
    </dataValidation>
    <dataValidation type="list" allowBlank="1" showInputMessage="1" showErrorMessage="1" sqref="ADK524293:ADK524316">
      <formula1>項目!C17:$ADE$524289</formula1>
    </dataValidation>
    <dataValidation type="list" allowBlank="1" showInputMessage="1" showErrorMessage="1" sqref="ANG524293:ANG524316">
      <formula1>項目!C17:$ANA$524289</formula1>
    </dataValidation>
    <dataValidation type="list" allowBlank="1" showInputMessage="1" showErrorMessage="1" sqref="AXC524293:AXC524316">
      <formula1>項目!C17:$AWW$524289</formula1>
    </dataValidation>
    <dataValidation type="list" allowBlank="1" showInputMessage="1" showErrorMessage="1" sqref="BGY524293:BGY524316">
      <formula1>項目!C17:$BGS$524289</formula1>
    </dataValidation>
    <dataValidation type="list" allowBlank="1" showInputMessage="1" showErrorMessage="1" sqref="BQU524293:BQU524316">
      <formula1>項目!C17:$BQO$524289</formula1>
    </dataValidation>
    <dataValidation type="list" allowBlank="1" showInputMessage="1" showErrorMessage="1" sqref="CAQ524293:CAQ524316">
      <formula1>項目!C17:$CAK$524289</formula1>
    </dataValidation>
    <dataValidation type="list" allowBlank="1" showInputMessage="1" showErrorMessage="1" sqref="CKM524293:CKM524316">
      <formula1>項目!C17:$CKG$524289</formula1>
    </dataValidation>
    <dataValidation type="list" allowBlank="1" showInputMessage="1" showErrorMessage="1" sqref="CUI524293:CUI524316">
      <formula1>項目!C17:$CUC$524289</formula1>
    </dataValidation>
    <dataValidation type="list" allowBlank="1" showInputMessage="1" showErrorMessage="1" sqref="DEE524293:DEE524316">
      <formula1>項目!C17:$DDY$524289</formula1>
    </dataValidation>
    <dataValidation type="list" allowBlank="1" showInputMessage="1" showErrorMessage="1" sqref="DOA524293:DOA524316">
      <formula1>項目!C17:$DNU$524289</formula1>
    </dataValidation>
    <dataValidation type="list" allowBlank="1" showInputMessage="1" showErrorMessage="1" sqref="DXW524293:DXW524316">
      <formula1>項目!C17:$DXQ$524289</formula1>
    </dataValidation>
    <dataValidation type="list" allowBlank="1" showInputMessage="1" showErrorMessage="1" sqref="EHS524293:EHS524316">
      <formula1>項目!C17:$EHM$524289</formula1>
    </dataValidation>
    <dataValidation type="list" allowBlank="1" showInputMessage="1" showErrorMessage="1" sqref="ERO524293:ERO524316">
      <formula1>項目!C17:$ERI$524289</formula1>
    </dataValidation>
    <dataValidation type="list" allowBlank="1" showInputMessage="1" showErrorMessage="1" sqref="FBK524293:FBK524316">
      <formula1>項目!C17:$FBE$524289</formula1>
    </dataValidation>
    <dataValidation type="list" allowBlank="1" showInputMessage="1" showErrorMessage="1" sqref="FLG524293:FLG524316">
      <formula1>項目!C17:$FLA$524289</formula1>
    </dataValidation>
    <dataValidation type="list" allowBlank="1" showInputMessage="1" showErrorMessage="1" sqref="FVC524293:FVC524316">
      <formula1>項目!C17:$FUW$524289</formula1>
    </dataValidation>
    <dataValidation type="list" allowBlank="1" showInputMessage="1" showErrorMessage="1" sqref="GEY524293:GEY524316">
      <formula1>項目!C17:$GES$524289</formula1>
    </dataValidation>
    <dataValidation type="list" allowBlank="1" showInputMessage="1" showErrorMessage="1" sqref="GOU524293:GOU524316">
      <formula1>項目!C17:$GOO$524289</formula1>
    </dataValidation>
    <dataValidation type="list" allowBlank="1" showInputMessage="1" showErrorMessage="1" sqref="GYQ524293:GYQ524316">
      <formula1>項目!C17:$GYK$524289</formula1>
    </dataValidation>
    <dataValidation type="list" allowBlank="1" showInputMessage="1" showErrorMessage="1" sqref="HIM524293:HIM524316">
      <formula1>項目!C17:$HIG$524289</formula1>
    </dataValidation>
    <dataValidation type="list" allowBlank="1" showInputMessage="1" showErrorMessage="1" sqref="HSI524293:HSI524316">
      <formula1>項目!C17:$HSC$524289</formula1>
    </dataValidation>
    <dataValidation type="list" allowBlank="1" showInputMessage="1" showErrorMessage="1" sqref="ICE524293:ICE524316">
      <formula1>項目!C17:$IBY$524289</formula1>
    </dataValidation>
    <dataValidation type="list" allowBlank="1" showInputMessage="1" showErrorMessage="1" sqref="IMA524293:IMA524316">
      <formula1>項目!C17:$ILU$524289</formula1>
    </dataValidation>
    <dataValidation type="list" allowBlank="1" showInputMessage="1" showErrorMessage="1" sqref="IVW524293:IVW524316">
      <formula1>項目!C17:$IVQ$524289</formula1>
    </dataValidation>
    <dataValidation type="list" allowBlank="1" showInputMessage="1" showErrorMessage="1" sqref="JFS524293:JFS524316">
      <formula1>項目!C17:$JFM$524289</formula1>
    </dataValidation>
    <dataValidation type="list" allowBlank="1" showInputMessage="1" showErrorMessage="1" sqref="JPO524293:JPO524316">
      <formula1>項目!C17:$JPI$524289</formula1>
    </dataValidation>
    <dataValidation type="list" allowBlank="1" showInputMessage="1" showErrorMessage="1" sqref="JZK524293:JZK524316">
      <formula1>項目!C17:$JZE$524289</formula1>
    </dataValidation>
    <dataValidation type="list" allowBlank="1" showInputMessage="1" showErrorMessage="1" sqref="KJG524293:KJG524316">
      <formula1>項目!C17:$KJA$524289</formula1>
    </dataValidation>
    <dataValidation type="list" allowBlank="1" showInputMessage="1" showErrorMessage="1" sqref="KTC524293:KTC524316">
      <formula1>項目!C17:$KSW$524289</formula1>
    </dataValidation>
    <dataValidation type="list" allowBlank="1" showInputMessage="1" showErrorMessage="1" sqref="LCY524293:LCY524316">
      <formula1>項目!C17:$LCS$524289</formula1>
    </dataValidation>
    <dataValidation type="list" allowBlank="1" showInputMessage="1" showErrorMessage="1" sqref="LMU524293:LMU524316">
      <formula1>項目!C17:$LMO$524289</formula1>
    </dataValidation>
    <dataValidation type="list" allowBlank="1" showInputMessage="1" showErrorMessage="1" sqref="LWQ524293:LWQ524316">
      <formula1>項目!C17:$LWK$524289</formula1>
    </dataValidation>
    <dataValidation type="list" allowBlank="1" showInputMessage="1" showErrorMessage="1" sqref="MGM524293:MGM524316">
      <formula1>項目!C17:$MGG$524289</formula1>
    </dataValidation>
    <dataValidation type="list" allowBlank="1" showInputMessage="1" showErrorMessage="1" sqref="MQI524293:MQI524316">
      <formula1>項目!C17:$MQC$524289</formula1>
    </dataValidation>
    <dataValidation type="list" allowBlank="1" showInputMessage="1" showErrorMessage="1" sqref="NAE524293:NAE524316">
      <formula1>項目!C17:$MZY$524289</formula1>
    </dataValidation>
    <dataValidation type="list" allowBlank="1" showInputMessage="1" showErrorMessage="1" sqref="NKA524293:NKA524316">
      <formula1>項目!C17:$NJU$524289</formula1>
    </dataValidation>
    <dataValidation type="list" allowBlank="1" showInputMessage="1" showErrorMessage="1" sqref="NTW524293:NTW524316">
      <formula1>項目!C17:$NTQ$524289</formula1>
    </dataValidation>
    <dataValidation type="list" allowBlank="1" showInputMessage="1" showErrorMessage="1" sqref="ODS524293:ODS524316">
      <formula1>項目!C17:$ODM$524289</formula1>
    </dataValidation>
    <dataValidation type="list" allowBlank="1" showInputMessage="1" showErrorMessage="1" sqref="ONO524293:ONO524316">
      <formula1>項目!C17:$ONI$524289</formula1>
    </dataValidation>
    <dataValidation type="list" allowBlank="1" showInputMessage="1" showErrorMessage="1" sqref="OXK524293:OXK524316">
      <formula1>項目!C17:$OXE$524289</formula1>
    </dataValidation>
    <dataValidation type="list" allowBlank="1" showInputMessage="1" showErrorMessage="1" sqref="PHG524293:PHG524316">
      <formula1>項目!C17:$PHA$524289</formula1>
    </dataValidation>
    <dataValidation type="list" allowBlank="1" showInputMessage="1" showErrorMessage="1" sqref="PRC524293:PRC524316">
      <formula1>項目!C17:$PQW$524289</formula1>
    </dataValidation>
    <dataValidation type="list" allowBlank="1" showInputMessage="1" showErrorMessage="1" sqref="QAY524293:QAY524316">
      <formula1>項目!C17:$QAS$524289</formula1>
    </dataValidation>
    <dataValidation type="list" allowBlank="1" showInputMessage="1" showErrorMessage="1" sqref="QKU524293:QKU524316">
      <formula1>項目!C17:$QKO$524289</formula1>
    </dataValidation>
    <dataValidation type="list" allowBlank="1" showInputMessage="1" showErrorMessage="1" sqref="QUQ524293:QUQ524316">
      <formula1>項目!C17:$QUK$524289</formula1>
    </dataValidation>
    <dataValidation type="list" allowBlank="1" showInputMessage="1" showErrorMessage="1" sqref="REM524293:REM524316">
      <formula1>項目!C17:$REG$524289</formula1>
    </dataValidation>
    <dataValidation type="list" allowBlank="1" showInputMessage="1" showErrorMessage="1" sqref="ROI524293:ROI524316">
      <formula1>項目!C17:$ROC$524289</formula1>
    </dataValidation>
    <dataValidation type="list" allowBlank="1" showInputMessage="1" showErrorMessage="1" sqref="RYE524293:RYE524316">
      <formula1>項目!C17:$RXY$524289</formula1>
    </dataValidation>
    <dataValidation type="list" allowBlank="1" showInputMessage="1" showErrorMessage="1" sqref="SIA524293:SIA524316">
      <formula1>項目!C17:$SHU$524289</formula1>
    </dataValidation>
    <dataValidation type="list" allowBlank="1" showInputMessage="1" showErrorMessage="1" sqref="SRW524293:SRW524316">
      <formula1>項目!C17:$SRQ$524289</formula1>
    </dataValidation>
    <dataValidation type="list" allowBlank="1" showInputMessage="1" showErrorMessage="1" sqref="TBS524293:TBS524316">
      <formula1>項目!C17:$TBM$524289</formula1>
    </dataValidation>
    <dataValidation type="list" allowBlank="1" showInputMessage="1" showErrorMessage="1" sqref="TLO524293:TLO524316">
      <formula1>項目!C17:$TLI$524289</formula1>
    </dataValidation>
    <dataValidation type="list" allowBlank="1" showInputMessage="1" showErrorMessage="1" sqref="TVK524293:TVK524316">
      <formula1>項目!C17:$TVE$524289</formula1>
    </dataValidation>
    <dataValidation type="list" allowBlank="1" showInputMessage="1" showErrorMessage="1" sqref="UFG524293:UFG524316">
      <formula1>項目!C17:$UFA$524289</formula1>
    </dataValidation>
    <dataValidation type="list" allowBlank="1" showInputMessage="1" showErrorMessage="1" sqref="UPC524293:UPC524316">
      <formula1>項目!C17:$UOW$524289</formula1>
    </dataValidation>
    <dataValidation type="list" allowBlank="1" showInputMessage="1" showErrorMessage="1" sqref="UYY524293:UYY524316">
      <formula1>項目!C17:$UYS$524289</formula1>
    </dataValidation>
    <dataValidation type="list" allowBlank="1" showInputMessage="1" showErrorMessage="1" sqref="VIU524293:VIU524316">
      <formula1>項目!C17:$VIO$524289</formula1>
    </dataValidation>
    <dataValidation type="list" allowBlank="1" showInputMessage="1" showErrorMessage="1" sqref="VSQ524293:VSQ524316">
      <formula1>項目!C17:$VSK$524289</formula1>
    </dataValidation>
    <dataValidation type="list" allowBlank="1" showInputMessage="1" showErrorMessage="1" sqref="WCM524293:WCM524316">
      <formula1>項目!C17:$WCG$524289</formula1>
    </dataValidation>
    <dataValidation type="list" allowBlank="1" showInputMessage="1" showErrorMessage="1" sqref="WMI524293:WMI524316">
      <formula1>項目!C17:$WMC$524289</formula1>
    </dataValidation>
    <dataValidation type="list" allowBlank="1" showInputMessage="1" showErrorMessage="1" sqref="WWE524293:WWE524316">
      <formula1>項目!C17:$WVY$524289</formula1>
    </dataValidation>
    <dataValidation type="list" allowBlank="1" showInputMessage="1" showErrorMessage="1" sqref="W589829:W589852">
      <formula1>項目!C17:$Q$589825</formula1>
    </dataValidation>
    <dataValidation type="list" allowBlank="1" showInputMessage="1" showErrorMessage="1" sqref="JS589829:JS589852">
      <formula1>項目!C17:$JM$589825</formula1>
    </dataValidation>
    <dataValidation type="list" allowBlank="1" showInputMessage="1" showErrorMessage="1" sqref="TO589829:TO589852">
      <formula1>項目!C17:$TI$589825</formula1>
    </dataValidation>
    <dataValidation type="list" allowBlank="1" showInputMessage="1" showErrorMessage="1" sqref="ADK589829:ADK589852">
      <formula1>項目!C17:$ADE$589825</formula1>
    </dataValidation>
    <dataValidation type="list" allowBlank="1" showInputMessage="1" showErrorMessage="1" sqref="ANG589829:ANG589852">
      <formula1>項目!C17:$ANA$589825</formula1>
    </dataValidation>
    <dataValidation type="list" allowBlank="1" showInputMessage="1" showErrorMessage="1" sqref="AXC589829:AXC589852">
      <formula1>項目!C17:$AWW$589825</formula1>
    </dataValidation>
    <dataValidation type="list" allowBlank="1" showInputMessage="1" showErrorMessage="1" sqref="BGY589829:BGY589852">
      <formula1>項目!C17:$BGS$589825</formula1>
    </dataValidation>
    <dataValidation type="list" allowBlank="1" showInputMessage="1" showErrorMessage="1" sqref="BQU589829:BQU589852">
      <formula1>項目!C17:$BQO$589825</formula1>
    </dataValidation>
    <dataValidation type="list" allowBlank="1" showInputMessage="1" showErrorMessage="1" sqref="CAQ589829:CAQ589852">
      <formula1>項目!C17:$CAK$589825</formula1>
    </dataValidation>
    <dataValidation type="list" allowBlank="1" showInputMessage="1" showErrorMessage="1" sqref="CKM589829:CKM589852">
      <formula1>項目!C17:$CKG$589825</formula1>
    </dataValidation>
    <dataValidation type="list" allowBlank="1" showInputMessage="1" showErrorMessage="1" sqref="CUI589829:CUI589852">
      <formula1>項目!C17:$CUC$589825</formula1>
    </dataValidation>
    <dataValidation type="list" allowBlank="1" showInputMessage="1" showErrorMessage="1" sqref="DEE589829:DEE589852">
      <formula1>項目!C17:$DDY$589825</formula1>
    </dataValidation>
    <dataValidation type="list" allowBlank="1" showInputMessage="1" showErrorMessage="1" sqref="DOA589829:DOA589852">
      <formula1>項目!C17:$DNU$589825</formula1>
    </dataValidation>
    <dataValidation type="list" allowBlank="1" showInputMessage="1" showErrorMessage="1" sqref="DXW589829:DXW589852">
      <formula1>項目!C17:$DXQ$589825</formula1>
    </dataValidation>
    <dataValidation type="list" allowBlank="1" showInputMessage="1" showErrorMessage="1" sqref="EHS589829:EHS589852">
      <formula1>項目!C17:$EHM$589825</formula1>
    </dataValidation>
    <dataValidation type="list" allowBlank="1" showInputMessage="1" showErrorMessage="1" sqref="ERO589829:ERO589852">
      <formula1>項目!C17:$ERI$589825</formula1>
    </dataValidation>
    <dataValidation type="list" allowBlank="1" showInputMessage="1" showErrorMessage="1" sqref="FBK589829:FBK589852">
      <formula1>項目!C17:$FBE$589825</formula1>
    </dataValidation>
    <dataValidation type="list" allowBlank="1" showInputMessage="1" showErrorMessage="1" sqref="FLG589829:FLG589852">
      <formula1>項目!C17:$FLA$589825</formula1>
    </dataValidation>
    <dataValidation type="list" allowBlank="1" showInputMessage="1" showErrorMessage="1" sqref="FVC589829:FVC589852">
      <formula1>項目!C17:$FUW$589825</formula1>
    </dataValidation>
    <dataValidation type="list" allowBlank="1" showInputMessage="1" showErrorMessage="1" sqref="GEY589829:GEY589852">
      <formula1>項目!C17:$GES$589825</formula1>
    </dataValidation>
    <dataValidation type="list" allowBlank="1" showInputMessage="1" showErrorMessage="1" sqref="GOU589829:GOU589852">
      <formula1>項目!C17:$GOO$589825</formula1>
    </dataValidation>
    <dataValidation type="list" allowBlank="1" showInputMessage="1" showErrorMessage="1" sqref="GYQ589829:GYQ589852">
      <formula1>項目!C17:$GYK$589825</formula1>
    </dataValidation>
    <dataValidation type="list" allowBlank="1" showInputMessage="1" showErrorMessage="1" sqref="HIM589829:HIM589852">
      <formula1>項目!C17:$HIG$589825</formula1>
    </dataValidation>
    <dataValidation type="list" allowBlank="1" showInputMessage="1" showErrorMessage="1" sqref="HSI589829:HSI589852">
      <formula1>項目!C17:$HSC$589825</formula1>
    </dataValidation>
    <dataValidation type="list" allowBlank="1" showInputMessage="1" showErrorMessage="1" sqref="ICE589829:ICE589852">
      <formula1>項目!C17:$IBY$589825</formula1>
    </dataValidation>
    <dataValidation type="list" allowBlank="1" showInputMessage="1" showErrorMessage="1" sqref="IMA589829:IMA589852">
      <formula1>項目!C17:$ILU$589825</formula1>
    </dataValidation>
    <dataValidation type="list" allowBlank="1" showInputMessage="1" showErrorMessage="1" sqref="IVW589829:IVW589852">
      <formula1>項目!C17:$IVQ$589825</formula1>
    </dataValidation>
    <dataValidation type="list" allowBlank="1" showInputMessage="1" showErrorMessage="1" sqref="JFS589829:JFS589852">
      <formula1>項目!C17:$JFM$589825</formula1>
    </dataValidation>
    <dataValidation type="list" allowBlank="1" showInputMessage="1" showErrorMessage="1" sqref="JPO589829:JPO589852">
      <formula1>項目!C17:$JPI$589825</formula1>
    </dataValidation>
    <dataValidation type="list" allowBlank="1" showInputMessage="1" showErrorMessage="1" sqref="JZK589829:JZK589852">
      <formula1>項目!C17:$JZE$589825</formula1>
    </dataValidation>
    <dataValidation type="list" allowBlank="1" showInputMessage="1" showErrorMessage="1" sqref="KJG589829:KJG589852">
      <formula1>項目!C17:$KJA$589825</formula1>
    </dataValidation>
    <dataValidation type="list" allowBlank="1" showInputMessage="1" showErrorMessage="1" sqref="KTC589829:KTC589852">
      <formula1>項目!C17:$KSW$589825</formula1>
    </dataValidation>
    <dataValidation type="list" allowBlank="1" showInputMessage="1" showErrorMessage="1" sqref="LCY589829:LCY589852">
      <formula1>項目!C17:$LCS$589825</formula1>
    </dataValidation>
    <dataValidation type="list" allowBlank="1" showInputMessage="1" showErrorMessage="1" sqref="LMU589829:LMU589852">
      <formula1>項目!C17:$LMO$589825</formula1>
    </dataValidation>
    <dataValidation type="list" allowBlank="1" showInputMessage="1" showErrorMessage="1" sqref="LWQ589829:LWQ589852">
      <formula1>項目!C17:$LWK$589825</formula1>
    </dataValidation>
    <dataValidation type="list" allowBlank="1" showInputMessage="1" showErrorMessage="1" sqref="MGM589829:MGM589852">
      <formula1>項目!C17:$MGG$589825</formula1>
    </dataValidation>
    <dataValidation type="list" allowBlank="1" showInputMessage="1" showErrorMessage="1" sqref="MQI589829:MQI589852">
      <formula1>項目!C17:$MQC$589825</formula1>
    </dataValidation>
    <dataValidation type="list" allowBlank="1" showInputMessage="1" showErrorMessage="1" sqref="NAE589829:NAE589852">
      <formula1>項目!C17:$MZY$589825</formula1>
    </dataValidation>
    <dataValidation type="list" allowBlank="1" showInputMessage="1" showErrorMessage="1" sqref="NKA589829:NKA589852">
      <formula1>項目!C17:$NJU$589825</formula1>
    </dataValidation>
    <dataValidation type="list" allowBlank="1" showInputMessage="1" showErrorMessage="1" sqref="NTW589829:NTW589852">
      <formula1>項目!C17:$NTQ$589825</formula1>
    </dataValidation>
    <dataValidation type="list" allowBlank="1" showInputMessage="1" showErrorMessage="1" sqref="ODS589829:ODS589852">
      <formula1>項目!C17:$ODM$589825</formula1>
    </dataValidation>
    <dataValidation type="list" allowBlank="1" showInputMessage="1" showErrorMessage="1" sqref="ONO589829:ONO589852">
      <formula1>項目!C17:$ONI$589825</formula1>
    </dataValidation>
    <dataValidation type="list" allowBlank="1" showInputMessage="1" showErrorMessage="1" sqref="OXK589829:OXK589852">
      <formula1>項目!C17:$OXE$589825</formula1>
    </dataValidation>
    <dataValidation type="list" allowBlank="1" showInputMessage="1" showErrorMessage="1" sqref="PHG589829:PHG589852">
      <formula1>項目!C17:$PHA$589825</formula1>
    </dataValidation>
    <dataValidation type="list" allowBlank="1" showInputMessage="1" showErrorMessage="1" sqref="PRC589829:PRC589852">
      <formula1>項目!C17:$PQW$589825</formula1>
    </dataValidation>
    <dataValidation type="list" allowBlank="1" showInputMessage="1" showErrorMessage="1" sqref="QAY589829:QAY589852">
      <formula1>項目!C17:$QAS$589825</formula1>
    </dataValidation>
    <dataValidation type="list" allowBlank="1" showInputMessage="1" showErrorMessage="1" sqref="QKU589829:QKU589852">
      <formula1>項目!C17:$QKO$589825</formula1>
    </dataValidation>
    <dataValidation type="list" allowBlank="1" showInputMessage="1" showErrorMessage="1" sqref="QUQ589829:QUQ589852">
      <formula1>項目!C17:$QUK$589825</formula1>
    </dataValidation>
    <dataValidation type="list" allowBlank="1" showInputMessage="1" showErrorMessage="1" sqref="REM589829:REM589852">
      <formula1>項目!C17:$REG$589825</formula1>
    </dataValidation>
    <dataValidation type="list" allowBlank="1" showInputMessage="1" showErrorMessage="1" sqref="ROI589829:ROI589852">
      <formula1>項目!C17:$ROC$589825</formula1>
    </dataValidation>
    <dataValidation type="list" allowBlank="1" showInputMessage="1" showErrorMessage="1" sqref="RYE589829:RYE589852">
      <formula1>項目!C17:$RXY$589825</formula1>
    </dataValidation>
    <dataValidation type="list" allowBlank="1" showInputMessage="1" showErrorMessage="1" sqref="SIA589829:SIA589852">
      <formula1>項目!C17:$SHU$589825</formula1>
    </dataValidation>
    <dataValidation type="list" allowBlank="1" showInputMessage="1" showErrorMessage="1" sqref="SRW589829:SRW589852">
      <formula1>項目!C17:$SRQ$589825</formula1>
    </dataValidation>
    <dataValidation type="list" allowBlank="1" showInputMessage="1" showErrorMessage="1" sqref="TBS589829:TBS589852">
      <formula1>項目!C17:$TBM$589825</formula1>
    </dataValidation>
    <dataValidation type="list" allowBlank="1" showInputMessage="1" showErrorMessage="1" sqref="TLO589829:TLO589852">
      <formula1>項目!C17:$TLI$589825</formula1>
    </dataValidation>
    <dataValidation type="list" allowBlank="1" showInputMessage="1" showErrorMessage="1" sqref="TVK589829:TVK589852">
      <formula1>項目!C17:$TVE$589825</formula1>
    </dataValidation>
    <dataValidation type="list" allowBlank="1" showInputMessage="1" showErrorMessage="1" sqref="UFG589829:UFG589852">
      <formula1>項目!C17:$UFA$589825</formula1>
    </dataValidation>
    <dataValidation type="list" allowBlank="1" showInputMessage="1" showErrorMessage="1" sqref="UPC589829:UPC589852">
      <formula1>項目!C17:$UOW$589825</formula1>
    </dataValidation>
    <dataValidation type="list" allowBlank="1" showInputMessage="1" showErrorMessage="1" sqref="UYY589829:UYY589852">
      <formula1>項目!C17:$UYS$589825</formula1>
    </dataValidation>
    <dataValidation type="list" allowBlank="1" showInputMessage="1" showErrorMessage="1" sqref="VIU589829:VIU589852">
      <formula1>項目!C17:$VIO$589825</formula1>
    </dataValidation>
    <dataValidation type="list" allowBlank="1" showInputMessage="1" showErrorMessage="1" sqref="VSQ589829:VSQ589852">
      <formula1>項目!C17:$VSK$589825</formula1>
    </dataValidation>
    <dataValidation type="list" allowBlank="1" showInputMessage="1" showErrorMessage="1" sqref="WCM589829:WCM589852">
      <formula1>項目!C17:$WCG$589825</formula1>
    </dataValidation>
    <dataValidation type="list" allowBlank="1" showInputMessage="1" showErrorMessage="1" sqref="WMI589829:WMI589852">
      <formula1>項目!C17:$WMC$589825</formula1>
    </dataValidation>
    <dataValidation type="list" allowBlank="1" showInputMessage="1" showErrorMessage="1" sqref="WWE589829:WWE589852">
      <formula1>項目!C17:$WVY$589825</formula1>
    </dataValidation>
    <dataValidation type="list" allowBlank="1" showInputMessage="1" showErrorMessage="1" sqref="W655365:W655388">
      <formula1>項目!C17:$Q$655361</formula1>
    </dataValidation>
    <dataValidation type="list" allowBlank="1" showInputMessage="1" showErrorMessage="1" sqref="JS655365:JS655388">
      <formula1>項目!C17:$JM$655361</formula1>
    </dataValidation>
    <dataValidation type="list" allowBlank="1" showInputMessage="1" showErrorMessage="1" sqref="TO655365:TO655388">
      <formula1>項目!C17:$TI$655361</formula1>
    </dataValidation>
    <dataValidation type="list" allowBlank="1" showInputMessage="1" showErrorMessage="1" sqref="ADK655365:ADK655388">
      <formula1>項目!C17:$ADE$655361</formula1>
    </dataValidation>
    <dataValidation type="list" allowBlank="1" showInputMessage="1" showErrorMessage="1" sqref="ANG655365:ANG655388">
      <formula1>項目!C17:$ANA$655361</formula1>
    </dataValidation>
    <dataValidation type="list" allowBlank="1" showInputMessage="1" showErrorMessage="1" sqref="AXC655365:AXC655388">
      <formula1>項目!C17:$AWW$655361</formula1>
    </dataValidation>
    <dataValidation type="list" allowBlank="1" showInputMessage="1" showErrorMessage="1" sqref="BGY655365:BGY655388">
      <formula1>項目!C17:$BGS$655361</formula1>
    </dataValidation>
    <dataValidation type="list" allowBlank="1" showInputMessage="1" showErrorMessage="1" sqref="BQU655365:BQU655388">
      <formula1>項目!C17:$BQO$655361</formula1>
    </dataValidation>
    <dataValidation type="list" allowBlank="1" showInputMessage="1" showErrorMessage="1" sqref="CAQ655365:CAQ655388">
      <formula1>項目!C17:$CAK$655361</formula1>
    </dataValidation>
    <dataValidation type="list" allowBlank="1" showInputMessage="1" showErrorMessage="1" sqref="CKM655365:CKM655388">
      <formula1>項目!C17:$CKG$655361</formula1>
    </dataValidation>
    <dataValidation type="list" allowBlank="1" showInputMessage="1" showErrorMessage="1" sqref="CUI655365:CUI655388">
      <formula1>項目!C17:$CUC$655361</formula1>
    </dataValidation>
    <dataValidation type="list" allowBlank="1" showInputMessage="1" showErrorMessage="1" sqref="DEE655365:DEE655388">
      <formula1>項目!C17:$DDY$655361</formula1>
    </dataValidation>
    <dataValidation type="list" allowBlank="1" showInputMessage="1" showErrorMessage="1" sqref="DOA655365:DOA655388">
      <formula1>項目!C17:$DNU$655361</formula1>
    </dataValidation>
    <dataValidation type="list" allowBlank="1" showInputMessage="1" showErrorMessage="1" sqref="DXW655365:DXW655388">
      <formula1>項目!C17:$DXQ$655361</formula1>
    </dataValidation>
    <dataValidation type="list" allowBlank="1" showInputMessage="1" showErrorMessage="1" sqref="EHS655365:EHS655388">
      <formula1>項目!C17:$EHM$655361</formula1>
    </dataValidation>
    <dataValidation type="list" allowBlank="1" showInputMessage="1" showErrorMessage="1" sqref="ERO655365:ERO655388">
      <formula1>項目!C17:$ERI$655361</formula1>
    </dataValidation>
    <dataValidation type="list" allowBlank="1" showInputMessage="1" showErrorMessage="1" sqref="FBK655365:FBK655388">
      <formula1>項目!C17:$FBE$655361</formula1>
    </dataValidation>
    <dataValidation type="list" allowBlank="1" showInputMessage="1" showErrorMessage="1" sqref="FLG655365:FLG655388">
      <formula1>項目!C17:$FLA$655361</formula1>
    </dataValidation>
    <dataValidation type="list" allowBlank="1" showInputMessage="1" showErrorMessage="1" sqref="FVC655365:FVC655388">
      <formula1>項目!C17:$FUW$655361</formula1>
    </dataValidation>
    <dataValidation type="list" allowBlank="1" showInputMessage="1" showErrorMessage="1" sqref="GEY655365:GEY655388">
      <formula1>項目!C17:$GES$655361</formula1>
    </dataValidation>
    <dataValidation type="list" allowBlank="1" showInputMessage="1" showErrorMessage="1" sqref="GOU655365:GOU655388">
      <formula1>項目!C17:$GOO$655361</formula1>
    </dataValidation>
    <dataValidation type="list" allowBlank="1" showInputMessage="1" showErrorMessage="1" sqref="GYQ655365:GYQ655388">
      <formula1>項目!C17:$GYK$655361</formula1>
    </dataValidation>
    <dataValidation type="list" allowBlank="1" showInputMessage="1" showErrorMessage="1" sqref="HIM655365:HIM655388">
      <formula1>項目!C17:$HIG$655361</formula1>
    </dataValidation>
    <dataValidation type="list" allowBlank="1" showInputMessage="1" showErrorMessage="1" sqref="HSI655365:HSI655388">
      <formula1>項目!C17:$HSC$655361</formula1>
    </dataValidation>
    <dataValidation type="list" allowBlank="1" showInputMessage="1" showErrorMessage="1" sqref="ICE655365:ICE655388">
      <formula1>項目!C17:$IBY$655361</formula1>
    </dataValidation>
    <dataValidation type="list" allowBlank="1" showInputMessage="1" showErrorMessage="1" sqref="IMA655365:IMA655388">
      <formula1>項目!C17:$ILU$655361</formula1>
    </dataValidation>
    <dataValidation type="list" allowBlank="1" showInputMessage="1" showErrorMessage="1" sqref="IVW655365:IVW655388">
      <formula1>項目!C17:$IVQ$655361</formula1>
    </dataValidation>
    <dataValidation type="list" allowBlank="1" showInputMessage="1" showErrorMessage="1" sqref="JFS655365:JFS655388">
      <formula1>項目!C17:$JFM$655361</formula1>
    </dataValidation>
    <dataValidation type="list" allowBlank="1" showInputMessage="1" showErrorMessage="1" sqref="JPO655365:JPO655388">
      <formula1>項目!C17:$JPI$655361</formula1>
    </dataValidation>
    <dataValidation type="list" allowBlank="1" showInputMessage="1" showErrorMessage="1" sqref="JZK655365:JZK655388">
      <formula1>項目!C17:$JZE$655361</formula1>
    </dataValidation>
    <dataValidation type="list" allowBlank="1" showInputMessage="1" showErrorMessage="1" sqref="KJG655365:KJG655388">
      <formula1>項目!C17:$KJA$655361</formula1>
    </dataValidation>
    <dataValidation type="list" allowBlank="1" showInputMessage="1" showErrorMessage="1" sqref="KTC655365:KTC655388">
      <formula1>項目!C17:$KSW$655361</formula1>
    </dataValidation>
    <dataValidation type="list" allowBlank="1" showInputMessage="1" showErrorMessage="1" sqref="LCY655365:LCY655388">
      <formula1>項目!C17:$LCS$655361</formula1>
    </dataValidation>
    <dataValidation type="list" allowBlank="1" showInputMessage="1" showErrorMessage="1" sqref="LMU655365:LMU655388">
      <formula1>項目!C17:$LMO$655361</formula1>
    </dataValidation>
    <dataValidation type="list" allowBlank="1" showInputMessage="1" showErrorMessage="1" sqref="LWQ655365:LWQ655388">
      <formula1>項目!C17:$LWK$655361</formula1>
    </dataValidation>
    <dataValidation type="list" allowBlank="1" showInputMessage="1" showErrorMessage="1" sqref="MGM655365:MGM655388">
      <formula1>項目!C17:$MGG$655361</formula1>
    </dataValidation>
    <dataValidation type="list" allowBlank="1" showInputMessage="1" showErrorMessage="1" sqref="MQI655365:MQI655388">
      <formula1>項目!C17:$MQC$655361</formula1>
    </dataValidation>
    <dataValidation type="list" allowBlank="1" showInputMessage="1" showErrorMessage="1" sqref="NAE655365:NAE655388">
      <formula1>項目!C17:$MZY$655361</formula1>
    </dataValidation>
    <dataValidation type="list" allowBlank="1" showInputMessage="1" showErrorMessage="1" sqref="NKA655365:NKA655388">
      <formula1>項目!C17:$NJU$655361</formula1>
    </dataValidation>
    <dataValidation type="list" allowBlank="1" showInputMessage="1" showErrorMessage="1" sqref="NTW655365:NTW655388">
      <formula1>項目!C17:$NTQ$655361</formula1>
    </dataValidation>
    <dataValidation type="list" allowBlank="1" showInputMessage="1" showErrorMessage="1" sqref="ODS655365:ODS655388">
      <formula1>項目!C17:$ODM$655361</formula1>
    </dataValidation>
    <dataValidation type="list" allowBlank="1" showInputMessage="1" showErrorMessage="1" sqref="ONO655365:ONO655388">
      <formula1>項目!C17:$ONI$655361</formula1>
    </dataValidation>
    <dataValidation type="list" allowBlank="1" showInputMessage="1" showErrorMessage="1" sqref="OXK655365:OXK655388">
      <formula1>項目!C17:$OXE$655361</formula1>
    </dataValidation>
    <dataValidation type="list" allowBlank="1" showInputMessage="1" showErrorMessage="1" sqref="PHG655365:PHG655388">
      <formula1>項目!C17:$PHA$655361</formula1>
    </dataValidation>
    <dataValidation type="list" allowBlank="1" showInputMessage="1" showErrorMessage="1" sqref="PRC655365:PRC655388">
      <formula1>項目!C17:$PQW$655361</formula1>
    </dataValidation>
    <dataValidation type="list" allowBlank="1" showInputMessage="1" showErrorMessage="1" sqref="QAY655365:QAY655388">
      <formula1>項目!C17:$QAS$655361</formula1>
    </dataValidation>
    <dataValidation type="list" allowBlank="1" showInputMessage="1" showErrorMessage="1" sqref="QKU655365:QKU655388">
      <formula1>項目!C17:$QKO$655361</formula1>
    </dataValidation>
    <dataValidation type="list" allowBlank="1" showInputMessage="1" showErrorMessage="1" sqref="QUQ655365:QUQ655388">
      <formula1>項目!C17:$QUK$655361</formula1>
    </dataValidation>
    <dataValidation type="list" allowBlank="1" showInputMessage="1" showErrorMessage="1" sqref="REM655365:REM655388">
      <formula1>項目!C17:$REG$655361</formula1>
    </dataValidation>
    <dataValidation type="list" allowBlank="1" showInputMessage="1" showErrorMessage="1" sqref="ROI655365:ROI655388">
      <formula1>項目!C17:$ROC$655361</formula1>
    </dataValidation>
    <dataValidation type="list" allowBlank="1" showInputMessage="1" showErrorMessage="1" sqref="RYE655365:RYE655388">
      <formula1>項目!C17:$RXY$655361</formula1>
    </dataValidation>
    <dataValidation type="list" allowBlank="1" showInputMessage="1" showErrorMessage="1" sqref="SIA655365:SIA655388">
      <formula1>項目!C17:$SHU$655361</formula1>
    </dataValidation>
    <dataValidation type="list" allowBlank="1" showInputMessage="1" showErrorMessage="1" sqref="SRW655365:SRW655388">
      <formula1>項目!C17:$SRQ$655361</formula1>
    </dataValidation>
    <dataValidation type="list" allowBlank="1" showInputMessage="1" showErrorMessage="1" sqref="TBS655365:TBS655388">
      <formula1>項目!C17:$TBM$655361</formula1>
    </dataValidation>
    <dataValidation type="list" allowBlank="1" showInputMessage="1" showErrorMessage="1" sqref="TLO655365:TLO655388">
      <formula1>項目!C17:$TLI$655361</formula1>
    </dataValidation>
    <dataValidation type="list" allowBlank="1" showInputMessage="1" showErrorMessage="1" sqref="TVK655365:TVK655388">
      <formula1>項目!C17:$TVE$655361</formula1>
    </dataValidation>
    <dataValidation type="list" allowBlank="1" showInputMessage="1" showErrorMessage="1" sqref="UFG655365:UFG655388">
      <formula1>項目!C17:$UFA$655361</formula1>
    </dataValidation>
    <dataValidation type="list" allowBlank="1" showInputMessage="1" showErrorMessage="1" sqref="UPC655365:UPC655388">
      <formula1>項目!C17:$UOW$655361</formula1>
    </dataValidation>
    <dataValidation type="list" allowBlank="1" showInputMessage="1" showErrorMessage="1" sqref="UYY655365:UYY655388">
      <formula1>項目!C17:$UYS$655361</formula1>
    </dataValidation>
    <dataValidation type="list" allowBlank="1" showInputMessage="1" showErrorMessage="1" sqref="VIU655365:VIU655388">
      <formula1>項目!C17:$VIO$655361</formula1>
    </dataValidation>
    <dataValidation type="list" allowBlank="1" showInputMessage="1" showErrorMessage="1" sqref="VSQ655365:VSQ655388">
      <formula1>項目!C17:$VSK$655361</formula1>
    </dataValidation>
    <dataValidation type="list" allowBlank="1" showInputMessage="1" showErrorMessage="1" sqref="WCM655365:WCM655388">
      <formula1>項目!C17:$WCG$655361</formula1>
    </dataValidation>
    <dataValidation type="list" allowBlank="1" showInputMessage="1" showErrorMessage="1" sqref="WMI655365:WMI655388">
      <formula1>項目!C17:$WMC$655361</formula1>
    </dataValidation>
    <dataValidation type="list" allowBlank="1" showInputMessage="1" showErrorMessage="1" sqref="WWE655365:WWE655388">
      <formula1>項目!C17:$WVY$655361</formula1>
    </dataValidation>
    <dataValidation type="list" allowBlank="1" showInputMessage="1" showErrorMessage="1" sqref="W720901:W720924">
      <formula1>項目!C17:$Q$720897</formula1>
    </dataValidation>
    <dataValidation type="list" allowBlank="1" showInputMessage="1" showErrorMessage="1" sqref="JS720901:JS720924">
      <formula1>項目!C17:$JM$720897</formula1>
    </dataValidation>
    <dataValidation type="list" allowBlank="1" showInputMessage="1" showErrorMessage="1" sqref="TO720901:TO720924">
      <formula1>項目!C17:$TI$720897</formula1>
    </dataValidation>
    <dataValidation type="list" allowBlank="1" showInputMessage="1" showErrorMessage="1" sqref="ADK720901:ADK720924">
      <formula1>項目!C17:$ADE$720897</formula1>
    </dataValidation>
    <dataValidation type="list" allowBlank="1" showInputMessage="1" showErrorMessage="1" sqref="ANG720901:ANG720924">
      <formula1>項目!C17:$ANA$720897</formula1>
    </dataValidation>
    <dataValidation type="list" allowBlank="1" showInputMessage="1" showErrorMessage="1" sqref="AXC720901:AXC720924">
      <formula1>項目!C17:$AWW$720897</formula1>
    </dataValidation>
    <dataValidation type="list" allowBlank="1" showInputMessage="1" showErrorMessage="1" sqref="BGY720901:BGY720924">
      <formula1>項目!C17:$BGS$720897</formula1>
    </dataValidation>
    <dataValidation type="list" allowBlank="1" showInputMessage="1" showErrorMessage="1" sqref="BQU720901:BQU720924">
      <formula1>項目!C17:$BQO$720897</formula1>
    </dataValidation>
    <dataValidation type="list" allowBlank="1" showInputMessage="1" showErrorMessage="1" sqref="CAQ720901:CAQ720924">
      <formula1>項目!C17:$CAK$720897</formula1>
    </dataValidation>
    <dataValidation type="list" allowBlank="1" showInputMessage="1" showErrorMessage="1" sqref="CKM720901:CKM720924">
      <formula1>項目!C17:$CKG$720897</formula1>
    </dataValidation>
    <dataValidation type="list" allowBlank="1" showInputMessage="1" showErrorMessage="1" sqref="CUI720901:CUI720924">
      <formula1>項目!C17:$CUC$720897</formula1>
    </dataValidation>
    <dataValidation type="list" allowBlank="1" showInputMessage="1" showErrorMessage="1" sqref="DEE720901:DEE720924">
      <formula1>項目!C17:$DDY$720897</formula1>
    </dataValidation>
    <dataValidation type="list" allowBlank="1" showInputMessage="1" showErrorMessage="1" sqref="DOA720901:DOA720924">
      <formula1>項目!C17:$DNU$720897</formula1>
    </dataValidation>
    <dataValidation type="list" allowBlank="1" showInputMessage="1" showErrorMessage="1" sqref="DXW720901:DXW720924">
      <formula1>項目!C17:$DXQ$720897</formula1>
    </dataValidation>
    <dataValidation type="list" allowBlank="1" showInputMessage="1" showErrorMessage="1" sqref="EHS720901:EHS720924">
      <formula1>項目!C17:$EHM$720897</formula1>
    </dataValidation>
    <dataValidation type="list" allowBlank="1" showInputMessage="1" showErrorMessage="1" sqref="ERO720901:ERO720924">
      <formula1>項目!C17:$ERI$720897</formula1>
    </dataValidation>
    <dataValidation type="list" allowBlank="1" showInputMessage="1" showErrorMessage="1" sqref="FBK720901:FBK720924">
      <formula1>項目!C17:$FBE$720897</formula1>
    </dataValidation>
    <dataValidation type="list" allowBlank="1" showInputMessage="1" showErrorMessage="1" sqref="FLG720901:FLG720924">
      <formula1>項目!C17:$FLA$720897</formula1>
    </dataValidation>
    <dataValidation type="list" allowBlank="1" showInputMessage="1" showErrorMessage="1" sqref="FVC720901:FVC720924">
      <formula1>項目!C17:$FUW$720897</formula1>
    </dataValidation>
    <dataValidation type="list" allowBlank="1" showInputMessage="1" showErrorMessage="1" sqref="GEY720901:GEY720924">
      <formula1>項目!C17:$GES$720897</formula1>
    </dataValidation>
    <dataValidation type="list" allowBlank="1" showInputMessage="1" showErrorMessage="1" sqref="GOU720901:GOU720924">
      <formula1>項目!C17:$GOO$720897</formula1>
    </dataValidation>
    <dataValidation type="list" allowBlank="1" showInputMessage="1" showErrorMessage="1" sqref="GYQ720901:GYQ720924">
      <formula1>項目!C17:$GYK$720897</formula1>
    </dataValidation>
    <dataValidation type="list" allowBlank="1" showInputMessage="1" showErrorMessage="1" sqref="HIM720901:HIM720924">
      <formula1>項目!C17:$HIG$720897</formula1>
    </dataValidation>
    <dataValidation type="list" allowBlank="1" showInputMessage="1" showErrorMessage="1" sqref="HSI720901:HSI720924">
      <formula1>項目!C17:$HSC$720897</formula1>
    </dataValidation>
    <dataValidation type="list" allowBlank="1" showInputMessage="1" showErrorMessage="1" sqref="ICE720901:ICE720924">
      <formula1>項目!C17:$IBY$720897</formula1>
    </dataValidation>
    <dataValidation type="list" allowBlank="1" showInputMessage="1" showErrorMessage="1" sqref="IMA720901:IMA720924">
      <formula1>項目!C17:$ILU$720897</formula1>
    </dataValidation>
    <dataValidation type="list" allowBlank="1" showInputMessage="1" showErrorMessage="1" sqref="IVW720901:IVW720924">
      <formula1>項目!C17:$IVQ$720897</formula1>
    </dataValidation>
    <dataValidation type="list" allowBlank="1" showInputMessage="1" showErrorMessage="1" sqref="JFS720901:JFS720924">
      <formula1>項目!C17:$JFM$720897</formula1>
    </dataValidation>
    <dataValidation type="list" allowBlank="1" showInputMessage="1" showErrorMessage="1" sqref="JPO720901:JPO720924">
      <formula1>項目!C17:$JPI$720897</formula1>
    </dataValidation>
    <dataValidation type="list" allowBlank="1" showInputMessage="1" showErrorMessage="1" sqref="JZK720901:JZK720924">
      <formula1>項目!C17:$JZE$720897</formula1>
    </dataValidation>
    <dataValidation type="list" allowBlank="1" showInputMessage="1" showErrorMessage="1" sqref="KJG720901:KJG720924">
      <formula1>項目!C17:$KJA$720897</formula1>
    </dataValidation>
    <dataValidation type="list" allowBlank="1" showInputMessage="1" showErrorMessage="1" sqref="KTC720901:KTC720924">
      <formula1>項目!C17:$KSW$720897</formula1>
    </dataValidation>
    <dataValidation type="list" allowBlank="1" showInputMessage="1" showErrorMessage="1" sqref="LCY720901:LCY720924">
      <formula1>項目!C17:$LCS$720897</formula1>
    </dataValidation>
    <dataValidation type="list" allowBlank="1" showInputMessage="1" showErrorMessage="1" sqref="LMU720901:LMU720924">
      <formula1>項目!C17:$LMO$720897</formula1>
    </dataValidation>
    <dataValidation type="list" allowBlank="1" showInputMessage="1" showErrorMessage="1" sqref="LWQ720901:LWQ720924">
      <formula1>項目!C17:$LWK$720897</formula1>
    </dataValidation>
    <dataValidation type="list" allowBlank="1" showInputMessage="1" showErrorMessage="1" sqref="MGM720901:MGM720924">
      <formula1>項目!C17:$MGG$720897</formula1>
    </dataValidation>
    <dataValidation type="list" allowBlank="1" showInputMessage="1" showErrorMessage="1" sqref="MQI720901:MQI720924">
      <formula1>項目!C17:$MQC$720897</formula1>
    </dataValidation>
    <dataValidation type="list" allowBlank="1" showInputMessage="1" showErrorMessage="1" sqref="NAE720901:NAE720924">
      <formula1>項目!C17:$MZY$720897</formula1>
    </dataValidation>
    <dataValidation type="list" allowBlank="1" showInputMessage="1" showErrorMessage="1" sqref="NKA720901:NKA720924">
      <formula1>項目!C17:$NJU$720897</formula1>
    </dataValidation>
    <dataValidation type="list" allowBlank="1" showInputMessage="1" showErrorMessage="1" sqref="NTW720901:NTW720924">
      <formula1>項目!C17:$NTQ$720897</formula1>
    </dataValidation>
    <dataValidation type="list" allowBlank="1" showInputMessage="1" showErrorMessage="1" sqref="ODS720901:ODS720924">
      <formula1>項目!C17:$ODM$720897</formula1>
    </dataValidation>
    <dataValidation type="list" allowBlank="1" showInputMessage="1" showErrorMessage="1" sqref="ONO720901:ONO720924">
      <formula1>項目!C17:$ONI$720897</formula1>
    </dataValidation>
    <dataValidation type="list" allowBlank="1" showInputMessage="1" showErrorMessage="1" sqref="OXK720901:OXK720924">
      <formula1>項目!C17:$OXE$720897</formula1>
    </dataValidation>
    <dataValidation type="list" allowBlank="1" showInputMessage="1" showErrorMessage="1" sqref="PHG720901:PHG720924">
      <formula1>項目!C17:$PHA$720897</formula1>
    </dataValidation>
    <dataValidation type="list" allowBlank="1" showInputMessage="1" showErrorMessage="1" sqref="PRC720901:PRC720924">
      <formula1>項目!C17:$PQW$720897</formula1>
    </dataValidation>
    <dataValidation type="list" allowBlank="1" showInputMessage="1" showErrorMessage="1" sqref="QAY720901:QAY720924">
      <formula1>項目!C17:$QAS$720897</formula1>
    </dataValidation>
    <dataValidation type="list" allowBlank="1" showInputMessage="1" showErrorMessage="1" sqref="QKU720901:QKU720924">
      <formula1>項目!C17:$QKO$720897</formula1>
    </dataValidation>
    <dataValidation type="list" allowBlank="1" showInputMessage="1" showErrorMessage="1" sqref="QUQ720901:QUQ720924">
      <formula1>項目!C17:$QUK$720897</formula1>
    </dataValidation>
    <dataValidation type="list" allowBlank="1" showInputMessage="1" showErrorMessage="1" sqref="REM720901:REM720924">
      <formula1>項目!C17:$REG$720897</formula1>
    </dataValidation>
    <dataValidation type="list" allowBlank="1" showInputMessage="1" showErrorMessage="1" sqref="ROI720901:ROI720924">
      <formula1>項目!C17:$ROC$720897</formula1>
    </dataValidation>
    <dataValidation type="list" allowBlank="1" showInputMessage="1" showErrorMessage="1" sqref="RYE720901:RYE720924">
      <formula1>項目!C17:$RXY$720897</formula1>
    </dataValidation>
    <dataValidation type="list" allowBlank="1" showInputMessage="1" showErrorMessage="1" sqref="SIA720901:SIA720924">
      <formula1>項目!C17:$SHU$720897</formula1>
    </dataValidation>
    <dataValidation type="list" allowBlank="1" showInputMessage="1" showErrorMessage="1" sqref="SRW720901:SRW720924">
      <formula1>項目!C17:$SRQ$720897</formula1>
    </dataValidation>
    <dataValidation type="list" allowBlank="1" showInputMessage="1" showErrorMessage="1" sqref="TBS720901:TBS720924">
      <formula1>項目!C17:$TBM$720897</formula1>
    </dataValidation>
    <dataValidation type="list" allowBlank="1" showInputMessage="1" showErrorMessage="1" sqref="TLO720901:TLO720924">
      <formula1>項目!C17:$TLI$720897</formula1>
    </dataValidation>
    <dataValidation type="list" allowBlank="1" showInputMessage="1" showErrorMessage="1" sqref="TVK720901:TVK720924">
      <formula1>項目!C17:$TVE$720897</formula1>
    </dataValidation>
    <dataValidation type="list" allowBlank="1" showInputMessage="1" showErrorMessage="1" sqref="UFG720901:UFG720924">
      <formula1>項目!C17:$UFA$720897</formula1>
    </dataValidation>
    <dataValidation type="list" allowBlank="1" showInputMessage="1" showErrorMessage="1" sqref="UPC720901:UPC720924">
      <formula1>項目!C17:$UOW$720897</formula1>
    </dataValidation>
    <dataValidation type="list" allowBlank="1" showInputMessage="1" showErrorMessage="1" sqref="UYY720901:UYY720924">
      <formula1>項目!C17:$UYS$720897</formula1>
    </dataValidation>
    <dataValidation type="list" allowBlank="1" showInputMessage="1" showErrorMessage="1" sqref="VIU720901:VIU720924">
      <formula1>項目!C17:$VIO$720897</formula1>
    </dataValidation>
    <dataValidation type="list" allowBlank="1" showInputMessage="1" showErrorMessage="1" sqref="VSQ720901:VSQ720924">
      <formula1>項目!C17:$VSK$720897</formula1>
    </dataValidation>
    <dataValidation type="list" allowBlank="1" showInputMessage="1" showErrorMessage="1" sqref="WCM720901:WCM720924">
      <formula1>項目!C17:$WCG$720897</formula1>
    </dataValidation>
    <dataValidation type="list" allowBlank="1" showInputMessage="1" showErrorMessage="1" sqref="WMI720901:WMI720924">
      <formula1>項目!C17:$WMC$720897</formula1>
    </dataValidation>
    <dataValidation type="list" allowBlank="1" showInputMessage="1" showErrorMessage="1" sqref="WWE720901:WWE720924">
      <formula1>項目!C17:$WVY$720897</formula1>
    </dataValidation>
    <dataValidation type="list" allowBlank="1" showInputMessage="1" showErrorMessage="1" sqref="W786437:W786460">
      <formula1>項目!C17:$Q$786433</formula1>
    </dataValidation>
    <dataValidation type="list" allowBlank="1" showInputMessage="1" showErrorMessage="1" sqref="JS786437:JS786460">
      <formula1>項目!C17:$JM$786433</formula1>
    </dataValidation>
    <dataValidation type="list" allowBlank="1" showInputMessage="1" showErrorMessage="1" sqref="TO786437:TO786460">
      <formula1>項目!C17:$TI$786433</formula1>
    </dataValidation>
    <dataValidation type="list" allowBlank="1" showInputMessage="1" showErrorMessage="1" sqref="ADK786437:ADK786460">
      <formula1>項目!C17:$ADE$786433</formula1>
    </dataValidation>
    <dataValidation type="list" allowBlank="1" showInputMessage="1" showErrorMessage="1" sqref="ANG786437:ANG786460">
      <formula1>項目!C17:$ANA$786433</formula1>
    </dataValidation>
    <dataValidation type="list" allowBlank="1" showInputMessage="1" showErrorMessage="1" sqref="AXC786437:AXC786460">
      <formula1>項目!C17:$AWW$786433</formula1>
    </dataValidation>
    <dataValidation type="list" allowBlank="1" showInputMessage="1" showErrorMessage="1" sqref="BGY786437:BGY786460">
      <formula1>項目!C17:$BGS$786433</formula1>
    </dataValidation>
    <dataValidation type="list" allowBlank="1" showInputMessage="1" showErrorMessage="1" sqref="BQU786437:BQU786460">
      <formula1>項目!C17:$BQO$786433</formula1>
    </dataValidation>
    <dataValidation type="list" allowBlank="1" showInputMessage="1" showErrorMessage="1" sqref="CAQ786437:CAQ786460">
      <formula1>項目!C17:$CAK$786433</formula1>
    </dataValidation>
    <dataValidation type="list" allowBlank="1" showInputMessage="1" showErrorMessage="1" sqref="CKM786437:CKM786460">
      <formula1>項目!C17:$CKG$786433</formula1>
    </dataValidation>
    <dataValidation type="list" allowBlank="1" showInputMessage="1" showErrorMessage="1" sqref="CUI786437:CUI786460">
      <formula1>項目!C17:$CUC$786433</formula1>
    </dataValidation>
    <dataValidation type="list" allowBlank="1" showInputMessage="1" showErrorMessage="1" sqref="DEE786437:DEE786460">
      <formula1>項目!C17:$DDY$786433</formula1>
    </dataValidation>
    <dataValidation type="list" allowBlank="1" showInputMessage="1" showErrorMessage="1" sqref="DOA786437:DOA786460">
      <formula1>項目!C17:$DNU$786433</formula1>
    </dataValidation>
    <dataValidation type="list" allowBlank="1" showInputMessage="1" showErrorMessage="1" sqref="DXW786437:DXW786460">
      <formula1>項目!C17:$DXQ$786433</formula1>
    </dataValidation>
    <dataValidation type="list" allowBlank="1" showInputMessage="1" showErrorMessage="1" sqref="EHS786437:EHS786460">
      <formula1>項目!C17:$EHM$786433</formula1>
    </dataValidation>
    <dataValidation type="list" allowBlank="1" showInputMessage="1" showErrorMessage="1" sqref="ERO786437:ERO786460">
      <formula1>項目!C17:$ERI$786433</formula1>
    </dataValidation>
    <dataValidation type="list" allowBlank="1" showInputMessage="1" showErrorMessage="1" sqref="FBK786437:FBK786460">
      <formula1>項目!C17:$FBE$786433</formula1>
    </dataValidation>
    <dataValidation type="list" allowBlank="1" showInputMessage="1" showErrorMessage="1" sqref="FLG786437:FLG786460">
      <formula1>項目!C17:$FLA$786433</formula1>
    </dataValidation>
    <dataValidation type="list" allowBlank="1" showInputMessage="1" showErrorMessage="1" sqref="FVC786437:FVC786460">
      <formula1>項目!C17:$FUW$786433</formula1>
    </dataValidation>
    <dataValidation type="list" allowBlank="1" showInputMessage="1" showErrorMessage="1" sqref="GEY786437:GEY786460">
      <formula1>項目!C17:$GES$786433</formula1>
    </dataValidation>
    <dataValidation type="list" allowBlank="1" showInputMessage="1" showErrorMessage="1" sqref="GOU786437:GOU786460">
      <formula1>項目!C17:$GOO$786433</formula1>
    </dataValidation>
    <dataValidation type="list" allowBlank="1" showInputMessage="1" showErrorMessage="1" sqref="GYQ786437:GYQ786460">
      <formula1>項目!C17:$GYK$786433</formula1>
    </dataValidation>
    <dataValidation type="list" allowBlank="1" showInputMessage="1" showErrorMessage="1" sqref="HIM786437:HIM786460">
      <formula1>項目!C17:$HIG$786433</formula1>
    </dataValidation>
    <dataValidation type="list" allowBlank="1" showInputMessage="1" showErrorMessage="1" sqref="HSI786437:HSI786460">
      <formula1>項目!C17:$HSC$786433</formula1>
    </dataValidation>
    <dataValidation type="list" allowBlank="1" showInputMessage="1" showErrorMessage="1" sqref="ICE786437:ICE786460">
      <formula1>項目!C17:$IBY$786433</formula1>
    </dataValidation>
    <dataValidation type="list" allowBlank="1" showInputMessage="1" showErrorMessage="1" sqref="IMA786437:IMA786460">
      <formula1>項目!C17:$ILU$786433</formula1>
    </dataValidation>
    <dataValidation type="list" allowBlank="1" showInputMessage="1" showErrorMessage="1" sqref="IVW786437:IVW786460">
      <formula1>項目!C17:$IVQ$786433</formula1>
    </dataValidation>
    <dataValidation type="list" allowBlank="1" showInputMessage="1" showErrorMessage="1" sqref="JFS786437:JFS786460">
      <formula1>項目!C17:$JFM$786433</formula1>
    </dataValidation>
    <dataValidation type="list" allowBlank="1" showInputMessage="1" showErrorMessage="1" sqref="JPO786437:JPO786460">
      <formula1>項目!C17:$JPI$786433</formula1>
    </dataValidation>
    <dataValidation type="list" allowBlank="1" showInputMessage="1" showErrorMessage="1" sqref="JZK786437:JZK786460">
      <formula1>項目!C17:$JZE$786433</formula1>
    </dataValidation>
    <dataValidation type="list" allowBlank="1" showInputMessage="1" showErrorMessage="1" sqref="KJG786437:KJG786460">
      <formula1>項目!C17:$KJA$786433</formula1>
    </dataValidation>
    <dataValidation type="list" allowBlank="1" showInputMessage="1" showErrorMessage="1" sqref="KTC786437:KTC786460">
      <formula1>項目!C17:$KSW$786433</formula1>
    </dataValidation>
    <dataValidation type="list" allowBlank="1" showInputMessage="1" showErrorMessage="1" sqref="LCY786437:LCY786460">
      <formula1>項目!C17:$LCS$786433</formula1>
    </dataValidation>
    <dataValidation type="list" allowBlank="1" showInputMessage="1" showErrorMessage="1" sqref="LMU786437:LMU786460">
      <formula1>項目!C17:$LMO$786433</formula1>
    </dataValidation>
    <dataValidation type="list" allowBlank="1" showInputMessage="1" showErrorMessage="1" sqref="LWQ786437:LWQ786460">
      <formula1>項目!C17:$LWK$786433</formula1>
    </dataValidation>
    <dataValidation type="list" allowBlank="1" showInputMessage="1" showErrorMessage="1" sqref="MGM786437:MGM786460">
      <formula1>項目!C17:$MGG$786433</formula1>
    </dataValidation>
    <dataValidation type="list" allowBlank="1" showInputMessage="1" showErrorMessage="1" sqref="MQI786437:MQI786460">
      <formula1>項目!C17:$MQC$786433</formula1>
    </dataValidation>
    <dataValidation type="list" allowBlank="1" showInputMessage="1" showErrorMessage="1" sqref="NAE786437:NAE786460">
      <formula1>項目!C17:$MZY$786433</formula1>
    </dataValidation>
    <dataValidation type="list" allowBlank="1" showInputMessage="1" showErrorMessage="1" sqref="NKA786437:NKA786460">
      <formula1>項目!C17:$NJU$786433</formula1>
    </dataValidation>
    <dataValidation type="list" allowBlank="1" showInputMessage="1" showErrorMessage="1" sqref="NTW786437:NTW786460">
      <formula1>項目!C17:$NTQ$786433</formula1>
    </dataValidation>
    <dataValidation type="list" allowBlank="1" showInputMessage="1" showErrorMessage="1" sqref="ODS786437:ODS786460">
      <formula1>項目!C17:$ODM$786433</formula1>
    </dataValidation>
    <dataValidation type="list" allowBlank="1" showInputMessage="1" showErrorMessage="1" sqref="ONO786437:ONO786460">
      <formula1>項目!C17:$ONI$786433</formula1>
    </dataValidation>
    <dataValidation type="list" allowBlank="1" showInputMessage="1" showErrorMessage="1" sqref="OXK786437:OXK786460">
      <formula1>項目!C17:$OXE$786433</formula1>
    </dataValidation>
    <dataValidation type="list" allowBlank="1" showInputMessage="1" showErrorMessage="1" sqref="PHG786437:PHG786460">
      <formula1>項目!C17:$PHA$786433</formula1>
    </dataValidation>
    <dataValidation type="list" allowBlank="1" showInputMessage="1" showErrorMessage="1" sqref="PRC786437:PRC786460">
      <formula1>項目!C17:$PQW$786433</formula1>
    </dataValidation>
    <dataValidation type="list" allowBlank="1" showInputMessage="1" showErrorMessage="1" sqref="QAY786437:QAY786460">
      <formula1>項目!C17:$QAS$786433</formula1>
    </dataValidation>
    <dataValidation type="list" allowBlank="1" showInputMessage="1" showErrorMessage="1" sqref="QKU786437:QKU786460">
      <formula1>項目!C17:$QKO$786433</formula1>
    </dataValidation>
    <dataValidation type="list" allowBlank="1" showInputMessage="1" showErrorMessage="1" sqref="QUQ786437:QUQ786460">
      <formula1>項目!C17:$QUK$786433</formula1>
    </dataValidation>
    <dataValidation type="list" allowBlank="1" showInputMessage="1" showErrorMessage="1" sqref="REM786437:REM786460">
      <formula1>項目!C17:$REG$786433</formula1>
    </dataValidation>
    <dataValidation type="list" allowBlank="1" showInputMessage="1" showErrorMessage="1" sqref="ROI786437:ROI786460">
      <formula1>項目!C17:$ROC$786433</formula1>
    </dataValidation>
    <dataValidation type="list" allowBlank="1" showInputMessage="1" showErrorMessage="1" sqref="RYE786437:RYE786460">
      <formula1>項目!C17:$RXY$786433</formula1>
    </dataValidation>
    <dataValidation type="list" allowBlank="1" showInputMessage="1" showErrorMessage="1" sqref="SIA786437:SIA786460">
      <formula1>項目!C17:$SHU$786433</formula1>
    </dataValidation>
    <dataValidation type="list" allowBlank="1" showInputMessage="1" showErrorMessage="1" sqref="SRW786437:SRW786460">
      <formula1>項目!C17:$SRQ$786433</formula1>
    </dataValidation>
    <dataValidation type="list" allowBlank="1" showInputMessage="1" showErrorMessage="1" sqref="TBS786437:TBS786460">
      <formula1>項目!C17:$TBM$786433</formula1>
    </dataValidation>
    <dataValidation type="list" allowBlank="1" showInputMessage="1" showErrorMessage="1" sqref="TLO786437:TLO786460">
      <formula1>項目!C17:$TLI$786433</formula1>
    </dataValidation>
    <dataValidation type="list" allowBlank="1" showInputMessage="1" showErrorMessage="1" sqref="TVK786437:TVK786460">
      <formula1>項目!C17:$TVE$786433</formula1>
    </dataValidation>
    <dataValidation type="list" allowBlank="1" showInputMessage="1" showErrorMessage="1" sqref="UFG786437:UFG786460">
      <formula1>項目!C17:$UFA$786433</formula1>
    </dataValidation>
    <dataValidation type="list" allowBlank="1" showInputMessage="1" showErrorMessage="1" sqref="UPC786437:UPC786460">
      <formula1>項目!C17:$UOW$786433</formula1>
    </dataValidation>
    <dataValidation type="list" allowBlank="1" showInputMessage="1" showErrorMessage="1" sqref="UYY786437:UYY786460">
      <formula1>項目!C17:$UYS$786433</formula1>
    </dataValidation>
    <dataValidation type="list" allowBlank="1" showInputMessage="1" showErrorMessage="1" sqref="VIU786437:VIU786460">
      <formula1>項目!C17:$VIO$786433</formula1>
    </dataValidation>
    <dataValidation type="list" allowBlank="1" showInputMessage="1" showErrorMessage="1" sqref="VSQ786437:VSQ786460">
      <formula1>項目!C17:$VSK$786433</formula1>
    </dataValidation>
    <dataValidation type="list" allowBlank="1" showInputMessage="1" showErrorMessage="1" sqref="WCM786437:WCM786460">
      <formula1>項目!C17:$WCG$786433</formula1>
    </dataValidation>
    <dataValidation type="list" allowBlank="1" showInputMessage="1" showErrorMessage="1" sqref="WMI786437:WMI786460">
      <formula1>項目!C17:$WMC$786433</formula1>
    </dataValidation>
    <dataValidation type="list" allowBlank="1" showInputMessage="1" showErrorMessage="1" sqref="WWE786437:WWE786460">
      <formula1>項目!C17:$WVY$786433</formula1>
    </dataValidation>
    <dataValidation type="list" allowBlank="1" showInputMessage="1" showErrorMessage="1" sqref="W851973:W851996">
      <formula1>項目!C17:$Q$851969</formula1>
    </dataValidation>
    <dataValidation type="list" allowBlank="1" showInputMessage="1" showErrorMessage="1" sqref="JS851973:JS851996">
      <formula1>項目!C17:$JM$851969</formula1>
    </dataValidation>
    <dataValidation type="list" allowBlank="1" showInputMessage="1" showErrorMessage="1" sqref="TO851973:TO851996">
      <formula1>項目!C17:$TI$851969</formula1>
    </dataValidation>
    <dataValidation type="list" allowBlank="1" showInputMessage="1" showErrorMessage="1" sqref="ADK851973:ADK851996">
      <formula1>項目!C17:$ADE$851969</formula1>
    </dataValidation>
    <dataValidation type="list" allowBlank="1" showInputMessage="1" showErrorMessage="1" sqref="ANG851973:ANG851996">
      <formula1>項目!C17:$ANA$851969</formula1>
    </dataValidation>
    <dataValidation type="list" allowBlank="1" showInputMessage="1" showErrorMessage="1" sqref="AXC851973:AXC851996">
      <formula1>項目!C17:$AWW$851969</formula1>
    </dataValidation>
    <dataValidation type="list" allowBlank="1" showInputMessage="1" showErrorMessage="1" sqref="BGY851973:BGY851996">
      <formula1>項目!C17:$BGS$851969</formula1>
    </dataValidation>
    <dataValidation type="list" allowBlank="1" showInputMessage="1" showErrorMessage="1" sqref="BQU851973:BQU851996">
      <formula1>項目!C17:$BQO$851969</formula1>
    </dataValidation>
    <dataValidation type="list" allowBlank="1" showInputMessage="1" showErrorMessage="1" sqref="CAQ851973:CAQ851996">
      <formula1>項目!C17:$CAK$851969</formula1>
    </dataValidation>
    <dataValidation type="list" allowBlank="1" showInputMessage="1" showErrorMessage="1" sqref="CKM851973:CKM851996">
      <formula1>項目!C17:$CKG$851969</formula1>
    </dataValidation>
    <dataValidation type="list" allowBlank="1" showInputMessage="1" showErrorMessage="1" sqref="CUI851973:CUI851996">
      <formula1>項目!C17:$CUC$851969</formula1>
    </dataValidation>
    <dataValidation type="list" allowBlank="1" showInputMessage="1" showErrorMessage="1" sqref="DEE851973:DEE851996">
      <formula1>項目!C17:$DDY$851969</formula1>
    </dataValidation>
    <dataValidation type="list" allowBlank="1" showInputMessage="1" showErrorMessage="1" sqref="DOA851973:DOA851996">
      <formula1>項目!C17:$DNU$851969</formula1>
    </dataValidation>
    <dataValidation type="list" allowBlank="1" showInputMessage="1" showErrorMessage="1" sqref="DXW851973:DXW851996">
      <formula1>項目!C17:$DXQ$851969</formula1>
    </dataValidation>
    <dataValidation type="list" allowBlank="1" showInputMessage="1" showErrorMessage="1" sqref="EHS851973:EHS851996">
      <formula1>項目!C17:$EHM$851969</formula1>
    </dataValidation>
    <dataValidation type="list" allowBlank="1" showInputMessage="1" showErrorMessage="1" sqref="ERO851973:ERO851996">
      <formula1>項目!C17:$ERI$851969</formula1>
    </dataValidation>
    <dataValidation type="list" allowBlank="1" showInputMessage="1" showErrorMessage="1" sqref="FBK851973:FBK851996">
      <formula1>項目!C17:$FBE$851969</formula1>
    </dataValidation>
    <dataValidation type="list" allowBlank="1" showInputMessage="1" showErrorMessage="1" sqref="FLG851973:FLG851996">
      <formula1>項目!C17:$FLA$851969</formula1>
    </dataValidation>
    <dataValidation type="list" allowBlank="1" showInputMessage="1" showErrorMessage="1" sqref="FVC851973:FVC851996">
      <formula1>項目!C17:$FUW$851969</formula1>
    </dataValidation>
    <dataValidation type="list" allowBlank="1" showInputMessage="1" showErrorMessage="1" sqref="GEY851973:GEY851996">
      <formula1>項目!C17:$GES$851969</formula1>
    </dataValidation>
    <dataValidation type="list" allowBlank="1" showInputMessage="1" showErrorMessage="1" sqref="GOU851973:GOU851996">
      <formula1>項目!C17:$GOO$851969</formula1>
    </dataValidation>
    <dataValidation type="list" allowBlank="1" showInputMessage="1" showErrorMessage="1" sqref="GYQ851973:GYQ851996">
      <formula1>項目!C17:$GYK$851969</formula1>
    </dataValidation>
    <dataValidation type="list" allowBlank="1" showInputMessage="1" showErrorMessage="1" sqref="HIM851973:HIM851996">
      <formula1>項目!C17:$HIG$851969</formula1>
    </dataValidation>
    <dataValidation type="list" allowBlank="1" showInputMessage="1" showErrorMessage="1" sqref="HSI851973:HSI851996">
      <formula1>項目!C17:$HSC$851969</formula1>
    </dataValidation>
    <dataValidation type="list" allowBlank="1" showInputMessage="1" showErrorMessage="1" sqref="ICE851973:ICE851996">
      <formula1>項目!C17:$IBY$851969</formula1>
    </dataValidation>
    <dataValidation type="list" allowBlank="1" showInputMessage="1" showErrorMessage="1" sqref="IMA851973:IMA851996">
      <formula1>項目!C17:$ILU$851969</formula1>
    </dataValidation>
    <dataValidation type="list" allowBlank="1" showInputMessage="1" showErrorMessage="1" sqref="IVW851973:IVW851996">
      <formula1>項目!C17:$IVQ$851969</formula1>
    </dataValidation>
    <dataValidation type="list" allowBlank="1" showInputMessage="1" showErrorMessage="1" sqref="JFS851973:JFS851996">
      <formula1>項目!C17:$JFM$851969</formula1>
    </dataValidation>
    <dataValidation type="list" allowBlank="1" showInputMessage="1" showErrorMessage="1" sqref="JPO851973:JPO851996">
      <formula1>項目!C17:$JPI$851969</formula1>
    </dataValidation>
    <dataValidation type="list" allowBlank="1" showInputMessage="1" showErrorMessage="1" sqref="JZK851973:JZK851996">
      <formula1>項目!C17:$JZE$851969</formula1>
    </dataValidation>
    <dataValidation type="list" allowBlank="1" showInputMessage="1" showErrorMessage="1" sqref="KJG851973:KJG851996">
      <formula1>項目!C17:$KJA$851969</formula1>
    </dataValidation>
    <dataValidation type="list" allowBlank="1" showInputMessage="1" showErrorMessage="1" sqref="KTC851973:KTC851996">
      <formula1>項目!C17:$KSW$851969</formula1>
    </dataValidation>
    <dataValidation type="list" allowBlank="1" showInputMessage="1" showErrorMessage="1" sqref="LCY851973:LCY851996">
      <formula1>項目!C17:$LCS$851969</formula1>
    </dataValidation>
    <dataValidation type="list" allowBlank="1" showInputMessage="1" showErrorMessage="1" sqref="LMU851973:LMU851996">
      <formula1>項目!C17:$LMO$851969</formula1>
    </dataValidation>
    <dataValidation type="list" allowBlank="1" showInputMessage="1" showErrorMessage="1" sqref="LWQ851973:LWQ851996">
      <formula1>項目!C17:$LWK$851969</formula1>
    </dataValidation>
    <dataValidation type="list" allowBlank="1" showInputMessage="1" showErrorMessage="1" sqref="MGM851973:MGM851996">
      <formula1>項目!C17:$MGG$851969</formula1>
    </dataValidation>
    <dataValidation type="list" allowBlank="1" showInputMessage="1" showErrorMessage="1" sqref="MQI851973:MQI851996">
      <formula1>項目!C17:$MQC$851969</formula1>
    </dataValidation>
    <dataValidation type="list" allowBlank="1" showInputMessage="1" showErrorMessage="1" sqref="NAE851973:NAE851996">
      <formula1>項目!C17:$MZY$851969</formula1>
    </dataValidation>
    <dataValidation type="list" allowBlank="1" showInputMessage="1" showErrorMessage="1" sqref="NKA851973:NKA851996">
      <formula1>項目!C17:$NJU$851969</formula1>
    </dataValidation>
    <dataValidation type="list" allowBlank="1" showInputMessage="1" showErrorMessage="1" sqref="NTW851973:NTW851996">
      <formula1>項目!C17:$NTQ$851969</formula1>
    </dataValidation>
    <dataValidation type="list" allowBlank="1" showInputMessage="1" showErrorMessage="1" sqref="ODS851973:ODS851996">
      <formula1>項目!C17:$ODM$851969</formula1>
    </dataValidation>
    <dataValidation type="list" allowBlank="1" showInputMessage="1" showErrorMessage="1" sqref="ONO851973:ONO851996">
      <formula1>項目!C17:$ONI$851969</formula1>
    </dataValidation>
    <dataValidation type="list" allowBlank="1" showInputMessage="1" showErrorMessage="1" sqref="OXK851973:OXK851996">
      <formula1>項目!C17:$OXE$851969</formula1>
    </dataValidation>
    <dataValidation type="list" allowBlank="1" showInputMessage="1" showErrorMessage="1" sqref="PHG851973:PHG851996">
      <formula1>項目!C17:$PHA$851969</formula1>
    </dataValidation>
    <dataValidation type="list" allowBlank="1" showInputMessage="1" showErrorMessage="1" sqref="PRC851973:PRC851996">
      <formula1>項目!C17:$PQW$851969</formula1>
    </dataValidation>
    <dataValidation type="list" allowBlank="1" showInputMessage="1" showErrorMessage="1" sqref="QAY851973:QAY851996">
      <formula1>項目!C17:$QAS$851969</formula1>
    </dataValidation>
    <dataValidation type="list" allowBlank="1" showInputMessage="1" showErrorMessage="1" sqref="QKU851973:QKU851996">
      <formula1>項目!C17:$QKO$851969</formula1>
    </dataValidation>
    <dataValidation type="list" allowBlank="1" showInputMessage="1" showErrorMessage="1" sqref="QUQ851973:QUQ851996">
      <formula1>項目!C17:$QUK$851969</formula1>
    </dataValidation>
    <dataValidation type="list" allowBlank="1" showInputMessage="1" showErrorMessage="1" sqref="REM851973:REM851996">
      <formula1>項目!C17:$REG$851969</formula1>
    </dataValidation>
    <dataValidation type="list" allowBlank="1" showInputMessage="1" showErrorMessage="1" sqref="ROI851973:ROI851996">
      <formula1>項目!C17:$ROC$851969</formula1>
    </dataValidation>
    <dataValidation type="list" allowBlank="1" showInputMessage="1" showErrorMessage="1" sqref="RYE851973:RYE851996">
      <formula1>項目!C17:$RXY$851969</formula1>
    </dataValidation>
    <dataValidation type="list" allowBlank="1" showInputMessage="1" showErrorMessage="1" sqref="SIA851973:SIA851996">
      <formula1>項目!C17:$SHU$851969</formula1>
    </dataValidation>
    <dataValidation type="list" allowBlank="1" showInputMessage="1" showErrorMessage="1" sqref="SRW851973:SRW851996">
      <formula1>項目!C17:$SRQ$851969</formula1>
    </dataValidation>
    <dataValidation type="list" allowBlank="1" showInputMessage="1" showErrorMessage="1" sqref="TBS851973:TBS851996">
      <formula1>項目!C17:$TBM$851969</formula1>
    </dataValidation>
    <dataValidation type="list" allowBlank="1" showInputMessage="1" showErrorMessage="1" sqref="TLO851973:TLO851996">
      <formula1>項目!C17:$TLI$851969</formula1>
    </dataValidation>
    <dataValidation type="list" allowBlank="1" showInputMessage="1" showErrorMessage="1" sqref="TVK851973:TVK851996">
      <formula1>項目!C17:$TVE$851969</formula1>
    </dataValidation>
    <dataValidation type="list" allowBlank="1" showInputMessage="1" showErrorMessage="1" sqref="UFG851973:UFG851996">
      <formula1>項目!C17:$UFA$851969</formula1>
    </dataValidation>
    <dataValidation type="list" allowBlank="1" showInputMessage="1" showErrorMessage="1" sqref="UPC851973:UPC851996">
      <formula1>項目!C17:$UOW$851969</formula1>
    </dataValidation>
    <dataValidation type="list" allowBlank="1" showInputMessage="1" showErrorMessage="1" sqref="UYY851973:UYY851996">
      <formula1>項目!C17:$UYS$851969</formula1>
    </dataValidation>
    <dataValidation type="list" allowBlank="1" showInputMessage="1" showErrorMessage="1" sqref="VIU851973:VIU851996">
      <formula1>項目!C17:$VIO$851969</formula1>
    </dataValidation>
    <dataValidation type="list" allowBlank="1" showInputMessage="1" showErrorMessage="1" sqref="VSQ851973:VSQ851996">
      <formula1>項目!C17:$VSK$851969</formula1>
    </dataValidation>
    <dataValidation type="list" allowBlank="1" showInputMessage="1" showErrorMessage="1" sqref="WCM851973:WCM851996">
      <formula1>項目!C17:$WCG$851969</formula1>
    </dataValidation>
    <dataValidation type="list" allowBlank="1" showInputMessage="1" showErrorMessage="1" sqref="WMI851973:WMI851996">
      <formula1>項目!C17:$WMC$851969</formula1>
    </dataValidation>
    <dataValidation type="list" allowBlank="1" showInputMessage="1" showErrorMessage="1" sqref="WWE851973:WWE851996">
      <formula1>項目!C17:$WVY$851969</formula1>
    </dataValidation>
    <dataValidation type="list" allowBlank="1" showInputMessage="1" showErrorMessage="1" sqref="W917509:W917532">
      <formula1>項目!C17:$Q$917505</formula1>
    </dataValidation>
    <dataValidation type="list" allowBlank="1" showInputMessage="1" showErrorMessage="1" sqref="JS917509:JS917532">
      <formula1>項目!C17:$JM$917505</formula1>
    </dataValidation>
    <dataValidation type="list" allowBlank="1" showInputMessage="1" showErrorMessage="1" sqref="TO917509:TO917532">
      <formula1>項目!C17:$TI$917505</formula1>
    </dataValidation>
    <dataValidation type="list" allowBlank="1" showInputMessage="1" showErrorMessage="1" sqref="ADK917509:ADK917532">
      <formula1>項目!C17:$ADE$917505</formula1>
    </dataValidation>
    <dataValidation type="list" allowBlank="1" showInputMessage="1" showErrorMessage="1" sqref="ANG917509:ANG917532">
      <formula1>項目!C17:$ANA$917505</formula1>
    </dataValidation>
    <dataValidation type="list" allowBlank="1" showInputMessage="1" showErrorMessage="1" sqref="AXC917509:AXC917532">
      <formula1>項目!C17:$AWW$917505</formula1>
    </dataValidation>
    <dataValidation type="list" allowBlank="1" showInputMessage="1" showErrorMessage="1" sqref="BGY917509:BGY917532">
      <formula1>項目!C17:$BGS$917505</formula1>
    </dataValidation>
    <dataValidation type="list" allowBlank="1" showInputMessage="1" showErrorMessage="1" sqref="BQU917509:BQU917532">
      <formula1>項目!C17:$BQO$917505</formula1>
    </dataValidation>
    <dataValidation type="list" allowBlank="1" showInputMessage="1" showErrorMessage="1" sqref="CAQ917509:CAQ917532">
      <formula1>項目!C17:$CAK$917505</formula1>
    </dataValidation>
    <dataValidation type="list" allowBlank="1" showInputMessage="1" showErrorMessage="1" sqref="CKM917509:CKM917532">
      <formula1>項目!C17:$CKG$917505</formula1>
    </dataValidation>
    <dataValidation type="list" allowBlank="1" showInputMessage="1" showErrorMessage="1" sqref="CUI917509:CUI917532">
      <formula1>項目!C17:$CUC$917505</formula1>
    </dataValidation>
    <dataValidation type="list" allowBlank="1" showInputMessage="1" showErrorMessage="1" sqref="DEE917509:DEE917532">
      <formula1>項目!C17:$DDY$917505</formula1>
    </dataValidation>
    <dataValidation type="list" allowBlank="1" showInputMessage="1" showErrorMessage="1" sqref="DOA917509:DOA917532">
      <formula1>項目!C17:$DNU$917505</formula1>
    </dataValidation>
    <dataValidation type="list" allowBlank="1" showInputMessage="1" showErrorMessage="1" sqref="DXW917509:DXW917532">
      <formula1>項目!C17:$DXQ$917505</formula1>
    </dataValidation>
    <dataValidation type="list" allowBlank="1" showInputMessage="1" showErrorMessage="1" sqref="EHS917509:EHS917532">
      <formula1>項目!C17:$EHM$917505</formula1>
    </dataValidation>
    <dataValidation type="list" allowBlank="1" showInputMessage="1" showErrorMessage="1" sqref="ERO917509:ERO917532">
      <formula1>項目!C17:$ERI$917505</formula1>
    </dataValidation>
    <dataValidation type="list" allowBlank="1" showInputMessage="1" showErrorMessage="1" sqref="FBK917509:FBK917532">
      <formula1>項目!C17:$FBE$917505</formula1>
    </dataValidation>
    <dataValidation type="list" allowBlank="1" showInputMessage="1" showErrorMessage="1" sqref="FLG917509:FLG917532">
      <formula1>項目!C17:$FLA$917505</formula1>
    </dataValidation>
    <dataValidation type="list" allowBlank="1" showInputMessage="1" showErrorMessage="1" sqref="FVC917509:FVC917532">
      <formula1>項目!C17:$FUW$917505</formula1>
    </dataValidation>
    <dataValidation type="list" allowBlank="1" showInputMessage="1" showErrorMessage="1" sqref="GEY917509:GEY917532">
      <formula1>項目!C17:$GES$917505</formula1>
    </dataValidation>
    <dataValidation type="list" allowBlank="1" showInputMessage="1" showErrorMessage="1" sqref="GOU917509:GOU917532">
      <formula1>項目!C17:$GOO$917505</formula1>
    </dataValidation>
    <dataValidation type="list" allowBlank="1" showInputMessage="1" showErrorMessage="1" sqref="GYQ917509:GYQ917532">
      <formula1>項目!C17:$GYK$917505</formula1>
    </dataValidation>
    <dataValidation type="list" allowBlank="1" showInputMessage="1" showErrorMessage="1" sqref="HIM917509:HIM917532">
      <formula1>項目!C17:$HIG$917505</formula1>
    </dataValidation>
    <dataValidation type="list" allowBlank="1" showInputMessage="1" showErrorMessage="1" sqref="HSI917509:HSI917532">
      <formula1>項目!C17:$HSC$917505</formula1>
    </dataValidation>
    <dataValidation type="list" allowBlank="1" showInputMessage="1" showErrorMessage="1" sqref="ICE917509:ICE917532">
      <formula1>項目!C17:$IBY$917505</formula1>
    </dataValidation>
    <dataValidation type="list" allowBlank="1" showInputMessage="1" showErrorMessage="1" sqref="IMA917509:IMA917532">
      <formula1>項目!C17:$ILU$917505</formula1>
    </dataValidation>
    <dataValidation type="list" allowBlank="1" showInputMessage="1" showErrorMessage="1" sqref="IVW917509:IVW917532">
      <formula1>項目!C17:$IVQ$917505</formula1>
    </dataValidation>
    <dataValidation type="list" allowBlank="1" showInputMessage="1" showErrorMessage="1" sqref="JFS917509:JFS917532">
      <formula1>項目!C17:$JFM$917505</formula1>
    </dataValidation>
    <dataValidation type="list" allowBlank="1" showInputMessage="1" showErrorMessage="1" sqref="JPO917509:JPO917532">
      <formula1>項目!C17:$JPI$917505</formula1>
    </dataValidation>
    <dataValidation type="list" allowBlank="1" showInputMessage="1" showErrorMessage="1" sqref="JZK917509:JZK917532">
      <formula1>項目!C17:$JZE$917505</formula1>
    </dataValidation>
    <dataValidation type="list" allowBlank="1" showInputMessage="1" showErrorMessage="1" sqref="KJG917509:KJG917532">
      <formula1>項目!C17:$KJA$917505</formula1>
    </dataValidation>
    <dataValidation type="list" allowBlank="1" showInputMessage="1" showErrorMessage="1" sqref="KTC917509:KTC917532">
      <formula1>項目!C17:$KSW$917505</formula1>
    </dataValidation>
    <dataValidation type="list" allowBlank="1" showInputMessage="1" showErrorMessage="1" sqref="LCY917509:LCY917532">
      <formula1>項目!C17:$LCS$917505</formula1>
    </dataValidation>
    <dataValidation type="list" allowBlank="1" showInputMessage="1" showErrorMessage="1" sqref="LMU917509:LMU917532">
      <formula1>項目!C17:$LMO$917505</formula1>
    </dataValidation>
    <dataValidation type="list" allowBlank="1" showInputMessage="1" showErrorMessage="1" sqref="LWQ917509:LWQ917532">
      <formula1>項目!C17:$LWK$917505</formula1>
    </dataValidation>
    <dataValidation type="list" allowBlank="1" showInputMessage="1" showErrorMessage="1" sqref="MGM917509:MGM917532">
      <formula1>項目!C17:$MGG$917505</formula1>
    </dataValidation>
    <dataValidation type="list" allowBlank="1" showInputMessage="1" showErrorMessage="1" sqref="MQI917509:MQI917532">
      <formula1>項目!C17:$MQC$917505</formula1>
    </dataValidation>
    <dataValidation type="list" allowBlank="1" showInputMessage="1" showErrorMessage="1" sqref="NAE917509:NAE917532">
      <formula1>項目!C17:$MZY$917505</formula1>
    </dataValidation>
    <dataValidation type="list" allowBlank="1" showInputMessage="1" showErrorMessage="1" sqref="NKA917509:NKA917532">
      <formula1>項目!C17:$NJU$917505</formula1>
    </dataValidation>
    <dataValidation type="list" allowBlank="1" showInputMessage="1" showErrorMessage="1" sqref="NTW917509:NTW917532">
      <formula1>項目!C17:$NTQ$917505</formula1>
    </dataValidation>
    <dataValidation type="list" allowBlank="1" showInputMessage="1" showErrorMessage="1" sqref="ODS917509:ODS917532">
      <formula1>項目!C17:$ODM$917505</formula1>
    </dataValidation>
    <dataValidation type="list" allowBlank="1" showInputMessage="1" showErrorMessage="1" sqref="ONO917509:ONO917532">
      <formula1>項目!C17:$ONI$917505</formula1>
    </dataValidation>
    <dataValidation type="list" allowBlank="1" showInputMessage="1" showErrorMessage="1" sqref="OXK917509:OXK917532">
      <formula1>項目!C17:$OXE$917505</formula1>
    </dataValidation>
    <dataValidation type="list" allowBlank="1" showInputMessage="1" showErrorMessage="1" sqref="PHG917509:PHG917532">
      <formula1>項目!C17:$PHA$917505</formula1>
    </dataValidation>
    <dataValidation type="list" allowBlank="1" showInputMessage="1" showErrorMessage="1" sqref="PRC917509:PRC917532">
      <formula1>項目!C17:$PQW$917505</formula1>
    </dataValidation>
    <dataValidation type="list" allowBlank="1" showInputMessage="1" showErrorMessage="1" sqref="QAY917509:QAY917532">
      <formula1>項目!C17:$QAS$917505</formula1>
    </dataValidation>
    <dataValidation type="list" allowBlank="1" showInputMessage="1" showErrorMessage="1" sqref="QKU917509:QKU917532">
      <formula1>項目!C17:$QKO$917505</formula1>
    </dataValidation>
    <dataValidation type="list" allowBlank="1" showInputMessage="1" showErrorMessage="1" sqref="QUQ917509:QUQ917532">
      <formula1>項目!C17:$QUK$917505</formula1>
    </dataValidation>
    <dataValidation type="list" allowBlank="1" showInputMessage="1" showErrorMessage="1" sqref="REM917509:REM917532">
      <formula1>項目!C17:$REG$917505</formula1>
    </dataValidation>
    <dataValidation type="list" allowBlank="1" showInputMessage="1" showErrorMessage="1" sqref="ROI917509:ROI917532">
      <formula1>項目!C17:$ROC$917505</formula1>
    </dataValidation>
    <dataValidation type="list" allowBlank="1" showInputMessage="1" showErrorMessage="1" sqref="RYE917509:RYE917532">
      <formula1>項目!C17:$RXY$917505</formula1>
    </dataValidation>
    <dataValidation type="list" allowBlank="1" showInputMessage="1" showErrorMessage="1" sqref="SIA917509:SIA917532">
      <formula1>項目!C17:$SHU$917505</formula1>
    </dataValidation>
    <dataValidation type="list" allowBlank="1" showInputMessage="1" showErrorMessage="1" sqref="SRW917509:SRW917532">
      <formula1>項目!C17:$SRQ$917505</formula1>
    </dataValidation>
    <dataValidation type="list" allowBlank="1" showInputMessage="1" showErrorMessage="1" sqref="TBS917509:TBS917532">
      <formula1>項目!C17:$TBM$917505</formula1>
    </dataValidation>
    <dataValidation type="list" allowBlank="1" showInputMessage="1" showErrorMessage="1" sqref="TLO917509:TLO917532">
      <formula1>項目!C17:$TLI$917505</formula1>
    </dataValidation>
    <dataValidation type="list" allowBlank="1" showInputMessage="1" showErrorMessage="1" sqref="TVK917509:TVK917532">
      <formula1>項目!C17:$TVE$917505</formula1>
    </dataValidation>
    <dataValidation type="list" allowBlank="1" showInputMessage="1" showErrorMessage="1" sqref="UFG917509:UFG917532">
      <formula1>項目!C17:$UFA$917505</formula1>
    </dataValidation>
    <dataValidation type="list" allowBlank="1" showInputMessage="1" showErrorMessage="1" sqref="UPC917509:UPC917532">
      <formula1>項目!C17:$UOW$917505</formula1>
    </dataValidation>
    <dataValidation type="list" allowBlank="1" showInputMessage="1" showErrorMessage="1" sqref="UYY917509:UYY917532">
      <formula1>項目!C17:$UYS$917505</formula1>
    </dataValidation>
    <dataValidation type="list" allowBlank="1" showInputMessage="1" showErrorMessage="1" sqref="VIU917509:VIU917532">
      <formula1>項目!C17:$VIO$917505</formula1>
    </dataValidation>
    <dataValidation type="list" allowBlank="1" showInputMessage="1" showErrorMessage="1" sqref="VSQ917509:VSQ917532">
      <formula1>項目!C17:$VSK$917505</formula1>
    </dataValidation>
    <dataValidation type="list" allowBlank="1" showInputMessage="1" showErrorMessage="1" sqref="WCM917509:WCM917532">
      <formula1>項目!C17:$WCG$917505</formula1>
    </dataValidation>
    <dataValidation type="list" allowBlank="1" showInputMessage="1" showErrorMessage="1" sqref="WMI917509:WMI917532">
      <formula1>項目!C17:$WMC$917505</formula1>
    </dataValidation>
    <dataValidation type="list" allowBlank="1" showInputMessage="1" showErrorMessage="1" sqref="WWE917509:WWE917532">
      <formula1>項目!C17:$WVY$917505</formula1>
    </dataValidation>
    <dataValidation type="list" allowBlank="1" showInputMessage="1" showErrorMessage="1" sqref="W983045:W983068">
      <formula1>項目!C17:$Q$983041</formula1>
    </dataValidation>
    <dataValidation type="list" allowBlank="1" showInputMessage="1" showErrorMessage="1" sqref="JS983045:JS983068">
      <formula1>項目!C17:$JM$983041</formula1>
    </dataValidation>
    <dataValidation type="list" allowBlank="1" showInputMessage="1" showErrorMessage="1" sqref="TO983045:TO983068">
      <formula1>項目!C17:$TI$983041</formula1>
    </dataValidation>
    <dataValidation type="list" allowBlank="1" showInputMessage="1" showErrorMessage="1" sqref="ADK983045:ADK983068">
      <formula1>項目!C17:$ADE$983041</formula1>
    </dataValidation>
    <dataValidation type="list" allowBlank="1" showInputMessage="1" showErrorMessage="1" sqref="ANG983045:ANG983068">
      <formula1>項目!C17:$ANA$983041</formula1>
    </dataValidation>
    <dataValidation type="list" allowBlank="1" showInputMessage="1" showErrorMessage="1" sqref="AXC983045:AXC983068">
      <formula1>項目!C17:$AWW$983041</formula1>
    </dataValidation>
    <dataValidation type="list" allowBlank="1" showInputMessage="1" showErrorMessage="1" sqref="BGY983045:BGY983068">
      <formula1>項目!C17:$BGS$983041</formula1>
    </dataValidation>
    <dataValidation type="list" allowBlank="1" showInputMessage="1" showErrorMessage="1" sqref="BQU983045:BQU983068">
      <formula1>項目!C17:$BQO$983041</formula1>
    </dataValidation>
    <dataValidation type="list" allowBlank="1" showInputMessage="1" showErrorMessage="1" sqref="CAQ983045:CAQ983068">
      <formula1>項目!C17:$CAK$983041</formula1>
    </dataValidation>
    <dataValidation type="list" allowBlank="1" showInputMessage="1" showErrorMessage="1" sqref="CKM983045:CKM983068">
      <formula1>項目!C17:$CKG$983041</formula1>
    </dataValidation>
    <dataValidation type="list" allowBlank="1" showInputMessage="1" showErrorMessage="1" sqref="CUI983045:CUI983068">
      <formula1>項目!C17:$CUC$983041</formula1>
    </dataValidation>
    <dataValidation type="list" allowBlank="1" showInputMessage="1" showErrorMessage="1" sqref="DEE983045:DEE983068">
      <formula1>項目!C17:$DDY$983041</formula1>
    </dataValidation>
    <dataValidation type="list" allowBlank="1" showInputMessage="1" showErrorMessage="1" sqref="DOA983045:DOA983068">
      <formula1>項目!C17:$DNU$983041</formula1>
    </dataValidation>
    <dataValidation type="list" allowBlank="1" showInputMessage="1" showErrorMessage="1" sqref="DXW983045:DXW983068">
      <formula1>項目!C17:$DXQ$983041</formula1>
    </dataValidation>
    <dataValidation type="list" allowBlank="1" showInputMessage="1" showErrorMessage="1" sqref="EHS983045:EHS983068">
      <formula1>項目!C17:$EHM$983041</formula1>
    </dataValidation>
    <dataValidation type="list" allowBlank="1" showInputMessage="1" showErrorMessage="1" sqref="ERO983045:ERO983068">
      <formula1>項目!C17:$ERI$983041</formula1>
    </dataValidation>
    <dataValidation type="list" allowBlank="1" showInputMessage="1" showErrorMessage="1" sqref="FBK983045:FBK983068">
      <formula1>項目!C17:$FBE$983041</formula1>
    </dataValidation>
    <dataValidation type="list" allowBlank="1" showInputMessage="1" showErrorMessage="1" sqref="FLG983045:FLG983068">
      <formula1>項目!C17:$FLA$983041</formula1>
    </dataValidation>
    <dataValidation type="list" allowBlank="1" showInputMessage="1" showErrorMessage="1" sqref="FVC983045:FVC983068">
      <formula1>項目!C17:$FUW$983041</formula1>
    </dataValidation>
    <dataValidation type="list" allowBlank="1" showInputMessage="1" showErrorMessage="1" sqref="GEY983045:GEY983068">
      <formula1>項目!C17:$GES$983041</formula1>
    </dataValidation>
    <dataValidation type="list" allowBlank="1" showInputMessage="1" showErrorMessage="1" sqref="GOU983045:GOU983068">
      <formula1>項目!C17:$GOO$983041</formula1>
    </dataValidation>
    <dataValidation type="list" allowBlank="1" showInputMessage="1" showErrorMessage="1" sqref="GYQ983045:GYQ983068">
      <formula1>項目!C17:$GYK$983041</formula1>
    </dataValidation>
    <dataValidation type="list" allowBlank="1" showInputMessage="1" showErrorMessage="1" sqref="HIM983045:HIM983068">
      <formula1>項目!C17:$HIG$983041</formula1>
    </dataValidation>
    <dataValidation type="list" allowBlank="1" showInputMessage="1" showErrorMessage="1" sqref="HSI983045:HSI983068">
      <formula1>項目!C17:$HSC$983041</formula1>
    </dataValidation>
    <dataValidation type="list" allowBlank="1" showInputMessage="1" showErrorMessage="1" sqref="ICE983045:ICE983068">
      <formula1>項目!C17:$IBY$983041</formula1>
    </dataValidation>
    <dataValidation type="list" allowBlank="1" showInputMessage="1" showErrorMessage="1" sqref="IMA983045:IMA983068">
      <formula1>項目!C17:$ILU$983041</formula1>
    </dataValidation>
    <dataValidation type="list" allowBlank="1" showInputMessage="1" showErrorMessage="1" sqref="IVW983045:IVW983068">
      <formula1>項目!C17:$IVQ$983041</formula1>
    </dataValidation>
    <dataValidation type="list" allowBlank="1" showInputMessage="1" showErrorMessage="1" sqref="JFS983045:JFS983068">
      <formula1>項目!C17:$JFM$983041</formula1>
    </dataValidation>
    <dataValidation type="list" allowBlank="1" showInputMessage="1" showErrorMessage="1" sqref="JPO983045:JPO983068">
      <formula1>項目!C17:$JPI$983041</formula1>
    </dataValidation>
    <dataValidation type="list" allowBlank="1" showInputMessage="1" showErrorMessage="1" sqref="JZK983045:JZK983068">
      <formula1>項目!C17:$JZE$983041</formula1>
    </dataValidation>
    <dataValidation type="list" allowBlank="1" showInputMessage="1" showErrorMessage="1" sqref="KJG983045:KJG983068">
      <formula1>項目!C17:$KJA$983041</formula1>
    </dataValidation>
    <dataValidation type="list" allowBlank="1" showInputMessage="1" showErrorMessage="1" sqref="KTC983045:KTC983068">
      <formula1>項目!C17:$KSW$983041</formula1>
    </dataValidation>
    <dataValidation type="list" allowBlank="1" showInputMessage="1" showErrorMessage="1" sqref="LCY983045:LCY983068">
      <formula1>項目!C17:$LCS$983041</formula1>
    </dataValidation>
    <dataValidation type="list" allowBlank="1" showInputMessage="1" showErrorMessage="1" sqref="LMU983045:LMU983068">
      <formula1>項目!C17:$LMO$983041</formula1>
    </dataValidation>
    <dataValidation type="list" allowBlank="1" showInputMessage="1" showErrorMessage="1" sqref="LWQ983045:LWQ983068">
      <formula1>項目!C17:$LWK$983041</formula1>
    </dataValidation>
    <dataValidation type="list" allowBlank="1" showInputMessage="1" showErrorMessage="1" sqref="MGM983045:MGM983068">
      <formula1>項目!C17:$MGG$983041</formula1>
    </dataValidation>
    <dataValidation type="list" allowBlank="1" showInputMessage="1" showErrorMessage="1" sqref="MQI983045:MQI983068">
      <formula1>項目!C17:$MQC$983041</formula1>
    </dataValidation>
    <dataValidation type="list" allowBlank="1" showInputMessage="1" showErrorMessage="1" sqref="NAE983045:NAE983068">
      <formula1>項目!C17:$MZY$983041</formula1>
    </dataValidation>
    <dataValidation type="list" allowBlank="1" showInputMessage="1" showErrorMessage="1" sqref="NKA983045:NKA983068">
      <formula1>項目!C17:$NJU$983041</formula1>
    </dataValidation>
    <dataValidation type="list" allowBlank="1" showInputMessage="1" showErrorMessage="1" sqref="NTW983045:NTW983068">
      <formula1>項目!C17:$NTQ$983041</formula1>
    </dataValidation>
    <dataValidation type="list" allowBlank="1" showInputMessage="1" showErrorMessage="1" sqref="ODS983045:ODS983068">
      <formula1>項目!C17:$ODM$983041</formula1>
    </dataValidation>
    <dataValidation type="list" allowBlank="1" showInputMessage="1" showErrorMessage="1" sqref="ONO983045:ONO983068">
      <formula1>項目!C17:$ONI$983041</formula1>
    </dataValidation>
    <dataValidation type="list" allowBlank="1" showInputMessage="1" showErrorMessage="1" sqref="OXK983045:OXK983068">
      <formula1>項目!C17:$OXE$983041</formula1>
    </dataValidation>
    <dataValidation type="list" allowBlank="1" showInputMessage="1" showErrorMessage="1" sqref="PHG983045:PHG983068">
      <formula1>項目!C17:$PHA$983041</formula1>
    </dataValidation>
    <dataValidation type="list" allowBlank="1" showInputMessage="1" showErrorMessage="1" sqref="PRC983045:PRC983068">
      <formula1>項目!C17:$PQW$983041</formula1>
    </dataValidation>
    <dataValidation type="list" allowBlank="1" showInputMessage="1" showErrorMessage="1" sqref="QAY983045:QAY983068">
      <formula1>項目!C17:$QAS$983041</formula1>
    </dataValidation>
    <dataValidation type="list" allowBlank="1" showInputMessage="1" showErrorMessage="1" sqref="QKU983045:QKU983068">
      <formula1>項目!C17:$QKO$983041</formula1>
    </dataValidation>
    <dataValidation type="list" allowBlank="1" showInputMessage="1" showErrorMessage="1" sqref="QUQ983045:QUQ983068">
      <formula1>項目!C17:$QUK$983041</formula1>
    </dataValidation>
    <dataValidation type="list" allowBlank="1" showInputMessage="1" showErrorMessage="1" sqref="REM983045:REM983068">
      <formula1>項目!C17:$REG$983041</formula1>
    </dataValidation>
    <dataValidation type="list" allowBlank="1" showInputMessage="1" showErrorMessage="1" sqref="ROI983045:ROI983068">
      <formula1>項目!C17:$ROC$983041</formula1>
    </dataValidation>
    <dataValidation type="list" allowBlank="1" showInputMessage="1" showErrorMessage="1" sqref="RYE983045:RYE983068">
      <formula1>項目!C17:$RXY$983041</formula1>
    </dataValidation>
    <dataValidation type="list" allowBlank="1" showInputMessage="1" showErrorMessage="1" sqref="SIA983045:SIA983068">
      <formula1>項目!C17:$SHU$983041</formula1>
    </dataValidation>
    <dataValidation type="list" allowBlank="1" showInputMessage="1" showErrorMessage="1" sqref="SRW983045:SRW983068">
      <formula1>項目!C17:$SRQ$983041</formula1>
    </dataValidation>
    <dataValidation type="list" allowBlank="1" showInputMessage="1" showErrorMessage="1" sqref="TBS983045:TBS983068">
      <formula1>項目!C17:$TBM$983041</formula1>
    </dataValidation>
    <dataValidation type="list" allowBlank="1" showInputMessage="1" showErrorMessage="1" sqref="TLO983045:TLO983068">
      <formula1>項目!C17:$TLI$983041</formula1>
    </dataValidation>
    <dataValidation type="list" allowBlank="1" showInputMessage="1" showErrorMessage="1" sqref="TVK983045:TVK983068">
      <formula1>項目!C17:$TVE$983041</formula1>
    </dataValidation>
    <dataValidation type="list" allowBlank="1" showInputMessage="1" showErrorMessage="1" sqref="UFG983045:UFG983068">
      <formula1>項目!C17:$UFA$983041</formula1>
    </dataValidation>
    <dataValidation type="list" allowBlank="1" showInputMessage="1" showErrorMessage="1" sqref="UPC983045:UPC983068">
      <formula1>項目!C17:$UOW$983041</formula1>
    </dataValidation>
    <dataValidation type="list" allowBlank="1" showInputMessage="1" showErrorMessage="1" sqref="UYY983045:UYY983068">
      <formula1>項目!C17:$UYS$983041</formula1>
    </dataValidation>
    <dataValidation type="list" allowBlank="1" showInputMessage="1" showErrorMessage="1" sqref="VIU983045:VIU983068">
      <formula1>項目!C17:$VIO$983041</formula1>
    </dataValidation>
    <dataValidation type="list" allowBlank="1" showInputMessage="1" showErrorMessage="1" sqref="VSQ983045:VSQ983068">
      <formula1>項目!C17:$VSK$983041</formula1>
    </dataValidation>
    <dataValidation type="list" allowBlank="1" showInputMessage="1" showErrorMessage="1" sqref="WCM983045:WCM983068">
      <formula1>項目!C17:$WCG$983041</formula1>
    </dataValidation>
    <dataValidation type="list" allowBlank="1" showInputMessage="1" showErrorMessage="1" sqref="WMI983045:WMI983068">
      <formula1>項目!C17:$WMC$983041</formula1>
    </dataValidation>
    <dataValidation type="list" allowBlank="1" showInputMessage="1" showErrorMessage="1" sqref="WWE983045:WWE983068">
      <formula1>項目!C17:$WVY$983041</formula1>
    </dataValidation>
    <dataValidation type="list" allowBlank="1" showInputMessage="1" showErrorMessage="1" sqref="K983045:K983068">
      <formula1>項目!C17:$G$983041</formula1>
    </dataValidation>
    <dataValidation type="list" allowBlank="1" showInputMessage="1" showErrorMessage="1" sqref="K917509:K917532">
      <formula1>項目!C17:$G$917505</formula1>
    </dataValidation>
    <dataValidation type="list" allowBlank="1" showInputMessage="1" showErrorMessage="1" sqref="K851973:K851996">
      <formula1>項目!C17:$G$851969</formula1>
    </dataValidation>
    <dataValidation type="list" allowBlank="1" showInputMessage="1" showErrorMessage="1" sqref="K786437:K786460">
      <formula1>項目!C17:$G$786433</formula1>
    </dataValidation>
    <dataValidation type="list" allowBlank="1" showInputMessage="1" showErrorMessage="1" sqref="K720901:K720924">
      <formula1>項目!C17:$G$720897</formula1>
    </dataValidation>
    <dataValidation type="list" allowBlank="1" showInputMessage="1" showErrorMessage="1" sqref="K655365:K655388">
      <formula1>項目!C17:$G$655361</formula1>
    </dataValidation>
    <dataValidation type="list" allowBlank="1" showInputMessage="1" showErrorMessage="1" sqref="K589829:K589852">
      <formula1>項目!C17:$G$589825</formula1>
    </dataValidation>
    <dataValidation type="list" allowBlank="1" showInputMessage="1" showErrorMessage="1" sqref="K524293:K524316">
      <formula1>項目!C17:$G$524289</formula1>
    </dataValidation>
    <dataValidation type="list" allowBlank="1" showInputMessage="1" showErrorMessage="1" sqref="K458757:K458780">
      <formula1>項目!C17:$G$458753</formula1>
    </dataValidation>
    <dataValidation type="list" allowBlank="1" showInputMessage="1" showErrorMessage="1" sqref="K393221:K393244">
      <formula1>項目!C17:$G$393217</formula1>
    </dataValidation>
    <dataValidation type="list" allowBlank="1" showInputMessage="1" showErrorMessage="1" sqref="K327685:K327708">
      <formula1>項目!C17:$G$327681</formula1>
    </dataValidation>
    <dataValidation type="list" allowBlank="1" showInputMessage="1" showErrorMessage="1" sqref="K262149:K262172">
      <formula1>項目!C17:$G$262145</formula1>
    </dataValidation>
    <dataValidation type="list" allowBlank="1" showInputMessage="1" showErrorMessage="1" sqref="K196613:K196636">
      <formula1>項目!C17:$G$196609</formula1>
    </dataValidation>
    <dataValidation type="list" allowBlank="1" showInputMessage="1" showErrorMessage="1" sqref="K131077:K131100">
      <formula1>項目!C17:$G$131073</formula1>
    </dataValidation>
    <dataValidation type="list" allowBlank="1" showInputMessage="1" showErrorMessage="1" sqref="K65541:K65564">
      <formula1>項目!C17:$G$65537</formula1>
    </dataValidation>
    <dataValidation type="list" allowBlank="1" showInputMessage="1" showErrorMessage="1" sqref="F131077:F131100 F196613:F196636 F262149:F262172 F327685:F327708 F393221:F393244 F458757:F458780 F524293:F524316 F589829:F589852 F655365:F655388 F720901:F720924 F786437:F786460 F851973:F851996 F917509:F917532 F983045:F983068 F65541:F65564 J65541:J65564 J131077:J131100 J196613:J196636 J262149:J262172 J327685:J327708 J393221:J393244 J458757:J458780 J524293:J524316 J589829:J589852 J655365:J655388 J720901:J720924 J786437:J786460 J851973:J851996 J917509:J917532 J983045:J983068 N65541:N65564 N131077:N131100 N196613:N196636 N262149:N262172 N327685:N327708 N393221:N393244 N458757:N458780 N524293:N524316 N589829:N589852 N655365:N655388 N720901:N720924 N786437:N786460 N851973:N851996 N917509:N917532 N983045:N983068">
      <formula1>項目!A$4:$A65538</formula1>
    </dataValidation>
    <dataValidation type="list" allowBlank="1" showInputMessage="1" showErrorMessage="1" sqref="AMP5:AMP28">
      <formula1>項目!A2:$AMI$4</formula1>
    </dataValidation>
    <dataValidation type="list" allowBlank="1" showInputMessage="1" showErrorMessage="1" sqref="AWL5:AWL28">
      <formula1>項目!A2:$AWE$4</formula1>
    </dataValidation>
    <dataValidation type="list" allowBlank="1" showInputMessage="1" showErrorMessage="1" sqref="BGH5:BGH28">
      <formula1>項目!A2:$BGA$4</formula1>
    </dataValidation>
    <dataValidation type="list" allowBlank="1" showInputMessage="1" showErrorMessage="1" sqref="BQD5:BQD28">
      <formula1>項目!A2:$BPW$4</formula1>
    </dataValidation>
    <dataValidation type="list" allowBlank="1" showInputMessage="1" showErrorMessage="1" sqref="BZZ5:BZZ28">
      <formula1>項目!A2:$BZS$4</formula1>
    </dataValidation>
    <dataValidation type="list" allowBlank="1" showInputMessage="1" showErrorMessage="1" sqref="CJV5:CJV28">
      <formula1>項目!A2:$CJO$4</formula1>
    </dataValidation>
    <dataValidation type="list" allowBlank="1" showInputMessage="1" showErrorMessage="1" sqref="CTR5:CTR28">
      <formula1>項目!A2:$CTK$4</formula1>
    </dataValidation>
    <dataValidation type="list" allowBlank="1" showInputMessage="1" showErrorMessage="1" sqref="DDN5:DDN28">
      <formula1>項目!A2:$DDG$4</formula1>
    </dataValidation>
    <dataValidation type="list" allowBlank="1" showInputMessage="1" showErrorMessage="1" sqref="DNJ5:DNJ28">
      <formula1>項目!A2:$DNC$4</formula1>
    </dataValidation>
    <dataValidation type="list" allowBlank="1" showInputMessage="1" showErrorMessage="1" sqref="DXF5:DXF28">
      <formula1>項目!A2:$DWY$4</formula1>
    </dataValidation>
    <dataValidation type="list" allowBlank="1" showInputMessage="1" showErrorMessage="1" sqref="EHB5:EHB28">
      <formula1>項目!A2:$EGU$4</formula1>
    </dataValidation>
    <dataValidation type="list" allowBlank="1" showInputMessage="1" showErrorMessage="1" sqref="EQX5:EQX28">
      <formula1>項目!A2:$EQQ$4</formula1>
    </dataValidation>
    <dataValidation type="list" allowBlank="1" showInputMessage="1" showErrorMessage="1" sqref="FAT5:FAT28">
      <formula1>項目!A2:$FAM$4</formula1>
    </dataValidation>
    <dataValidation type="list" allowBlank="1" showInputMessage="1" showErrorMessage="1" sqref="FKP5:FKP28">
      <formula1>項目!A2:$FKI$4</formula1>
    </dataValidation>
    <dataValidation type="list" allowBlank="1" showInputMessage="1" showErrorMessage="1" sqref="FUL5:FUL28">
      <formula1>項目!A2:$FUE$4</formula1>
    </dataValidation>
    <dataValidation type="list" allowBlank="1" showInputMessage="1" showErrorMessage="1" sqref="GEH5:GEH28">
      <formula1>項目!A2:$GEA$4</formula1>
    </dataValidation>
    <dataValidation type="list" allowBlank="1" showInputMessage="1" showErrorMessage="1" sqref="GOD5:GOD28">
      <formula1>項目!A2:$GNW$4</formula1>
    </dataValidation>
    <dataValidation type="list" allowBlank="1" showInputMessage="1" showErrorMessage="1" sqref="GXZ5:GXZ28">
      <formula1>項目!A2:$GXS$4</formula1>
    </dataValidation>
    <dataValidation type="list" allowBlank="1" showInputMessage="1" showErrorMessage="1" sqref="HHV5:HHV28">
      <formula1>項目!A2:$HHO$4</formula1>
    </dataValidation>
    <dataValidation type="list" allowBlank="1" showInputMessage="1" showErrorMessage="1" sqref="HRR5:HRR28">
      <formula1>項目!A2:$HRK$4</formula1>
    </dataValidation>
    <dataValidation type="list" allowBlank="1" showInputMessage="1" showErrorMessage="1" sqref="IBN5:IBN28">
      <formula1>項目!A2:$IBG$4</formula1>
    </dataValidation>
    <dataValidation type="list" allowBlank="1" showInputMessage="1" showErrorMessage="1" sqref="ILJ5:ILJ28">
      <formula1>項目!A2:$ILC$4</formula1>
    </dataValidation>
    <dataValidation type="list" allowBlank="1" showInputMessage="1" showErrorMessage="1" sqref="IVF5:IVF28">
      <formula1>項目!A2:$IUY$4</formula1>
    </dataValidation>
    <dataValidation type="list" allowBlank="1" showInputMessage="1" showErrorMessage="1" sqref="JFB5:JFB28">
      <formula1>項目!A2:$JEU$4</formula1>
    </dataValidation>
    <dataValidation type="list" allowBlank="1" showInputMessage="1" showErrorMessage="1" sqref="JOX5:JOX28">
      <formula1>項目!A2:$JOQ$4</formula1>
    </dataValidation>
    <dataValidation type="list" allowBlank="1" showInputMessage="1" showErrorMessage="1" sqref="JYT5:JYT28">
      <formula1>項目!A2:$JYM$4</formula1>
    </dataValidation>
    <dataValidation type="list" allowBlank="1" showInputMessage="1" showErrorMessage="1" sqref="KIP5:KIP28">
      <formula1>項目!A2:$KII$4</formula1>
    </dataValidation>
    <dataValidation type="list" allowBlank="1" showInputMessage="1" showErrorMessage="1" sqref="KSL5:KSL28">
      <formula1>項目!A2:$KSE$4</formula1>
    </dataValidation>
    <dataValidation type="list" allowBlank="1" showInputMessage="1" showErrorMessage="1" sqref="LCH5:LCH28">
      <formula1>項目!A2:$LCA$4</formula1>
    </dataValidation>
    <dataValidation type="list" allowBlank="1" showInputMessage="1" showErrorMessage="1" sqref="LMD5:LMD28">
      <formula1>項目!A2:$LLW$4</formula1>
    </dataValidation>
    <dataValidation type="list" allowBlank="1" showInputMessage="1" showErrorMessage="1" sqref="LVZ5:LVZ28">
      <formula1>項目!A2:$LVS$4</formula1>
    </dataValidation>
    <dataValidation type="list" allowBlank="1" showInputMessage="1" showErrorMessage="1" sqref="MFV5:MFV28">
      <formula1>項目!A2:$MFO$4</formula1>
    </dataValidation>
    <dataValidation type="list" allowBlank="1" showInputMessage="1" showErrorMessage="1" sqref="MPR5:MPR28">
      <formula1>項目!A2:$MPK$4</formula1>
    </dataValidation>
    <dataValidation type="list" allowBlank="1" showInputMessage="1" showErrorMessage="1" sqref="MZN5:MZN28">
      <formula1>項目!A2:$MZG$4</formula1>
    </dataValidation>
    <dataValidation type="list" allowBlank="1" showInputMessage="1" showErrorMessage="1" sqref="NJJ5:NJJ28">
      <formula1>項目!A2:$NJC$4</formula1>
    </dataValidation>
    <dataValidation type="list" allowBlank="1" showInputMessage="1" showErrorMessage="1" sqref="NTF5:NTF28">
      <formula1>項目!A2:$NSY$4</formula1>
    </dataValidation>
    <dataValidation type="list" allowBlank="1" showInputMessage="1" showErrorMessage="1" sqref="ODB5:ODB28">
      <formula1>項目!A2:$OCU$4</formula1>
    </dataValidation>
    <dataValidation type="list" allowBlank="1" showInputMessage="1" showErrorMessage="1" sqref="OMX5:OMX28">
      <formula1>項目!A2:$OMQ$4</formula1>
    </dataValidation>
    <dataValidation type="list" allowBlank="1" showInputMessage="1" showErrorMessage="1" sqref="OWT5:OWT28">
      <formula1>項目!A2:$OWM$4</formula1>
    </dataValidation>
    <dataValidation type="list" allowBlank="1" showInputMessage="1" showErrorMessage="1" sqref="PGP5:PGP28">
      <formula1>項目!A2:$PGI$4</formula1>
    </dataValidation>
    <dataValidation type="list" allowBlank="1" showInputMessage="1" showErrorMessage="1" sqref="PQL5:PQL28">
      <formula1>項目!A2:$PQE$4</formula1>
    </dataValidation>
    <dataValidation type="list" allowBlank="1" showInputMessage="1" showErrorMessage="1" sqref="QAH5:QAH28">
      <formula1>項目!A2:$QAA$4</formula1>
    </dataValidation>
    <dataValidation type="list" allowBlank="1" showInputMessage="1" showErrorMessage="1" sqref="QKD5:QKD28">
      <formula1>項目!A2:$QJW$4</formula1>
    </dataValidation>
    <dataValidation type="list" allowBlank="1" showInputMessage="1" showErrorMessage="1" sqref="QTZ5:QTZ28">
      <formula1>項目!A2:$QTS$4</formula1>
    </dataValidation>
    <dataValidation type="list" allowBlank="1" showInputMessage="1" showErrorMessage="1" sqref="RDV5:RDV28">
      <formula1>項目!A2:$RDO$4</formula1>
    </dataValidation>
    <dataValidation type="list" allowBlank="1" showInputMessage="1" showErrorMessage="1" sqref="RNR5:RNR28">
      <formula1>項目!A2:$RNK$4</formula1>
    </dataValidation>
    <dataValidation type="list" allowBlank="1" showInputMessage="1" showErrorMessage="1" sqref="RXN5:RXN28">
      <formula1>項目!A2:$RXG$4</formula1>
    </dataValidation>
    <dataValidation type="list" allowBlank="1" showInputMessage="1" showErrorMessage="1" sqref="SHJ5:SHJ28">
      <formula1>項目!A2:$SHC$4</formula1>
    </dataValidation>
    <dataValidation type="list" allowBlank="1" showInputMessage="1" showErrorMessage="1" sqref="SRF5:SRF28">
      <formula1>項目!A2:$SQY$4</formula1>
    </dataValidation>
    <dataValidation type="list" allowBlank="1" showInputMessage="1" showErrorMessage="1" sqref="TBB5:TBB28">
      <formula1>項目!A2:$TAU$4</formula1>
    </dataValidation>
    <dataValidation type="list" allowBlank="1" showInputMessage="1" showErrorMessage="1" sqref="TKX5:TKX28">
      <formula1>項目!A2:$TKQ$4</formula1>
    </dataValidation>
    <dataValidation type="list" allowBlank="1" showInputMessage="1" showErrorMessage="1" sqref="TUT5:TUT28">
      <formula1>項目!A2:$TUM$4</formula1>
    </dataValidation>
    <dataValidation type="list" allowBlank="1" showInputMessage="1" showErrorMessage="1" sqref="UEP5:UEP28">
      <formula1>項目!A2:$UEI$4</formula1>
    </dataValidation>
    <dataValidation type="list" allowBlank="1" showInputMessage="1" showErrorMessage="1" sqref="UOL5:UOL28">
      <formula1>項目!A2:$UOE$4</formula1>
    </dataValidation>
    <dataValidation type="list" allowBlank="1" showInputMessage="1" showErrorMessage="1" sqref="UYH5:UYH28">
      <formula1>項目!A2:$UYA$4</formula1>
    </dataValidation>
    <dataValidation type="list" allowBlank="1" showInputMessage="1" showErrorMessage="1" sqref="VID5:VID28">
      <formula1>項目!A2:$VHW$4</formula1>
    </dataValidation>
    <dataValidation type="list" allowBlank="1" showInputMessage="1" showErrorMessage="1" sqref="VRZ5:VRZ28">
      <formula1>項目!A2:$VRS$4</formula1>
    </dataValidation>
    <dataValidation type="list" allowBlank="1" showInputMessage="1" showErrorMessage="1" sqref="WBV5:WBV28">
      <formula1>項目!A2:$WBO$4</formula1>
    </dataValidation>
    <dataValidation type="list" allowBlank="1" showInputMessage="1" showErrorMessage="1" sqref="WLR5:WLR28">
      <formula1>項目!A2:$WLK$4</formula1>
    </dataValidation>
    <dataValidation type="list" allowBlank="1" showInputMessage="1" showErrorMessage="1" sqref="WVN5:WVN28">
      <formula1>項目!A2:$WVG$4</formula1>
    </dataValidation>
    <dataValidation type="list" allowBlank="1" showInputMessage="1" showErrorMessage="1" sqref="JB65541:JB65564">
      <formula1>項目!A4:$IU$65538</formula1>
    </dataValidation>
    <dataValidation type="list" allowBlank="1" showInputMessage="1" showErrorMessage="1" sqref="SX65541:SX65564">
      <formula1>項目!A4:$SQ$65538</formula1>
    </dataValidation>
    <dataValidation type="list" allowBlank="1" showInputMessage="1" showErrorMessage="1" sqref="ACT65541:ACT65564">
      <formula1>項目!A4:$ACM$65538</formula1>
    </dataValidation>
    <dataValidation type="list" allowBlank="1" showInputMessage="1" showErrorMessage="1" sqref="AMP65541:AMP65564">
      <formula1>項目!A4:$AMI$65538</formula1>
    </dataValidation>
    <dataValidation type="list" allowBlank="1" showInputMessage="1" showErrorMessage="1" sqref="AWL65541:AWL65564">
      <formula1>項目!A4:$AWE$65538</formula1>
    </dataValidation>
    <dataValidation type="list" allowBlank="1" showInputMessage="1" showErrorMessage="1" sqref="BGH65541:BGH65564">
      <formula1>項目!A4:$BGA$65538</formula1>
    </dataValidation>
    <dataValidation type="list" allowBlank="1" showInputMessage="1" showErrorMessage="1" sqref="BQD65541:BQD65564">
      <formula1>項目!A4:$BPW$65538</formula1>
    </dataValidation>
    <dataValidation type="list" allowBlank="1" showInputMessage="1" showErrorMessage="1" sqref="BZZ65541:BZZ65564">
      <formula1>項目!A4:$BZS$65538</formula1>
    </dataValidation>
    <dataValidation type="list" allowBlank="1" showInputMessage="1" showErrorMessage="1" sqref="CJV65541:CJV65564">
      <formula1>項目!A4:$CJO$65538</formula1>
    </dataValidation>
    <dataValidation type="list" allowBlank="1" showInputMessage="1" showErrorMessage="1" sqref="CTR65541:CTR65564">
      <formula1>項目!A4:$CTK$65538</formula1>
    </dataValidation>
    <dataValidation type="list" allowBlank="1" showInputMessage="1" showErrorMessage="1" sqref="DDN65541:DDN65564">
      <formula1>項目!A4:$DDG$65538</formula1>
    </dataValidation>
    <dataValidation type="list" allowBlank="1" showInputMessage="1" showErrorMessage="1" sqref="DNJ65541:DNJ65564">
      <formula1>項目!A4:$DNC$65538</formula1>
    </dataValidation>
    <dataValidation type="list" allowBlank="1" showInputMessage="1" showErrorMessage="1" sqref="DXF65541:DXF65564">
      <formula1>項目!A4:$DWY$65538</formula1>
    </dataValidation>
    <dataValidation type="list" allowBlank="1" showInputMessage="1" showErrorMessage="1" sqref="EHB65541:EHB65564">
      <formula1>項目!A4:$EGU$65538</formula1>
    </dataValidation>
    <dataValidation type="list" allowBlank="1" showInputMessage="1" showErrorMessage="1" sqref="EQX65541:EQX65564">
      <formula1>項目!A4:$EQQ$65538</formula1>
    </dataValidation>
    <dataValidation type="list" allowBlank="1" showInputMessage="1" showErrorMessage="1" sqref="FAT65541:FAT65564">
      <formula1>項目!A4:$FAM$65538</formula1>
    </dataValidation>
    <dataValidation type="list" allowBlank="1" showInputMessage="1" showErrorMessage="1" sqref="FKP65541:FKP65564">
      <formula1>項目!A4:$FKI$65538</formula1>
    </dataValidation>
    <dataValidation type="list" allowBlank="1" showInputMessage="1" showErrorMessage="1" sqref="FUL65541:FUL65564">
      <formula1>項目!A4:$FUE$65538</formula1>
    </dataValidation>
    <dataValidation type="list" allowBlank="1" showInputMessage="1" showErrorMessage="1" sqref="GEH65541:GEH65564">
      <formula1>項目!A4:$GEA$65538</formula1>
    </dataValidation>
    <dataValidation type="list" allowBlank="1" showInputMessage="1" showErrorMessage="1" sqref="GOD65541:GOD65564">
      <formula1>項目!A4:$GNW$65538</formula1>
    </dataValidation>
    <dataValidation type="list" allowBlank="1" showInputMessage="1" showErrorMessage="1" sqref="GXZ65541:GXZ65564">
      <formula1>項目!A4:$GXS$65538</formula1>
    </dataValidation>
    <dataValidation type="list" allowBlank="1" showInputMessage="1" showErrorMessage="1" sqref="HHV65541:HHV65564">
      <formula1>項目!A4:$HHO$65538</formula1>
    </dataValidation>
    <dataValidation type="list" allowBlank="1" showInputMessage="1" showErrorMessage="1" sqref="HRR65541:HRR65564">
      <formula1>項目!A4:$HRK$65538</formula1>
    </dataValidation>
    <dataValidation type="list" allowBlank="1" showInputMessage="1" showErrorMessage="1" sqref="IBN65541:IBN65564">
      <formula1>項目!A4:$IBG$65538</formula1>
    </dataValidation>
    <dataValidation type="list" allowBlank="1" showInputMessage="1" showErrorMessage="1" sqref="ILJ65541:ILJ65564">
      <formula1>項目!A4:$ILC$65538</formula1>
    </dataValidation>
    <dataValidation type="list" allowBlank="1" showInputMessage="1" showErrorMessage="1" sqref="IVF65541:IVF65564">
      <formula1>項目!A4:$IUY$65538</formula1>
    </dataValidation>
    <dataValidation type="list" allowBlank="1" showInputMessage="1" showErrorMessage="1" sqref="JFB65541:JFB65564">
      <formula1>項目!A4:$JEU$65538</formula1>
    </dataValidation>
    <dataValidation type="list" allowBlank="1" showInputMessage="1" showErrorMessage="1" sqref="JOX65541:JOX65564">
      <formula1>項目!A4:$JOQ$65538</formula1>
    </dataValidation>
    <dataValidation type="list" allowBlank="1" showInputMessage="1" showErrorMessage="1" sqref="JYT65541:JYT65564">
      <formula1>項目!A4:$JYM$65538</formula1>
    </dataValidation>
    <dataValidation type="list" allowBlank="1" showInputMessage="1" showErrorMessage="1" sqref="KIP65541:KIP65564">
      <formula1>項目!A4:$KII$65538</formula1>
    </dataValidation>
    <dataValidation type="list" allowBlank="1" showInputMessage="1" showErrorMessage="1" sqref="KSL65541:KSL65564">
      <formula1>項目!A4:$KSE$65538</formula1>
    </dataValidation>
    <dataValidation type="list" allowBlank="1" showInputMessage="1" showErrorMessage="1" sqref="LCH65541:LCH65564">
      <formula1>項目!A4:$LCA$65538</formula1>
    </dataValidation>
    <dataValidation type="list" allowBlank="1" showInputMessage="1" showErrorMessage="1" sqref="LMD65541:LMD65564">
      <formula1>項目!A4:$LLW$65538</formula1>
    </dataValidation>
    <dataValidation type="list" allowBlank="1" showInputMessage="1" showErrorMessage="1" sqref="LVZ65541:LVZ65564">
      <formula1>項目!A4:$LVS$65538</formula1>
    </dataValidation>
    <dataValidation type="list" allowBlank="1" showInputMessage="1" showErrorMessage="1" sqref="MFV65541:MFV65564">
      <formula1>項目!A4:$MFO$65538</formula1>
    </dataValidation>
    <dataValidation type="list" allowBlank="1" showInputMessage="1" showErrorMessage="1" sqref="MPR65541:MPR65564">
      <formula1>項目!A4:$MPK$65538</formula1>
    </dataValidation>
    <dataValidation type="list" allowBlank="1" showInputMessage="1" showErrorMessage="1" sqref="MZN65541:MZN65564">
      <formula1>項目!A4:$MZG$65538</formula1>
    </dataValidation>
    <dataValidation type="list" allowBlank="1" showInputMessage="1" showErrorMessage="1" sqref="NJJ65541:NJJ65564">
      <formula1>項目!A4:$NJC$65538</formula1>
    </dataValidation>
    <dataValidation type="list" allowBlank="1" showInputMessage="1" showErrorMessage="1" sqref="NTF65541:NTF65564">
      <formula1>項目!A4:$NSY$65538</formula1>
    </dataValidation>
    <dataValidation type="list" allowBlank="1" showInputMessage="1" showErrorMessage="1" sqref="ODB65541:ODB65564">
      <formula1>項目!A4:$OCU$65538</formula1>
    </dataValidation>
    <dataValidation type="list" allowBlank="1" showInputMessage="1" showErrorMessage="1" sqref="OMX65541:OMX65564">
      <formula1>項目!A4:$OMQ$65538</formula1>
    </dataValidation>
    <dataValidation type="list" allowBlank="1" showInputMessage="1" showErrorMessage="1" sqref="OWT65541:OWT65564">
      <formula1>項目!A4:$OWM$65538</formula1>
    </dataValidation>
    <dataValidation type="list" allowBlank="1" showInputMessage="1" showErrorMessage="1" sqref="PGP65541:PGP65564">
      <formula1>項目!A4:$PGI$65538</formula1>
    </dataValidation>
    <dataValidation type="list" allowBlank="1" showInputMessage="1" showErrorMessage="1" sqref="PQL65541:PQL65564">
      <formula1>項目!A4:$PQE$65538</formula1>
    </dataValidation>
    <dataValidation type="list" allowBlank="1" showInputMessage="1" showErrorMessage="1" sqref="QAH65541:QAH65564">
      <formula1>項目!A4:$QAA$65538</formula1>
    </dataValidation>
    <dataValidation type="list" allowBlank="1" showInputMessage="1" showErrorMessage="1" sqref="QKD65541:QKD65564">
      <formula1>項目!A4:$QJW$65538</formula1>
    </dataValidation>
    <dataValidation type="list" allowBlank="1" showInputMessage="1" showErrorMessage="1" sqref="QTZ65541:QTZ65564">
      <formula1>項目!A4:$QTS$65538</formula1>
    </dataValidation>
    <dataValidation type="list" allowBlank="1" showInputMessage="1" showErrorMessage="1" sqref="RDV65541:RDV65564">
      <formula1>項目!A4:$RDO$65538</formula1>
    </dataValidation>
    <dataValidation type="list" allowBlank="1" showInputMessage="1" showErrorMessage="1" sqref="RNR65541:RNR65564">
      <formula1>項目!A4:$RNK$65538</formula1>
    </dataValidation>
    <dataValidation type="list" allowBlank="1" showInputMessage="1" showErrorMessage="1" sqref="RXN65541:RXN65564">
      <formula1>項目!A4:$RXG$65538</formula1>
    </dataValidation>
    <dataValidation type="list" allowBlank="1" showInputMessage="1" showErrorMessage="1" sqref="SHJ65541:SHJ65564">
      <formula1>項目!A4:$SHC$65538</formula1>
    </dataValidation>
    <dataValidation type="list" allowBlank="1" showInputMessage="1" showErrorMessage="1" sqref="SRF65541:SRF65564">
      <formula1>項目!A4:$SQY$65538</formula1>
    </dataValidation>
    <dataValidation type="list" allowBlank="1" showInputMessage="1" showErrorMessage="1" sqref="TBB65541:TBB65564">
      <formula1>項目!A4:$TAU$65538</formula1>
    </dataValidation>
    <dataValidation type="list" allowBlank="1" showInputMessage="1" showErrorMessage="1" sqref="TKX65541:TKX65564">
      <formula1>項目!A4:$TKQ$65538</formula1>
    </dataValidation>
    <dataValidation type="list" allowBlank="1" showInputMessage="1" showErrorMessage="1" sqref="TUT65541:TUT65564">
      <formula1>項目!A4:$TUM$65538</formula1>
    </dataValidation>
    <dataValidation type="list" allowBlank="1" showInputMessage="1" showErrorMessage="1" sqref="UEP65541:UEP65564">
      <formula1>項目!A4:$UEI$65538</formula1>
    </dataValidation>
    <dataValidation type="list" allowBlank="1" showInputMessage="1" showErrorMessage="1" sqref="UOL65541:UOL65564">
      <formula1>項目!A4:$UOE$65538</formula1>
    </dataValidation>
    <dataValidation type="list" allowBlank="1" showInputMessage="1" showErrorMessage="1" sqref="UYH65541:UYH65564">
      <formula1>項目!A4:$UYA$65538</formula1>
    </dataValidation>
    <dataValidation type="list" allowBlank="1" showInputMessage="1" showErrorMessage="1" sqref="VID65541:VID65564">
      <formula1>項目!A4:$VHW$65538</formula1>
    </dataValidation>
    <dataValidation type="list" allowBlank="1" showInputMessage="1" showErrorMessage="1" sqref="VRZ65541:VRZ65564">
      <formula1>項目!A4:$VRS$65538</formula1>
    </dataValidation>
    <dataValidation type="list" allowBlank="1" showInputMessage="1" showErrorMessage="1" sqref="WBV65541:WBV65564">
      <formula1>項目!A4:$WBO$65538</formula1>
    </dataValidation>
    <dataValidation type="list" allowBlank="1" showInputMessage="1" showErrorMessage="1" sqref="WLR65541:WLR65564">
      <formula1>項目!A4:$WLK$65538</formula1>
    </dataValidation>
    <dataValidation type="list" allowBlank="1" showInputMessage="1" showErrorMessage="1" sqref="WVN65541:WVN65564">
      <formula1>項目!A4:$WVG$65538</formula1>
    </dataValidation>
    <dataValidation type="list" allowBlank="1" showInputMessage="1" showErrorMessage="1" sqref="JB131077:JB131100">
      <formula1>項目!A4:$IU$131074</formula1>
    </dataValidation>
    <dataValidation type="list" allowBlank="1" showInputMessage="1" showErrorMessage="1" sqref="SX131077:SX131100">
      <formula1>項目!A4:$SQ$131074</formula1>
    </dataValidation>
    <dataValidation type="list" allowBlank="1" showInputMessage="1" showErrorMessage="1" sqref="ACT131077:ACT131100">
      <formula1>項目!A4:$ACM$131074</formula1>
    </dataValidation>
    <dataValidation type="list" allowBlank="1" showInputMessage="1" showErrorMessage="1" sqref="AMP131077:AMP131100">
      <formula1>項目!A4:$AMI$131074</formula1>
    </dataValidation>
    <dataValidation type="list" allowBlank="1" showInputMessage="1" showErrorMessage="1" sqref="AWL131077:AWL131100">
      <formula1>項目!A4:$AWE$131074</formula1>
    </dataValidation>
    <dataValidation type="list" allowBlank="1" showInputMessage="1" showErrorMessage="1" sqref="BGH131077:BGH131100">
      <formula1>項目!A4:$BGA$131074</formula1>
    </dataValidation>
    <dataValidation type="list" allowBlank="1" showInputMessage="1" showErrorMessage="1" sqref="BQD131077:BQD131100">
      <formula1>項目!A4:$BPW$131074</formula1>
    </dataValidation>
    <dataValidation type="list" allowBlank="1" showInputMessage="1" showErrorMessage="1" sqref="BZZ131077:BZZ131100">
      <formula1>項目!A4:$BZS$131074</formula1>
    </dataValidation>
    <dataValidation type="list" allowBlank="1" showInputMessage="1" showErrorMessage="1" sqref="CJV131077:CJV131100">
      <formula1>項目!A4:$CJO$131074</formula1>
    </dataValidation>
    <dataValidation type="list" allowBlank="1" showInputMessage="1" showErrorMessage="1" sqref="CTR131077:CTR131100">
      <formula1>項目!A4:$CTK$131074</formula1>
    </dataValidation>
    <dataValidation type="list" allowBlank="1" showInputMessage="1" showErrorMessage="1" sqref="DDN131077:DDN131100">
      <formula1>項目!A4:$DDG$131074</formula1>
    </dataValidation>
    <dataValidation type="list" allowBlank="1" showInputMessage="1" showErrorMessage="1" sqref="DNJ131077:DNJ131100">
      <formula1>項目!A4:$DNC$131074</formula1>
    </dataValidation>
    <dataValidation type="list" allowBlank="1" showInputMessage="1" showErrorMessage="1" sqref="DXF131077:DXF131100">
      <formula1>項目!A4:$DWY$131074</formula1>
    </dataValidation>
    <dataValidation type="list" allowBlank="1" showInputMessage="1" showErrorMessage="1" sqref="EHB131077:EHB131100">
      <formula1>項目!A4:$EGU$131074</formula1>
    </dataValidation>
    <dataValidation type="list" allowBlank="1" showInputMessage="1" showErrorMessage="1" sqref="EQX131077:EQX131100">
      <formula1>項目!A4:$EQQ$131074</formula1>
    </dataValidation>
    <dataValidation type="list" allowBlank="1" showInputMessage="1" showErrorMessage="1" sqref="FAT131077:FAT131100">
      <formula1>項目!A4:$FAM$131074</formula1>
    </dataValidation>
    <dataValidation type="list" allowBlank="1" showInputMessage="1" showErrorMessage="1" sqref="FKP131077:FKP131100">
      <formula1>項目!A4:$FKI$131074</formula1>
    </dataValidation>
    <dataValidation type="list" allowBlank="1" showInputMessage="1" showErrorMessage="1" sqref="FUL131077:FUL131100">
      <formula1>項目!A4:$FUE$131074</formula1>
    </dataValidation>
    <dataValidation type="list" allowBlank="1" showInputMessage="1" showErrorMessage="1" sqref="GEH131077:GEH131100">
      <formula1>項目!A4:$GEA$131074</formula1>
    </dataValidation>
    <dataValidation type="list" allowBlank="1" showInputMessage="1" showErrorMessage="1" sqref="GOD131077:GOD131100">
      <formula1>項目!A4:$GNW$131074</formula1>
    </dataValidation>
    <dataValidation type="list" allowBlank="1" showInputMessage="1" showErrorMessage="1" sqref="GXZ131077:GXZ131100">
      <formula1>項目!A4:$GXS$131074</formula1>
    </dataValidation>
    <dataValidation type="list" allowBlank="1" showInputMessage="1" showErrorMessage="1" sqref="HHV131077:HHV131100">
      <formula1>項目!A4:$HHO$131074</formula1>
    </dataValidation>
    <dataValidation type="list" allowBlank="1" showInputMessage="1" showErrorMessage="1" sqref="HRR131077:HRR131100">
      <formula1>項目!A4:$HRK$131074</formula1>
    </dataValidation>
    <dataValidation type="list" allowBlank="1" showInputMessage="1" showErrorMessage="1" sqref="IBN131077:IBN131100">
      <formula1>項目!A4:$IBG$131074</formula1>
    </dataValidation>
    <dataValidation type="list" allowBlank="1" showInputMessage="1" showErrorMessage="1" sqref="ILJ131077:ILJ131100">
      <formula1>項目!A4:$ILC$131074</formula1>
    </dataValidation>
    <dataValidation type="list" allowBlank="1" showInputMessage="1" showErrorMessage="1" sqref="IVF131077:IVF131100">
      <formula1>項目!A4:$IUY$131074</formula1>
    </dataValidation>
    <dataValidation type="list" allowBlank="1" showInputMessage="1" showErrorMessage="1" sqref="JFB131077:JFB131100">
      <formula1>項目!A4:$JEU$131074</formula1>
    </dataValidation>
    <dataValidation type="list" allowBlank="1" showInputMessage="1" showErrorMessage="1" sqref="JOX131077:JOX131100">
      <formula1>項目!A4:$JOQ$131074</formula1>
    </dataValidation>
    <dataValidation type="list" allowBlank="1" showInputMessage="1" showErrorMessage="1" sqref="JYT131077:JYT131100">
      <formula1>項目!A4:$JYM$131074</formula1>
    </dataValidation>
    <dataValidation type="list" allowBlank="1" showInputMessage="1" showErrorMessage="1" sqref="KIP131077:KIP131100">
      <formula1>項目!A4:$KII$131074</formula1>
    </dataValidation>
    <dataValidation type="list" allowBlank="1" showInputMessage="1" showErrorMessage="1" sqref="KSL131077:KSL131100">
      <formula1>項目!A4:$KSE$131074</formula1>
    </dataValidation>
    <dataValidation type="list" allowBlank="1" showInputMessage="1" showErrorMessage="1" sqref="LCH131077:LCH131100">
      <formula1>項目!A4:$LCA$131074</formula1>
    </dataValidation>
    <dataValidation type="list" allowBlank="1" showInputMessage="1" showErrorMessage="1" sqref="LMD131077:LMD131100">
      <formula1>項目!A4:$LLW$131074</formula1>
    </dataValidation>
    <dataValidation type="list" allowBlank="1" showInputMessage="1" showErrorMessage="1" sqref="LVZ131077:LVZ131100">
      <formula1>項目!A4:$LVS$131074</formula1>
    </dataValidation>
    <dataValidation type="list" allowBlank="1" showInputMessage="1" showErrorMessage="1" sqref="MFV131077:MFV131100">
      <formula1>項目!A4:$MFO$131074</formula1>
    </dataValidation>
    <dataValidation type="list" allowBlank="1" showInputMessage="1" showErrorMessage="1" sqref="MPR131077:MPR131100">
      <formula1>項目!A4:$MPK$131074</formula1>
    </dataValidation>
    <dataValidation type="list" allowBlank="1" showInputMessage="1" showErrorMessage="1" sqref="MZN131077:MZN131100">
      <formula1>項目!A4:$MZG$131074</formula1>
    </dataValidation>
    <dataValidation type="list" allowBlank="1" showInputMessage="1" showErrorMessage="1" sqref="NJJ131077:NJJ131100">
      <formula1>項目!A4:$NJC$131074</formula1>
    </dataValidation>
    <dataValidation type="list" allowBlank="1" showInputMessage="1" showErrorMessage="1" sqref="NTF131077:NTF131100">
      <formula1>項目!A4:$NSY$131074</formula1>
    </dataValidation>
    <dataValidation type="list" allowBlank="1" showInputMessage="1" showErrorMessage="1" sqref="ODB131077:ODB131100">
      <formula1>項目!A4:$OCU$131074</formula1>
    </dataValidation>
    <dataValidation type="list" allowBlank="1" showInputMessage="1" showErrorMessage="1" sqref="OMX131077:OMX131100">
      <formula1>項目!A4:$OMQ$131074</formula1>
    </dataValidation>
    <dataValidation type="list" allowBlank="1" showInputMessage="1" showErrorMessage="1" sqref="OWT131077:OWT131100">
      <formula1>項目!A4:$OWM$131074</formula1>
    </dataValidation>
    <dataValidation type="list" allowBlank="1" showInputMessage="1" showErrorMessage="1" sqref="PGP131077:PGP131100">
      <formula1>項目!A4:$PGI$131074</formula1>
    </dataValidation>
    <dataValidation type="list" allowBlank="1" showInputMessage="1" showErrorMessage="1" sqref="PQL131077:PQL131100">
      <formula1>項目!A4:$PQE$131074</formula1>
    </dataValidation>
    <dataValidation type="list" allowBlank="1" showInputMessage="1" showErrorMessage="1" sqref="QAH131077:QAH131100">
      <formula1>項目!A4:$QAA$131074</formula1>
    </dataValidation>
    <dataValidation type="list" allowBlank="1" showInputMessage="1" showErrorMessage="1" sqref="QKD131077:QKD131100">
      <formula1>項目!A4:$QJW$131074</formula1>
    </dataValidation>
    <dataValidation type="list" allowBlank="1" showInputMessage="1" showErrorMessage="1" sqref="QTZ131077:QTZ131100">
      <formula1>項目!A4:$QTS$131074</formula1>
    </dataValidation>
    <dataValidation type="list" allowBlank="1" showInputMessage="1" showErrorMessage="1" sqref="RDV131077:RDV131100">
      <formula1>項目!A4:$RDO$131074</formula1>
    </dataValidation>
    <dataValidation type="list" allowBlank="1" showInputMessage="1" showErrorMessage="1" sqref="RNR131077:RNR131100">
      <formula1>項目!A4:$RNK$131074</formula1>
    </dataValidation>
    <dataValidation type="list" allowBlank="1" showInputMessage="1" showErrorMessage="1" sqref="RXN131077:RXN131100">
      <formula1>項目!A4:$RXG$131074</formula1>
    </dataValidation>
    <dataValidation type="list" allowBlank="1" showInputMessage="1" showErrorMessage="1" sqref="SHJ131077:SHJ131100">
      <formula1>項目!A4:$SHC$131074</formula1>
    </dataValidation>
    <dataValidation type="list" allowBlank="1" showInputMessage="1" showErrorMessage="1" sqref="SRF131077:SRF131100">
      <formula1>項目!A4:$SQY$131074</formula1>
    </dataValidation>
    <dataValidation type="list" allowBlank="1" showInputMessage="1" showErrorMessage="1" sqref="TBB131077:TBB131100">
      <formula1>項目!A4:$TAU$131074</formula1>
    </dataValidation>
    <dataValidation type="list" allowBlank="1" showInputMessage="1" showErrorMessage="1" sqref="TKX131077:TKX131100">
      <formula1>項目!A4:$TKQ$131074</formula1>
    </dataValidation>
    <dataValidation type="list" allowBlank="1" showInputMessage="1" showErrorMessage="1" sqref="TUT131077:TUT131100">
      <formula1>項目!A4:$TUM$131074</formula1>
    </dataValidation>
    <dataValidation type="list" allowBlank="1" showInputMessage="1" showErrorMessage="1" sqref="UEP131077:UEP131100">
      <formula1>項目!A4:$UEI$131074</formula1>
    </dataValidation>
    <dataValidation type="list" allowBlank="1" showInputMessage="1" showErrorMessage="1" sqref="UOL131077:UOL131100">
      <formula1>項目!A4:$UOE$131074</formula1>
    </dataValidation>
    <dataValidation type="list" allowBlank="1" showInputMessage="1" showErrorMessage="1" sqref="UYH131077:UYH131100">
      <formula1>項目!A4:$UYA$131074</formula1>
    </dataValidation>
    <dataValidation type="list" allowBlank="1" showInputMessage="1" showErrorMessage="1" sqref="VID131077:VID131100">
      <formula1>項目!A4:$VHW$131074</formula1>
    </dataValidation>
    <dataValidation type="list" allowBlank="1" showInputMessage="1" showErrorMessage="1" sqref="VRZ131077:VRZ131100">
      <formula1>項目!A4:$VRS$131074</formula1>
    </dataValidation>
    <dataValidation type="list" allowBlank="1" showInputMessage="1" showErrorMessage="1" sqref="WBV131077:WBV131100">
      <formula1>項目!A4:$WBO$131074</formula1>
    </dataValidation>
    <dataValidation type="list" allowBlank="1" showInputMessage="1" showErrorMessage="1" sqref="WLR131077:WLR131100">
      <formula1>項目!A4:$WLK$131074</formula1>
    </dataValidation>
    <dataValidation type="list" allowBlank="1" showInputMessage="1" showErrorMessage="1" sqref="WVN131077:WVN131100">
      <formula1>項目!A4:$WVG$131074</formula1>
    </dataValidation>
    <dataValidation type="list" allowBlank="1" showInputMessage="1" showErrorMessage="1" sqref="JB196613:JB196636">
      <formula1>項目!A4:$IU$196610</formula1>
    </dataValidation>
    <dataValidation type="list" allowBlank="1" showInputMessage="1" showErrorMessage="1" sqref="SX196613:SX196636">
      <formula1>項目!A4:$SQ$196610</formula1>
    </dataValidation>
    <dataValidation type="list" allowBlank="1" showInputMessage="1" showErrorMessage="1" sqref="ACT196613:ACT196636">
      <formula1>項目!A4:$ACM$196610</formula1>
    </dataValidation>
    <dataValidation type="list" allowBlank="1" showInputMessage="1" showErrorMessage="1" sqref="AMP196613:AMP196636">
      <formula1>項目!A4:$AMI$196610</formula1>
    </dataValidation>
    <dataValidation type="list" allowBlank="1" showInputMessage="1" showErrorMessage="1" sqref="AWL196613:AWL196636">
      <formula1>項目!A4:$AWE$196610</formula1>
    </dataValidation>
    <dataValidation type="list" allowBlank="1" showInputMessage="1" showErrorMessage="1" sqref="BGH196613:BGH196636">
      <formula1>項目!A4:$BGA$196610</formula1>
    </dataValidation>
    <dataValidation type="list" allowBlank="1" showInputMessage="1" showErrorMessage="1" sqref="BQD196613:BQD196636">
      <formula1>項目!A4:$BPW$196610</formula1>
    </dataValidation>
    <dataValidation type="list" allowBlank="1" showInputMessage="1" showErrorMessage="1" sqref="BZZ196613:BZZ196636">
      <formula1>項目!A4:$BZS$196610</formula1>
    </dataValidation>
    <dataValidation type="list" allowBlank="1" showInputMessage="1" showErrorMessage="1" sqref="CJV196613:CJV196636">
      <formula1>項目!A4:$CJO$196610</formula1>
    </dataValidation>
    <dataValidation type="list" allowBlank="1" showInputMessage="1" showErrorMessage="1" sqref="CTR196613:CTR196636">
      <formula1>項目!A4:$CTK$196610</formula1>
    </dataValidation>
    <dataValidation type="list" allowBlank="1" showInputMessage="1" showErrorMessage="1" sqref="DDN196613:DDN196636">
      <formula1>項目!A4:$DDG$196610</formula1>
    </dataValidation>
    <dataValidation type="list" allowBlank="1" showInputMessage="1" showErrorMessage="1" sqref="DNJ196613:DNJ196636">
      <formula1>項目!A4:$DNC$196610</formula1>
    </dataValidation>
    <dataValidation type="list" allowBlank="1" showInputMessage="1" showErrorMessage="1" sqref="DXF196613:DXF196636">
      <formula1>項目!A4:$DWY$196610</formula1>
    </dataValidation>
    <dataValidation type="list" allowBlank="1" showInputMessage="1" showErrorMessage="1" sqref="EHB196613:EHB196636">
      <formula1>項目!A4:$EGU$196610</formula1>
    </dataValidation>
    <dataValidation type="list" allowBlank="1" showInputMessage="1" showErrorMessage="1" sqref="EQX196613:EQX196636">
      <formula1>項目!A4:$EQQ$196610</formula1>
    </dataValidation>
    <dataValidation type="list" allowBlank="1" showInputMessage="1" showErrorMessage="1" sqref="FAT196613:FAT196636">
      <formula1>項目!A4:$FAM$196610</formula1>
    </dataValidation>
    <dataValidation type="list" allowBlank="1" showInputMessage="1" showErrorMessage="1" sqref="FKP196613:FKP196636">
      <formula1>項目!A4:$FKI$196610</formula1>
    </dataValidation>
    <dataValidation type="list" allowBlank="1" showInputMessage="1" showErrorMessage="1" sqref="FUL196613:FUL196636">
      <formula1>項目!A4:$FUE$196610</formula1>
    </dataValidation>
    <dataValidation type="list" allowBlank="1" showInputMessage="1" showErrorMessage="1" sqref="GEH196613:GEH196636">
      <formula1>項目!A4:$GEA$196610</formula1>
    </dataValidation>
    <dataValidation type="list" allowBlank="1" showInputMessage="1" showErrorMessage="1" sqref="GOD196613:GOD196636">
      <formula1>項目!A4:$GNW$196610</formula1>
    </dataValidation>
    <dataValidation type="list" allowBlank="1" showInputMessage="1" showErrorMessage="1" sqref="GXZ196613:GXZ196636">
      <formula1>項目!A4:$GXS$196610</formula1>
    </dataValidation>
    <dataValidation type="list" allowBlank="1" showInputMessage="1" showErrorMessage="1" sqref="HHV196613:HHV196636">
      <formula1>項目!A4:$HHO$196610</formula1>
    </dataValidation>
    <dataValidation type="list" allowBlank="1" showInputMessage="1" showErrorMessage="1" sqref="HRR196613:HRR196636">
      <formula1>項目!A4:$HRK$196610</formula1>
    </dataValidation>
    <dataValidation type="list" allowBlank="1" showInputMessage="1" showErrorMessage="1" sqref="IBN196613:IBN196636">
      <formula1>項目!A4:$IBG$196610</formula1>
    </dataValidation>
    <dataValidation type="list" allowBlank="1" showInputMessage="1" showErrorMessage="1" sqref="ILJ196613:ILJ196636">
      <formula1>項目!A4:$ILC$196610</formula1>
    </dataValidation>
    <dataValidation type="list" allowBlank="1" showInputMessage="1" showErrorMessage="1" sqref="IVF196613:IVF196636">
      <formula1>項目!A4:$IUY$196610</formula1>
    </dataValidation>
    <dataValidation type="list" allowBlank="1" showInputMessage="1" showErrorMessage="1" sqref="JFB196613:JFB196636">
      <formula1>項目!A4:$JEU$196610</formula1>
    </dataValidation>
    <dataValidation type="list" allowBlank="1" showInputMessage="1" showErrorMessage="1" sqref="JOX196613:JOX196636">
      <formula1>項目!A4:$JOQ$196610</formula1>
    </dataValidation>
    <dataValidation type="list" allowBlank="1" showInputMessage="1" showErrorMessage="1" sqref="JYT196613:JYT196636">
      <formula1>項目!A4:$JYM$196610</formula1>
    </dataValidation>
    <dataValidation type="list" allowBlank="1" showInputMessage="1" showErrorMessage="1" sqref="KIP196613:KIP196636">
      <formula1>項目!A4:$KII$196610</formula1>
    </dataValidation>
    <dataValidation type="list" allowBlank="1" showInputMessage="1" showErrorMessage="1" sqref="KSL196613:KSL196636">
      <formula1>項目!A4:$KSE$196610</formula1>
    </dataValidation>
    <dataValidation type="list" allowBlank="1" showInputMessage="1" showErrorMessage="1" sqref="LCH196613:LCH196636">
      <formula1>項目!A4:$LCA$196610</formula1>
    </dataValidation>
    <dataValidation type="list" allowBlank="1" showInputMessage="1" showErrorMessage="1" sqref="LMD196613:LMD196636">
      <formula1>項目!A4:$LLW$196610</formula1>
    </dataValidation>
    <dataValidation type="list" allowBlank="1" showInputMessage="1" showErrorMessage="1" sqref="LVZ196613:LVZ196636">
      <formula1>項目!A4:$LVS$196610</formula1>
    </dataValidation>
    <dataValidation type="list" allowBlank="1" showInputMessage="1" showErrorMessage="1" sqref="MFV196613:MFV196636">
      <formula1>項目!A4:$MFO$196610</formula1>
    </dataValidation>
    <dataValidation type="list" allowBlank="1" showInputMessage="1" showErrorMessage="1" sqref="MPR196613:MPR196636">
      <formula1>項目!A4:$MPK$196610</formula1>
    </dataValidation>
    <dataValidation type="list" allowBlank="1" showInputMessage="1" showErrorMessage="1" sqref="MZN196613:MZN196636">
      <formula1>項目!A4:$MZG$196610</formula1>
    </dataValidation>
    <dataValidation type="list" allowBlank="1" showInputMessage="1" showErrorMessage="1" sqref="NJJ196613:NJJ196636">
      <formula1>項目!A4:$NJC$196610</formula1>
    </dataValidation>
    <dataValidation type="list" allowBlank="1" showInputMessage="1" showErrorMessage="1" sqref="NTF196613:NTF196636">
      <formula1>項目!A4:$NSY$196610</formula1>
    </dataValidation>
    <dataValidation type="list" allowBlank="1" showInputMessage="1" showErrorMessage="1" sqref="ODB196613:ODB196636">
      <formula1>項目!A4:$OCU$196610</formula1>
    </dataValidation>
    <dataValidation type="list" allowBlank="1" showInputMessage="1" showErrorMessage="1" sqref="OMX196613:OMX196636">
      <formula1>項目!A4:$OMQ$196610</formula1>
    </dataValidation>
    <dataValidation type="list" allowBlank="1" showInputMessage="1" showErrorMessage="1" sqref="OWT196613:OWT196636">
      <formula1>項目!A4:$OWM$196610</formula1>
    </dataValidation>
    <dataValidation type="list" allowBlank="1" showInputMessage="1" showErrorMessage="1" sqref="PGP196613:PGP196636">
      <formula1>項目!A4:$PGI$196610</formula1>
    </dataValidation>
    <dataValidation type="list" allowBlank="1" showInputMessage="1" showErrorMessage="1" sqref="PQL196613:PQL196636">
      <formula1>項目!A4:$PQE$196610</formula1>
    </dataValidation>
    <dataValidation type="list" allowBlank="1" showInputMessage="1" showErrorMessage="1" sqref="QAH196613:QAH196636">
      <formula1>項目!A4:$QAA$196610</formula1>
    </dataValidation>
    <dataValidation type="list" allowBlank="1" showInputMessage="1" showErrorMessage="1" sqref="QKD196613:QKD196636">
      <formula1>項目!A4:$QJW$196610</formula1>
    </dataValidation>
    <dataValidation type="list" allowBlank="1" showInputMessage="1" showErrorMessage="1" sqref="QTZ196613:QTZ196636">
      <formula1>項目!A4:$QTS$196610</formula1>
    </dataValidation>
    <dataValidation type="list" allowBlank="1" showInputMessage="1" showErrorMessage="1" sqref="RDV196613:RDV196636">
      <formula1>項目!A4:$RDO$196610</formula1>
    </dataValidation>
    <dataValidation type="list" allowBlank="1" showInputMessage="1" showErrorMessage="1" sqref="RNR196613:RNR196636">
      <formula1>項目!A4:$RNK$196610</formula1>
    </dataValidation>
    <dataValidation type="list" allowBlank="1" showInputMessage="1" showErrorMessage="1" sqref="RXN196613:RXN196636">
      <formula1>項目!A4:$RXG$196610</formula1>
    </dataValidation>
    <dataValidation type="list" allowBlank="1" showInputMessage="1" showErrorMessage="1" sqref="SHJ196613:SHJ196636">
      <formula1>項目!A4:$SHC$196610</formula1>
    </dataValidation>
    <dataValidation type="list" allowBlank="1" showInputMessage="1" showErrorMessage="1" sqref="SRF196613:SRF196636">
      <formula1>項目!A4:$SQY$196610</formula1>
    </dataValidation>
    <dataValidation type="list" allowBlank="1" showInputMessage="1" showErrorMessage="1" sqref="TBB196613:TBB196636">
      <formula1>項目!A4:$TAU$196610</formula1>
    </dataValidation>
    <dataValidation type="list" allowBlank="1" showInputMessage="1" showErrorMessage="1" sqref="TKX196613:TKX196636">
      <formula1>項目!A4:$TKQ$196610</formula1>
    </dataValidation>
    <dataValidation type="list" allowBlank="1" showInputMessage="1" showErrorMessage="1" sqref="TUT196613:TUT196636">
      <formula1>項目!A4:$TUM$196610</formula1>
    </dataValidation>
    <dataValidation type="list" allowBlank="1" showInputMessage="1" showErrorMessage="1" sqref="UEP196613:UEP196636">
      <formula1>項目!A4:$UEI$196610</formula1>
    </dataValidation>
    <dataValidation type="list" allowBlank="1" showInputMessage="1" showErrorMessage="1" sqref="UOL196613:UOL196636">
      <formula1>項目!A4:$UOE$196610</formula1>
    </dataValidation>
    <dataValidation type="list" allowBlank="1" showInputMessage="1" showErrorMessage="1" sqref="UYH196613:UYH196636">
      <formula1>項目!A4:$UYA$196610</formula1>
    </dataValidation>
    <dataValidation type="list" allowBlank="1" showInputMessage="1" showErrorMessage="1" sqref="VID196613:VID196636">
      <formula1>項目!A4:$VHW$196610</formula1>
    </dataValidation>
    <dataValidation type="list" allowBlank="1" showInputMessage="1" showErrorMessage="1" sqref="VRZ196613:VRZ196636">
      <formula1>項目!A4:$VRS$196610</formula1>
    </dataValidation>
    <dataValidation type="list" allowBlank="1" showInputMessage="1" showErrorMessage="1" sqref="WBV196613:WBV196636">
      <formula1>項目!A4:$WBO$196610</formula1>
    </dataValidation>
    <dataValidation type="list" allowBlank="1" showInputMessage="1" showErrorMessage="1" sqref="WLR196613:WLR196636">
      <formula1>項目!A4:$WLK$196610</formula1>
    </dataValidation>
    <dataValidation type="list" allowBlank="1" showInputMessage="1" showErrorMessage="1" sqref="WVN196613:WVN196636">
      <formula1>項目!A4:$WVG$196610</formula1>
    </dataValidation>
    <dataValidation type="list" allowBlank="1" showInputMessage="1" showErrorMessage="1" sqref="JB262149:JB262172">
      <formula1>項目!A4:$IU$262146</formula1>
    </dataValidation>
    <dataValidation type="list" allowBlank="1" showInputMessage="1" showErrorMessage="1" sqref="SX262149:SX262172">
      <formula1>項目!A4:$SQ$262146</formula1>
    </dataValidation>
    <dataValidation type="list" allowBlank="1" showInputMessage="1" showErrorMessage="1" sqref="ACT262149:ACT262172">
      <formula1>項目!A4:$ACM$262146</formula1>
    </dataValidation>
    <dataValidation type="list" allowBlank="1" showInputMessage="1" showErrorMessage="1" sqref="AMP262149:AMP262172">
      <formula1>項目!A4:$AMI$262146</formula1>
    </dataValidation>
    <dataValidation type="list" allowBlank="1" showInputMessage="1" showErrorMessage="1" sqref="AWL262149:AWL262172">
      <formula1>項目!A4:$AWE$262146</formula1>
    </dataValidation>
    <dataValidation type="list" allowBlank="1" showInputMessage="1" showErrorMessage="1" sqref="BGH262149:BGH262172">
      <formula1>項目!A4:$BGA$262146</formula1>
    </dataValidation>
    <dataValidation type="list" allowBlank="1" showInputMessage="1" showErrorMessage="1" sqref="BQD262149:BQD262172">
      <formula1>項目!A4:$BPW$262146</formula1>
    </dataValidation>
    <dataValidation type="list" allowBlank="1" showInputMessage="1" showErrorMessage="1" sqref="BZZ262149:BZZ262172">
      <formula1>項目!A4:$BZS$262146</formula1>
    </dataValidation>
    <dataValidation type="list" allowBlank="1" showInputMessage="1" showErrorMessage="1" sqref="CJV262149:CJV262172">
      <formula1>項目!A4:$CJO$262146</formula1>
    </dataValidation>
    <dataValidation type="list" allowBlank="1" showInputMessage="1" showErrorMessage="1" sqref="CTR262149:CTR262172">
      <formula1>項目!A4:$CTK$262146</formula1>
    </dataValidation>
    <dataValidation type="list" allowBlank="1" showInputMessage="1" showErrorMessage="1" sqref="DDN262149:DDN262172">
      <formula1>項目!A4:$DDG$262146</formula1>
    </dataValidation>
    <dataValidation type="list" allowBlank="1" showInputMessage="1" showErrorMessage="1" sqref="DNJ262149:DNJ262172">
      <formula1>項目!A4:$DNC$262146</formula1>
    </dataValidation>
    <dataValidation type="list" allowBlank="1" showInputMessage="1" showErrorMessage="1" sqref="DXF262149:DXF262172">
      <formula1>項目!A4:$DWY$262146</formula1>
    </dataValidation>
    <dataValidation type="list" allowBlank="1" showInputMessage="1" showErrorMessage="1" sqref="EHB262149:EHB262172">
      <formula1>項目!A4:$EGU$262146</formula1>
    </dataValidation>
    <dataValidation type="list" allowBlank="1" showInputMessage="1" showErrorMessage="1" sqref="EQX262149:EQX262172">
      <formula1>項目!A4:$EQQ$262146</formula1>
    </dataValidation>
    <dataValidation type="list" allowBlank="1" showInputMessage="1" showErrorMessage="1" sqref="FAT262149:FAT262172">
      <formula1>項目!A4:$FAM$262146</formula1>
    </dataValidation>
    <dataValidation type="list" allowBlank="1" showInputMessage="1" showErrorMessage="1" sqref="FKP262149:FKP262172">
      <formula1>項目!A4:$FKI$262146</formula1>
    </dataValidation>
    <dataValidation type="list" allowBlank="1" showInputMessage="1" showErrorMessage="1" sqref="FUL262149:FUL262172">
      <formula1>項目!A4:$FUE$262146</formula1>
    </dataValidation>
    <dataValidation type="list" allowBlank="1" showInputMessage="1" showErrorMessage="1" sqref="GEH262149:GEH262172">
      <formula1>項目!A4:$GEA$262146</formula1>
    </dataValidation>
    <dataValidation type="list" allowBlank="1" showInputMessage="1" showErrorMessage="1" sqref="GOD262149:GOD262172">
      <formula1>項目!A4:$GNW$262146</formula1>
    </dataValidation>
    <dataValidation type="list" allowBlank="1" showInputMessage="1" showErrorMessage="1" sqref="GXZ262149:GXZ262172">
      <formula1>項目!A4:$GXS$262146</formula1>
    </dataValidation>
    <dataValidation type="list" allowBlank="1" showInputMessage="1" showErrorMessage="1" sqref="HHV262149:HHV262172">
      <formula1>項目!A4:$HHO$262146</formula1>
    </dataValidation>
    <dataValidation type="list" allowBlank="1" showInputMessage="1" showErrorMessage="1" sqref="HRR262149:HRR262172">
      <formula1>項目!A4:$HRK$262146</formula1>
    </dataValidation>
    <dataValidation type="list" allowBlank="1" showInputMessage="1" showErrorMessage="1" sqref="IBN262149:IBN262172">
      <formula1>項目!A4:$IBG$262146</formula1>
    </dataValidation>
    <dataValidation type="list" allowBlank="1" showInputMessage="1" showErrorMessage="1" sqref="ILJ262149:ILJ262172">
      <formula1>項目!A4:$ILC$262146</formula1>
    </dataValidation>
    <dataValidation type="list" allowBlank="1" showInputMessage="1" showErrorMessage="1" sqref="IVF262149:IVF262172">
      <formula1>項目!A4:$IUY$262146</formula1>
    </dataValidation>
    <dataValidation type="list" allowBlank="1" showInputMessage="1" showErrorMessage="1" sqref="JFB262149:JFB262172">
      <formula1>項目!A4:$JEU$262146</formula1>
    </dataValidation>
    <dataValidation type="list" allowBlank="1" showInputMessage="1" showErrorMessage="1" sqref="JOX262149:JOX262172">
      <formula1>項目!A4:$JOQ$262146</formula1>
    </dataValidation>
    <dataValidation type="list" allowBlank="1" showInputMessage="1" showErrorMessage="1" sqref="JYT262149:JYT262172">
      <formula1>項目!A4:$JYM$262146</formula1>
    </dataValidation>
    <dataValidation type="list" allowBlank="1" showInputMessage="1" showErrorMessage="1" sqref="KIP262149:KIP262172">
      <formula1>項目!A4:$KII$262146</formula1>
    </dataValidation>
    <dataValidation type="list" allowBlank="1" showInputMessage="1" showErrorMessage="1" sqref="KSL262149:KSL262172">
      <formula1>項目!A4:$KSE$262146</formula1>
    </dataValidation>
    <dataValidation type="list" allowBlank="1" showInputMessage="1" showErrorMessage="1" sqref="LCH262149:LCH262172">
      <formula1>項目!A4:$LCA$262146</formula1>
    </dataValidation>
    <dataValidation type="list" allowBlank="1" showInputMessage="1" showErrorMessage="1" sqref="LMD262149:LMD262172">
      <formula1>項目!A4:$LLW$262146</formula1>
    </dataValidation>
    <dataValidation type="list" allowBlank="1" showInputMessage="1" showErrorMessage="1" sqref="LVZ262149:LVZ262172">
      <formula1>項目!A4:$LVS$262146</formula1>
    </dataValidation>
    <dataValidation type="list" allowBlank="1" showInputMessage="1" showErrorMessage="1" sqref="MFV262149:MFV262172">
      <formula1>項目!A4:$MFO$262146</formula1>
    </dataValidation>
    <dataValidation type="list" allowBlank="1" showInputMessage="1" showErrorMessage="1" sqref="MPR262149:MPR262172">
      <formula1>項目!A4:$MPK$262146</formula1>
    </dataValidation>
    <dataValidation type="list" allowBlank="1" showInputMessage="1" showErrorMessage="1" sqref="MZN262149:MZN262172">
      <formula1>項目!A4:$MZG$262146</formula1>
    </dataValidation>
    <dataValidation type="list" allowBlank="1" showInputMessage="1" showErrorMessage="1" sqref="NJJ262149:NJJ262172">
      <formula1>項目!A4:$NJC$262146</formula1>
    </dataValidation>
    <dataValidation type="list" allowBlank="1" showInputMessage="1" showErrorMessage="1" sqref="NTF262149:NTF262172">
      <formula1>項目!A4:$NSY$262146</formula1>
    </dataValidation>
    <dataValidation type="list" allowBlank="1" showInputMessage="1" showErrorMessage="1" sqref="ODB262149:ODB262172">
      <formula1>項目!A4:$OCU$262146</formula1>
    </dataValidation>
    <dataValidation type="list" allowBlank="1" showInputMessage="1" showErrorMessage="1" sqref="OMX262149:OMX262172">
      <formula1>項目!A4:$OMQ$262146</formula1>
    </dataValidation>
    <dataValidation type="list" allowBlank="1" showInputMessage="1" showErrorMessage="1" sqref="OWT262149:OWT262172">
      <formula1>項目!A4:$OWM$262146</formula1>
    </dataValidation>
    <dataValidation type="list" allowBlank="1" showInputMessage="1" showErrorMessage="1" sqref="PGP262149:PGP262172">
      <formula1>項目!A4:$PGI$262146</formula1>
    </dataValidation>
    <dataValidation type="list" allowBlank="1" showInputMessage="1" showErrorMessage="1" sqref="PQL262149:PQL262172">
      <formula1>項目!A4:$PQE$262146</formula1>
    </dataValidation>
    <dataValidation type="list" allowBlank="1" showInputMessage="1" showErrorMessage="1" sqref="QAH262149:QAH262172">
      <formula1>項目!A4:$QAA$262146</formula1>
    </dataValidation>
    <dataValidation type="list" allowBlank="1" showInputMessage="1" showErrorMessage="1" sqref="QKD262149:QKD262172">
      <formula1>項目!A4:$QJW$262146</formula1>
    </dataValidation>
    <dataValidation type="list" allowBlank="1" showInputMessage="1" showErrorMessage="1" sqref="QTZ262149:QTZ262172">
      <formula1>項目!A4:$QTS$262146</formula1>
    </dataValidation>
    <dataValidation type="list" allowBlank="1" showInputMessage="1" showErrorMessage="1" sqref="RDV262149:RDV262172">
      <formula1>項目!A4:$RDO$262146</formula1>
    </dataValidation>
    <dataValidation type="list" allowBlank="1" showInputMessage="1" showErrorMessage="1" sqref="RNR262149:RNR262172">
      <formula1>項目!A4:$RNK$262146</formula1>
    </dataValidation>
    <dataValidation type="list" allowBlank="1" showInputMessage="1" showErrorMessage="1" sqref="RXN262149:RXN262172">
      <formula1>項目!A4:$RXG$262146</formula1>
    </dataValidation>
    <dataValidation type="list" allowBlank="1" showInputMessage="1" showErrorMessage="1" sqref="SHJ262149:SHJ262172">
      <formula1>項目!A4:$SHC$262146</formula1>
    </dataValidation>
    <dataValidation type="list" allowBlank="1" showInputMessage="1" showErrorMessage="1" sqref="SRF262149:SRF262172">
      <formula1>項目!A4:$SQY$262146</formula1>
    </dataValidation>
    <dataValidation type="list" allowBlank="1" showInputMessage="1" showErrorMessage="1" sqref="TBB262149:TBB262172">
      <formula1>項目!A4:$TAU$262146</formula1>
    </dataValidation>
    <dataValidation type="list" allowBlank="1" showInputMessage="1" showErrorMessage="1" sqref="TKX262149:TKX262172">
      <formula1>項目!A4:$TKQ$262146</formula1>
    </dataValidation>
    <dataValidation type="list" allowBlank="1" showInputMessage="1" showErrorMessage="1" sqref="TUT262149:TUT262172">
      <formula1>項目!A4:$TUM$262146</formula1>
    </dataValidation>
    <dataValidation type="list" allowBlank="1" showInputMessage="1" showErrorMessage="1" sqref="UEP262149:UEP262172">
      <formula1>項目!A4:$UEI$262146</formula1>
    </dataValidation>
    <dataValidation type="list" allowBlank="1" showInputMessage="1" showErrorMessage="1" sqref="UOL262149:UOL262172">
      <formula1>項目!A4:$UOE$262146</formula1>
    </dataValidation>
    <dataValidation type="list" allowBlank="1" showInputMessage="1" showErrorMessage="1" sqref="UYH262149:UYH262172">
      <formula1>項目!A4:$UYA$262146</formula1>
    </dataValidation>
    <dataValidation type="list" allowBlank="1" showInputMessage="1" showErrorMessage="1" sqref="VID262149:VID262172">
      <formula1>項目!A4:$VHW$262146</formula1>
    </dataValidation>
    <dataValidation type="list" allowBlank="1" showInputMessage="1" showErrorMessage="1" sqref="VRZ262149:VRZ262172">
      <formula1>項目!A4:$VRS$262146</formula1>
    </dataValidation>
    <dataValidation type="list" allowBlank="1" showInputMessage="1" showErrorMessage="1" sqref="WBV262149:WBV262172">
      <formula1>項目!A4:$WBO$262146</formula1>
    </dataValidation>
    <dataValidation type="list" allowBlank="1" showInputMessage="1" showErrorMessage="1" sqref="WLR262149:WLR262172">
      <formula1>項目!A4:$WLK$262146</formula1>
    </dataValidation>
    <dataValidation type="list" allowBlank="1" showInputMessage="1" showErrorMessage="1" sqref="WVN262149:WVN262172">
      <formula1>項目!A4:$WVG$262146</formula1>
    </dataValidation>
    <dataValidation type="list" allowBlank="1" showInputMessage="1" showErrorMessage="1" sqref="JB327685:JB327708">
      <formula1>項目!A4:$IU$327682</formula1>
    </dataValidation>
    <dataValidation type="list" allowBlank="1" showInputMessage="1" showErrorMessage="1" sqref="SX327685:SX327708">
      <formula1>項目!A4:$SQ$327682</formula1>
    </dataValidation>
    <dataValidation type="list" allowBlank="1" showInputMessage="1" showErrorMessage="1" sqref="ACT327685:ACT327708">
      <formula1>項目!A4:$ACM$327682</formula1>
    </dataValidation>
    <dataValidation type="list" allowBlank="1" showInputMessage="1" showErrorMessage="1" sqref="AMP327685:AMP327708">
      <formula1>項目!A4:$AMI$327682</formula1>
    </dataValidation>
    <dataValidation type="list" allowBlank="1" showInputMessage="1" showErrorMessage="1" sqref="AWL327685:AWL327708">
      <formula1>項目!A4:$AWE$327682</formula1>
    </dataValidation>
    <dataValidation type="list" allowBlank="1" showInputMessage="1" showErrorMessage="1" sqref="BGH327685:BGH327708">
      <formula1>項目!A4:$BGA$327682</formula1>
    </dataValidation>
    <dataValidation type="list" allowBlank="1" showInputMessage="1" showErrorMessage="1" sqref="BQD327685:BQD327708">
      <formula1>項目!A4:$BPW$327682</formula1>
    </dataValidation>
    <dataValidation type="list" allowBlank="1" showInputMessage="1" showErrorMessage="1" sqref="BZZ327685:BZZ327708">
      <formula1>項目!A4:$BZS$327682</formula1>
    </dataValidation>
    <dataValidation type="list" allowBlank="1" showInputMessage="1" showErrorMessage="1" sqref="CJV327685:CJV327708">
      <formula1>項目!A4:$CJO$327682</formula1>
    </dataValidation>
    <dataValidation type="list" allowBlank="1" showInputMessage="1" showErrorMessage="1" sqref="CTR327685:CTR327708">
      <formula1>項目!A4:$CTK$327682</formula1>
    </dataValidation>
    <dataValidation type="list" allowBlank="1" showInputMessage="1" showErrorMessage="1" sqref="DDN327685:DDN327708">
      <formula1>項目!A4:$DDG$327682</formula1>
    </dataValidation>
    <dataValidation type="list" allowBlank="1" showInputMessage="1" showErrorMessage="1" sqref="DNJ327685:DNJ327708">
      <formula1>項目!A4:$DNC$327682</formula1>
    </dataValidation>
    <dataValidation type="list" allowBlank="1" showInputMessage="1" showErrorMessage="1" sqref="DXF327685:DXF327708">
      <formula1>項目!A4:$DWY$327682</formula1>
    </dataValidation>
    <dataValidation type="list" allowBlank="1" showInputMessage="1" showErrorMessage="1" sqref="EHB327685:EHB327708">
      <formula1>項目!A4:$EGU$327682</formula1>
    </dataValidation>
    <dataValidation type="list" allowBlank="1" showInputMessage="1" showErrorMessage="1" sqref="EQX327685:EQX327708">
      <formula1>項目!A4:$EQQ$327682</formula1>
    </dataValidation>
    <dataValidation type="list" allowBlank="1" showInputMessage="1" showErrorMessage="1" sqref="FAT327685:FAT327708">
      <formula1>項目!A4:$FAM$327682</formula1>
    </dataValidation>
    <dataValidation type="list" allowBlank="1" showInputMessage="1" showErrorMessage="1" sqref="FKP327685:FKP327708">
      <formula1>項目!A4:$FKI$327682</formula1>
    </dataValidation>
    <dataValidation type="list" allowBlank="1" showInputMessage="1" showErrorMessage="1" sqref="FUL327685:FUL327708">
      <formula1>項目!A4:$FUE$327682</formula1>
    </dataValidation>
    <dataValidation type="list" allowBlank="1" showInputMessage="1" showErrorMessage="1" sqref="GEH327685:GEH327708">
      <formula1>項目!A4:$GEA$327682</formula1>
    </dataValidation>
    <dataValidation type="list" allowBlank="1" showInputMessage="1" showErrorMessage="1" sqref="GOD327685:GOD327708">
      <formula1>項目!A4:$GNW$327682</formula1>
    </dataValidation>
    <dataValidation type="list" allowBlank="1" showInputMessage="1" showErrorMessage="1" sqref="GXZ327685:GXZ327708">
      <formula1>項目!A4:$GXS$327682</formula1>
    </dataValidation>
    <dataValidation type="list" allowBlank="1" showInputMessage="1" showErrorMessage="1" sqref="HHV327685:HHV327708">
      <formula1>項目!A4:$HHO$327682</formula1>
    </dataValidation>
    <dataValidation type="list" allowBlank="1" showInputMessage="1" showErrorMessage="1" sqref="HRR327685:HRR327708">
      <formula1>項目!A4:$HRK$327682</formula1>
    </dataValidation>
    <dataValidation type="list" allowBlank="1" showInputMessage="1" showErrorMessage="1" sqref="IBN327685:IBN327708">
      <formula1>項目!A4:$IBG$327682</formula1>
    </dataValidation>
    <dataValidation type="list" allowBlank="1" showInputMessage="1" showErrorMessage="1" sqref="ILJ327685:ILJ327708">
      <formula1>項目!A4:$ILC$327682</formula1>
    </dataValidation>
    <dataValidation type="list" allowBlank="1" showInputMessage="1" showErrorMessage="1" sqref="IVF327685:IVF327708">
      <formula1>項目!A4:$IUY$327682</formula1>
    </dataValidation>
    <dataValidation type="list" allowBlank="1" showInputMessage="1" showErrorMessage="1" sqref="JFB327685:JFB327708">
      <formula1>項目!A4:$JEU$327682</formula1>
    </dataValidation>
    <dataValidation type="list" allowBlank="1" showInputMessage="1" showErrorMessage="1" sqref="JOX327685:JOX327708">
      <formula1>項目!A4:$JOQ$327682</formula1>
    </dataValidation>
    <dataValidation type="list" allowBlank="1" showInputMessage="1" showErrorMessage="1" sqref="JYT327685:JYT327708">
      <formula1>項目!A4:$JYM$327682</formula1>
    </dataValidation>
    <dataValidation type="list" allowBlank="1" showInputMessage="1" showErrorMessage="1" sqref="KIP327685:KIP327708">
      <formula1>項目!A4:$KII$327682</formula1>
    </dataValidation>
    <dataValidation type="list" allowBlank="1" showInputMessage="1" showErrorMessage="1" sqref="KSL327685:KSL327708">
      <formula1>項目!A4:$KSE$327682</formula1>
    </dataValidation>
    <dataValidation type="list" allowBlank="1" showInputMessage="1" showErrorMessage="1" sqref="LCH327685:LCH327708">
      <formula1>項目!A4:$LCA$327682</formula1>
    </dataValidation>
    <dataValidation type="list" allowBlank="1" showInputMessage="1" showErrorMessage="1" sqref="LMD327685:LMD327708">
      <formula1>項目!A4:$LLW$327682</formula1>
    </dataValidation>
    <dataValidation type="list" allowBlank="1" showInputMessage="1" showErrorMessage="1" sqref="LVZ327685:LVZ327708">
      <formula1>項目!A4:$LVS$327682</formula1>
    </dataValidation>
    <dataValidation type="list" allowBlank="1" showInputMessage="1" showErrorMessage="1" sqref="MFV327685:MFV327708">
      <formula1>項目!A4:$MFO$327682</formula1>
    </dataValidation>
    <dataValidation type="list" allowBlank="1" showInputMessage="1" showErrorMessage="1" sqref="MPR327685:MPR327708">
      <formula1>項目!A4:$MPK$327682</formula1>
    </dataValidation>
    <dataValidation type="list" allowBlank="1" showInputMessage="1" showErrorMessage="1" sqref="MZN327685:MZN327708">
      <formula1>項目!A4:$MZG$327682</formula1>
    </dataValidation>
    <dataValidation type="list" allowBlank="1" showInputMessage="1" showErrorMessage="1" sqref="NJJ327685:NJJ327708">
      <formula1>項目!A4:$NJC$327682</formula1>
    </dataValidation>
    <dataValidation type="list" allowBlank="1" showInputMessage="1" showErrorMessage="1" sqref="NTF327685:NTF327708">
      <formula1>項目!A4:$NSY$327682</formula1>
    </dataValidation>
    <dataValidation type="list" allowBlank="1" showInputMessage="1" showErrorMessage="1" sqref="ODB327685:ODB327708">
      <formula1>項目!A4:$OCU$327682</formula1>
    </dataValidation>
    <dataValidation type="list" allowBlank="1" showInputMessage="1" showErrorMessage="1" sqref="OMX327685:OMX327708">
      <formula1>項目!A4:$OMQ$327682</formula1>
    </dataValidation>
    <dataValidation type="list" allowBlank="1" showInputMessage="1" showErrorMessage="1" sqref="OWT327685:OWT327708">
      <formula1>項目!A4:$OWM$327682</formula1>
    </dataValidation>
    <dataValidation type="list" allowBlank="1" showInputMessage="1" showErrorMessage="1" sqref="PGP327685:PGP327708">
      <formula1>項目!A4:$PGI$327682</formula1>
    </dataValidation>
    <dataValidation type="list" allowBlank="1" showInputMessage="1" showErrorMessage="1" sqref="PQL327685:PQL327708">
      <formula1>項目!A4:$PQE$327682</formula1>
    </dataValidation>
    <dataValidation type="list" allowBlank="1" showInputMessage="1" showErrorMessage="1" sqref="QAH327685:QAH327708">
      <formula1>項目!A4:$QAA$327682</formula1>
    </dataValidation>
    <dataValidation type="list" allowBlank="1" showInputMessage="1" showErrorMessage="1" sqref="QKD327685:QKD327708">
      <formula1>項目!A4:$QJW$327682</formula1>
    </dataValidation>
    <dataValidation type="list" allowBlank="1" showInputMessage="1" showErrorMessage="1" sqref="QTZ327685:QTZ327708">
      <formula1>項目!A4:$QTS$327682</formula1>
    </dataValidation>
    <dataValidation type="list" allowBlank="1" showInputMessage="1" showErrorMessage="1" sqref="RDV327685:RDV327708">
      <formula1>項目!A4:$RDO$327682</formula1>
    </dataValidation>
    <dataValidation type="list" allowBlank="1" showInputMessage="1" showErrorMessage="1" sqref="RNR327685:RNR327708">
      <formula1>項目!A4:$RNK$327682</formula1>
    </dataValidation>
    <dataValidation type="list" allowBlank="1" showInputMessage="1" showErrorMessage="1" sqref="RXN327685:RXN327708">
      <formula1>項目!A4:$RXG$327682</formula1>
    </dataValidation>
    <dataValidation type="list" allowBlank="1" showInputMessage="1" showErrorMessage="1" sqref="SHJ327685:SHJ327708">
      <formula1>項目!A4:$SHC$327682</formula1>
    </dataValidation>
    <dataValidation type="list" allowBlank="1" showInputMessage="1" showErrorMessage="1" sqref="SRF327685:SRF327708">
      <formula1>項目!A4:$SQY$327682</formula1>
    </dataValidation>
    <dataValidation type="list" allowBlank="1" showInputMessage="1" showErrorMessage="1" sqref="TBB327685:TBB327708">
      <formula1>項目!A4:$TAU$327682</formula1>
    </dataValidation>
    <dataValidation type="list" allowBlank="1" showInputMessage="1" showErrorMessage="1" sqref="TKX327685:TKX327708">
      <formula1>項目!A4:$TKQ$327682</formula1>
    </dataValidation>
    <dataValidation type="list" allowBlank="1" showInputMessage="1" showErrorMessage="1" sqref="TUT327685:TUT327708">
      <formula1>項目!A4:$TUM$327682</formula1>
    </dataValidation>
    <dataValidation type="list" allowBlank="1" showInputMessage="1" showErrorMessage="1" sqref="UEP327685:UEP327708">
      <formula1>項目!A4:$UEI$327682</formula1>
    </dataValidation>
    <dataValidation type="list" allowBlank="1" showInputMessage="1" showErrorMessage="1" sqref="UOL327685:UOL327708">
      <formula1>項目!A4:$UOE$327682</formula1>
    </dataValidation>
    <dataValidation type="list" allowBlank="1" showInputMessage="1" showErrorMessage="1" sqref="UYH327685:UYH327708">
      <formula1>項目!A4:$UYA$327682</formula1>
    </dataValidation>
    <dataValidation type="list" allowBlank="1" showInputMessage="1" showErrorMessage="1" sqref="VID327685:VID327708">
      <formula1>項目!A4:$VHW$327682</formula1>
    </dataValidation>
    <dataValidation type="list" allowBlank="1" showInputMessage="1" showErrorMessage="1" sqref="VRZ327685:VRZ327708">
      <formula1>項目!A4:$VRS$327682</formula1>
    </dataValidation>
    <dataValidation type="list" allowBlank="1" showInputMessage="1" showErrorMessage="1" sqref="WBV327685:WBV327708">
      <formula1>項目!A4:$WBO$327682</formula1>
    </dataValidation>
    <dataValidation type="list" allowBlank="1" showInputMessage="1" showErrorMessage="1" sqref="WLR327685:WLR327708">
      <formula1>項目!A4:$WLK$327682</formula1>
    </dataValidation>
    <dataValidation type="list" allowBlank="1" showInputMessage="1" showErrorMessage="1" sqref="WVN327685:WVN327708">
      <formula1>項目!A4:$WVG$327682</formula1>
    </dataValidation>
    <dataValidation type="list" allowBlank="1" showInputMessage="1" showErrorMessage="1" sqref="JB393221:JB393244">
      <formula1>項目!A4:$IU$393218</formula1>
    </dataValidation>
    <dataValidation type="list" allowBlank="1" showInputMessage="1" showErrorMessage="1" sqref="SX393221:SX393244">
      <formula1>項目!A4:$SQ$393218</formula1>
    </dataValidation>
    <dataValidation type="list" allowBlank="1" showInputMessage="1" showErrorMessage="1" sqref="ACT393221:ACT393244">
      <formula1>項目!A4:$ACM$393218</formula1>
    </dataValidation>
    <dataValidation type="list" allowBlank="1" showInputMessage="1" showErrorMessage="1" sqref="AMP393221:AMP393244">
      <formula1>項目!A4:$AMI$393218</formula1>
    </dataValidation>
    <dataValidation type="list" allowBlank="1" showInputMessage="1" showErrorMessage="1" sqref="AWL393221:AWL393244">
      <formula1>項目!A4:$AWE$393218</formula1>
    </dataValidation>
    <dataValidation type="list" allowBlank="1" showInputMessage="1" showErrorMessage="1" sqref="BGH393221:BGH393244">
      <formula1>項目!A4:$BGA$393218</formula1>
    </dataValidation>
    <dataValidation type="list" allowBlank="1" showInputMessage="1" showErrorMessage="1" sqref="BQD393221:BQD393244">
      <formula1>項目!A4:$BPW$393218</formula1>
    </dataValidation>
    <dataValidation type="list" allowBlank="1" showInputMessage="1" showErrorMessage="1" sqref="BZZ393221:BZZ393244">
      <formula1>項目!A4:$BZS$393218</formula1>
    </dataValidation>
    <dataValidation type="list" allowBlank="1" showInputMessage="1" showErrorMessage="1" sqref="CJV393221:CJV393244">
      <formula1>項目!A4:$CJO$393218</formula1>
    </dataValidation>
    <dataValidation type="list" allowBlank="1" showInputMessage="1" showErrorMessage="1" sqref="CTR393221:CTR393244">
      <formula1>項目!A4:$CTK$393218</formula1>
    </dataValidation>
    <dataValidation type="list" allowBlank="1" showInputMessage="1" showErrorMessage="1" sqref="DDN393221:DDN393244">
      <formula1>項目!A4:$DDG$393218</formula1>
    </dataValidation>
    <dataValidation type="list" allowBlank="1" showInputMessage="1" showErrorMessage="1" sqref="DNJ393221:DNJ393244">
      <formula1>項目!A4:$DNC$393218</formula1>
    </dataValidation>
    <dataValidation type="list" allowBlank="1" showInputMessage="1" showErrorMessage="1" sqref="DXF393221:DXF393244">
      <formula1>項目!A4:$DWY$393218</formula1>
    </dataValidation>
    <dataValidation type="list" allowBlank="1" showInputMessage="1" showErrorMessage="1" sqref="EHB393221:EHB393244">
      <formula1>項目!A4:$EGU$393218</formula1>
    </dataValidation>
    <dataValidation type="list" allowBlank="1" showInputMessage="1" showErrorMessage="1" sqref="EQX393221:EQX393244">
      <formula1>項目!A4:$EQQ$393218</formula1>
    </dataValidation>
    <dataValidation type="list" allowBlank="1" showInputMessage="1" showErrorMessage="1" sqref="FAT393221:FAT393244">
      <formula1>項目!A4:$FAM$393218</formula1>
    </dataValidation>
    <dataValidation type="list" allowBlank="1" showInputMessage="1" showErrorMessage="1" sqref="FKP393221:FKP393244">
      <formula1>項目!A4:$FKI$393218</formula1>
    </dataValidation>
    <dataValidation type="list" allowBlank="1" showInputMessage="1" showErrorMessage="1" sqref="FUL393221:FUL393244">
      <formula1>項目!A4:$FUE$393218</formula1>
    </dataValidation>
    <dataValidation type="list" allowBlank="1" showInputMessage="1" showErrorMessage="1" sqref="GEH393221:GEH393244">
      <formula1>項目!A4:$GEA$393218</formula1>
    </dataValidation>
    <dataValidation type="list" allowBlank="1" showInputMessage="1" showErrorMessage="1" sqref="GOD393221:GOD393244">
      <formula1>項目!A4:$GNW$393218</formula1>
    </dataValidation>
    <dataValidation type="list" allowBlank="1" showInputMessage="1" showErrorMessage="1" sqref="GXZ393221:GXZ393244">
      <formula1>項目!A4:$GXS$393218</formula1>
    </dataValidation>
    <dataValidation type="list" allowBlank="1" showInputMessage="1" showErrorMessage="1" sqref="HHV393221:HHV393244">
      <formula1>項目!A4:$HHO$393218</formula1>
    </dataValidation>
    <dataValidation type="list" allowBlank="1" showInputMessage="1" showErrorMessage="1" sqref="HRR393221:HRR393244">
      <formula1>項目!A4:$HRK$393218</formula1>
    </dataValidation>
    <dataValidation type="list" allowBlank="1" showInputMessage="1" showErrorMessage="1" sqref="IBN393221:IBN393244">
      <formula1>項目!A4:$IBG$393218</formula1>
    </dataValidation>
    <dataValidation type="list" allowBlank="1" showInputMessage="1" showErrorMessage="1" sqref="ILJ393221:ILJ393244">
      <formula1>項目!A4:$ILC$393218</formula1>
    </dataValidation>
    <dataValidation type="list" allowBlank="1" showInputMessage="1" showErrorMessage="1" sqref="IVF393221:IVF393244">
      <formula1>項目!A4:$IUY$393218</formula1>
    </dataValidation>
    <dataValidation type="list" allowBlank="1" showInputMessage="1" showErrorMessage="1" sqref="JFB393221:JFB393244">
      <formula1>項目!A4:$JEU$393218</formula1>
    </dataValidation>
    <dataValidation type="list" allowBlank="1" showInputMessage="1" showErrorMessage="1" sqref="JOX393221:JOX393244">
      <formula1>項目!A4:$JOQ$393218</formula1>
    </dataValidation>
    <dataValidation type="list" allowBlank="1" showInputMessage="1" showErrorMessage="1" sqref="JYT393221:JYT393244">
      <formula1>項目!A4:$JYM$393218</formula1>
    </dataValidation>
    <dataValidation type="list" allowBlank="1" showInputMessage="1" showErrorMessage="1" sqref="KIP393221:KIP393244">
      <formula1>項目!A4:$KII$393218</formula1>
    </dataValidation>
    <dataValidation type="list" allowBlank="1" showInputMessage="1" showErrorMessage="1" sqref="KSL393221:KSL393244">
      <formula1>項目!A4:$KSE$393218</formula1>
    </dataValidation>
    <dataValidation type="list" allowBlank="1" showInputMessage="1" showErrorMessage="1" sqref="LCH393221:LCH393244">
      <formula1>項目!A4:$LCA$393218</formula1>
    </dataValidation>
    <dataValidation type="list" allowBlank="1" showInputMessage="1" showErrorMessage="1" sqref="LMD393221:LMD393244">
      <formula1>項目!A4:$LLW$393218</formula1>
    </dataValidation>
    <dataValidation type="list" allowBlank="1" showInputMessage="1" showErrorMessage="1" sqref="LVZ393221:LVZ393244">
      <formula1>項目!A4:$LVS$393218</formula1>
    </dataValidation>
    <dataValidation type="list" allowBlank="1" showInputMessage="1" showErrorMessage="1" sqref="MFV393221:MFV393244">
      <formula1>項目!A4:$MFO$393218</formula1>
    </dataValidation>
    <dataValidation type="list" allowBlank="1" showInputMessage="1" showErrorMessage="1" sqref="MPR393221:MPR393244">
      <formula1>項目!A4:$MPK$393218</formula1>
    </dataValidation>
    <dataValidation type="list" allowBlank="1" showInputMessage="1" showErrorMessage="1" sqref="MZN393221:MZN393244">
      <formula1>項目!A4:$MZG$393218</formula1>
    </dataValidation>
    <dataValidation type="list" allowBlank="1" showInputMessage="1" showErrorMessage="1" sqref="NJJ393221:NJJ393244">
      <formula1>項目!A4:$NJC$393218</formula1>
    </dataValidation>
    <dataValidation type="list" allowBlank="1" showInputMessage="1" showErrorMessage="1" sqref="NTF393221:NTF393244">
      <formula1>項目!A4:$NSY$393218</formula1>
    </dataValidation>
    <dataValidation type="list" allowBlank="1" showInputMessage="1" showErrorMessage="1" sqref="ODB393221:ODB393244">
      <formula1>項目!A4:$OCU$393218</formula1>
    </dataValidation>
    <dataValidation type="list" allowBlank="1" showInputMessage="1" showErrorMessage="1" sqref="OMX393221:OMX393244">
      <formula1>項目!A4:$OMQ$393218</formula1>
    </dataValidation>
    <dataValidation type="list" allowBlank="1" showInputMessage="1" showErrorMessage="1" sqref="OWT393221:OWT393244">
      <formula1>項目!A4:$OWM$393218</formula1>
    </dataValidation>
    <dataValidation type="list" allowBlank="1" showInputMessage="1" showErrorMessage="1" sqref="PGP393221:PGP393244">
      <formula1>項目!A4:$PGI$393218</formula1>
    </dataValidation>
    <dataValidation type="list" allowBlank="1" showInputMessage="1" showErrorMessage="1" sqref="PQL393221:PQL393244">
      <formula1>項目!A4:$PQE$393218</formula1>
    </dataValidation>
    <dataValidation type="list" allowBlank="1" showInputMessage="1" showErrorMessage="1" sqref="QAH393221:QAH393244">
      <formula1>項目!A4:$QAA$393218</formula1>
    </dataValidation>
    <dataValidation type="list" allowBlank="1" showInputMessage="1" showErrorMessage="1" sqref="QKD393221:QKD393244">
      <formula1>項目!A4:$QJW$393218</formula1>
    </dataValidation>
    <dataValidation type="list" allowBlank="1" showInputMessage="1" showErrorMessage="1" sqref="QTZ393221:QTZ393244">
      <formula1>項目!A4:$QTS$393218</formula1>
    </dataValidation>
    <dataValidation type="list" allowBlank="1" showInputMessage="1" showErrorMessage="1" sqref="RDV393221:RDV393244">
      <formula1>項目!A4:$RDO$393218</formula1>
    </dataValidation>
    <dataValidation type="list" allowBlank="1" showInputMessage="1" showErrorMessage="1" sqref="RNR393221:RNR393244">
      <formula1>項目!A4:$RNK$393218</formula1>
    </dataValidation>
    <dataValidation type="list" allowBlank="1" showInputMessage="1" showErrorMessage="1" sqref="RXN393221:RXN393244">
      <formula1>項目!A4:$RXG$393218</formula1>
    </dataValidation>
    <dataValidation type="list" allowBlank="1" showInputMessage="1" showErrorMessage="1" sqref="SHJ393221:SHJ393244">
      <formula1>項目!A4:$SHC$393218</formula1>
    </dataValidation>
    <dataValidation type="list" allowBlank="1" showInputMessage="1" showErrorMessage="1" sqref="SRF393221:SRF393244">
      <formula1>項目!A4:$SQY$393218</formula1>
    </dataValidation>
    <dataValidation type="list" allowBlank="1" showInputMessage="1" showErrorMessage="1" sqref="TBB393221:TBB393244">
      <formula1>項目!A4:$TAU$393218</formula1>
    </dataValidation>
    <dataValidation type="list" allowBlank="1" showInputMessage="1" showErrorMessage="1" sqref="TKX393221:TKX393244">
      <formula1>項目!A4:$TKQ$393218</formula1>
    </dataValidation>
    <dataValidation type="list" allowBlank="1" showInputMessage="1" showErrorMessage="1" sqref="TUT393221:TUT393244">
      <formula1>項目!A4:$TUM$393218</formula1>
    </dataValidation>
    <dataValidation type="list" allowBlank="1" showInputMessage="1" showErrorMessage="1" sqref="UEP393221:UEP393244">
      <formula1>項目!A4:$UEI$393218</formula1>
    </dataValidation>
    <dataValidation type="list" allowBlank="1" showInputMessage="1" showErrorMessage="1" sqref="UOL393221:UOL393244">
      <formula1>項目!A4:$UOE$393218</formula1>
    </dataValidation>
    <dataValidation type="list" allowBlank="1" showInputMessage="1" showErrorMessage="1" sqref="UYH393221:UYH393244">
      <formula1>項目!A4:$UYA$393218</formula1>
    </dataValidation>
    <dataValidation type="list" allowBlank="1" showInputMessage="1" showErrorMessage="1" sqref="VID393221:VID393244">
      <formula1>項目!A4:$VHW$393218</formula1>
    </dataValidation>
    <dataValidation type="list" allowBlank="1" showInputMessage="1" showErrorMessage="1" sqref="VRZ393221:VRZ393244">
      <formula1>項目!A4:$VRS$393218</formula1>
    </dataValidation>
    <dataValidation type="list" allowBlank="1" showInputMessage="1" showErrorMessage="1" sqref="WBV393221:WBV393244">
      <formula1>項目!A4:$WBO$393218</formula1>
    </dataValidation>
    <dataValidation type="list" allowBlank="1" showInputMessage="1" showErrorMessage="1" sqref="WLR393221:WLR393244">
      <formula1>項目!A4:$WLK$393218</formula1>
    </dataValidation>
    <dataValidation type="list" allowBlank="1" showInputMessage="1" showErrorMessage="1" sqref="WVN393221:WVN393244">
      <formula1>項目!A4:$WVG$393218</formula1>
    </dataValidation>
    <dataValidation type="list" allowBlank="1" showInputMessage="1" showErrorMessage="1" sqref="JB458757:JB458780">
      <formula1>項目!A4:$IU$458754</formula1>
    </dataValidation>
    <dataValidation type="list" allowBlank="1" showInputMessage="1" showErrorMessage="1" sqref="SX458757:SX458780">
      <formula1>項目!A4:$SQ$458754</formula1>
    </dataValidation>
    <dataValidation type="list" allowBlank="1" showInputMessage="1" showErrorMessage="1" sqref="ACT458757:ACT458780">
      <formula1>項目!A4:$ACM$458754</formula1>
    </dataValidation>
    <dataValidation type="list" allowBlank="1" showInputMessage="1" showErrorMessage="1" sqref="AMP458757:AMP458780">
      <formula1>項目!A4:$AMI$458754</formula1>
    </dataValidation>
    <dataValidation type="list" allowBlank="1" showInputMessage="1" showErrorMessage="1" sqref="AWL458757:AWL458780">
      <formula1>項目!A4:$AWE$458754</formula1>
    </dataValidation>
    <dataValidation type="list" allowBlank="1" showInputMessage="1" showErrorMessage="1" sqref="BGH458757:BGH458780">
      <formula1>項目!A4:$BGA$458754</formula1>
    </dataValidation>
    <dataValidation type="list" allowBlank="1" showInputMessage="1" showErrorMessage="1" sqref="BQD458757:BQD458780">
      <formula1>項目!A4:$BPW$458754</formula1>
    </dataValidation>
    <dataValidation type="list" allowBlank="1" showInputMessage="1" showErrorMessage="1" sqref="BZZ458757:BZZ458780">
      <formula1>項目!A4:$BZS$458754</formula1>
    </dataValidation>
    <dataValidation type="list" allowBlank="1" showInputMessage="1" showErrorMessage="1" sqref="CJV458757:CJV458780">
      <formula1>項目!A4:$CJO$458754</formula1>
    </dataValidation>
    <dataValidation type="list" allowBlank="1" showInputMessage="1" showErrorMessage="1" sqref="CTR458757:CTR458780">
      <formula1>項目!A4:$CTK$458754</formula1>
    </dataValidation>
    <dataValidation type="list" allowBlank="1" showInputMessage="1" showErrorMessage="1" sqref="DDN458757:DDN458780">
      <formula1>項目!A4:$DDG$458754</formula1>
    </dataValidation>
    <dataValidation type="list" allowBlank="1" showInputMessage="1" showErrorMessage="1" sqref="DNJ458757:DNJ458780">
      <formula1>項目!A4:$DNC$458754</formula1>
    </dataValidation>
    <dataValidation type="list" allowBlank="1" showInputMessage="1" showErrorMessage="1" sqref="DXF458757:DXF458780">
      <formula1>項目!A4:$DWY$458754</formula1>
    </dataValidation>
    <dataValidation type="list" allowBlank="1" showInputMessage="1" showErrorMessage="1" sqref="EHB458757:EHB458780">
      <formula1>項目!A4:$EGU$458754</formula1>
    </dataValidation>
    <dataValidation type="list" allowBlank="1" showInputMessage="1" showErrorMessage="1" sqref="EQX458757:EQX458780">
      <formula1>項目!A4:$EQQ$458754</formula1>
    </dataValidation>
    <dataValidation type="list" allowBlank="1" showInputMessage="1" showErrorMessage="1" sqref="FAT458757:FAT458780">
      <formula1>項目!A4:$FAM$458754</formula1>
    </dataValidation>
    <dataValidation type="list" allowBlank="1" showInputMessage="1" showErrorMessage="1" sqref="FKP458757:FKP458780">
      <formula1>項目!A4:$FKI$458754</formula1>
    </dataValidation>
    <dataValidation type="list" allowBlank="1" showInputMessage="1" showErrorMessage="1" sqref="FUL458757:FUL458780">
      <formula1>項目!A4:$FUE$458754</formula1>
    </dataValidation>
    <dataValidation type="list" allowBlank="1" showInputMessage="1" showErrorMessage="1" sqref="GEH458757:GEH458780">
      <formula1>項目!A4:$GEA$458754</formula1>
    </dataValidation>
    <dataValidation type="list" allowBlank="1" showInputMessage="1" showErrorMessage="1" sqref="GOD458757:GOD458780">
      <formula1>項目!A4:$GNW$458754</formula1>
    </dataValidation>
    <dataValidation type="list" allowBlank="1" showInputMessage="1" showErrorMessage="1" sqref="GXZ458757:GXZ458780">
      <formula1>項目!A4:$GXS$458754</formula1>
    </dataValidation>
    <dataValidation type="list" allowBlank="1" showInputMessage="1" showErrorMessage="1" sqref="HHV458757:HHV458780">
      <formula1>項目!A4:$HHO$458754</formula1>
    </dataValidation>
    <dataValidation type="list" allowBlank="1" showInputMessage="1" showErrorMessage="1" sqref="HRR458757:HRR458780">
      <formula1>項目!A4:$HRK$458754</formula1>
    </dataValidation>
    <dataValidation type="list" allowBlank="1" showInputMessage="1" showErrorMessage="1" sqref="IBN458757:IBN458780">
      <formula1>項目!A4:$IBG$458754</formula1>
    </dataValidation>
    <dataValidation type="list" allowBlank="1" showInputMessage="1" showErrorMessage="1" sqref="ILJ458757:ILJ458780">
      <formula1>項目!A4:$ILC$458754</formula1>
    </dataValidation>
    <dataValidation type="list" allowBlank="1" showInputMessage="1" showErrorMessage="1" sqref="IVF458757:IVF458780">
      <formula1>項目!A4:$IUY$458754</formula1>
    </dataValidation>
    <dataValidation type="list" allowBlank="1" showInputMessage="1" showErrorMessage="1" sqref="JFB458757:JFB458780">
      <formula1>項目!A4:$JEU$458754</formula1>
    </dataValidation>
    <dataValidation type="list" allowBlank="1" showInputMessage="1" showErrorMessage="1" sqref="JOX458757:JOX458780">
      <formula1>項目!A4:$JOQ$458754</formula1>
    </dataValidation>
    <dataValidation type="list" allowBlank="1" showInputMessage="1" showErrorMessage="1" sqref="JYT458757:JYT458780">
      <formula1>項目!A4:$JYM$458754</formula1>
    </dataValidation>
    <dataValidation type="list" allowBlank="1" showInputMessage="1" showErrorMessage="1" sqref="KIP458757:KIP458780">
      <formula1>項目!A4:$KII$458754</formula1>
    </dataValidation>
    <dataValidation type="list" allowBlank="1" showInputMessage="1" showErrorMessage="1" sqref="KSL458757:KSL458780">
      <formula1>項目!A4:$KSE$458754</formula1>
    </dataValidation>
    <dataValidation type="list" allowBlank="1" showInputMessage="1" showErrorMessage="1" sqref="LCH458757:LCH458780">
      <formula1>項目!A4:$LCA$458754</formula1>
    </dataValidation>
    <dataValidation type="list" allowBlank="1" showInputMessage="1" showErrorMessage="1" sqref="LMD458757:LMD458780">
      <formula1>項目!A4:$LLW$458754</formula1>
    </dataValidation>
    <dataValidation type="list" allowBlank="1" showInputMessage="1" showErrorMessage="1" sqref="LVZ458757:LVZ458780">
      <formula1>項目!A4:$LVS$458754</formula1>
    </dataValidation>
    <dataValidation type="list" allowBlank="1" showInputMessage="1" showErrorMessage="1" sqref="MFV458757:MFV458780">
      <formula1>項目!A4:$MFO$458754</formula1>
    </dataValidation>
    <dataValidation type="list" allowBlank="1" showInputMessage="1" showErrorMessage="1" sqref="MPR458757:MPR458780">
      <formula1>項目!A4:$MPK$458754</formula1>
    </dataValidation>
    <dataValidation type="list" allowBlank="1" showInputMessage="1" showErrorMessage="1" sqref="MZN458757:MZN458780">
      <formula1>項目!A4:$MZG$458754</formula1>
    </dataValidation>
    <dataValidation type="list" allowBlank="1" showInputMessage="1" showErrorMessage="1" sqref="NJJ458757:NJJ458780">
      <formula1>項目!A4:$NJC$458754</formula1>
    </dataValidation>
    <dataValidation type="list" allowBlank="1" showInputMessage="1" showErrorMessage="1" sqref="NTF458757:NTF458780">
      <formula1>項目!A4:$NSY$458754</formula1>
    </dataValidation>
    <dataValidation type="list" allowBlank="1" showInputMessage="1" showErrorMessage="1" sqref="ODB458757:ODB458780">
      <formula1>項目!A4:$OCU$458754</formula1>
    </dataValidation>
    <dataValidation type="list" allowBlank="1" showInputMessage="1" showErrorMessage="1" sqref="OMX458757:OMX458780">
      <formula1>項目!A4:$OMQ$458754</formula1>
    </dataValidation>
    <dataValidation type="list" allowBlank="1" showInputMessage="1" showErrorMessage="1" sqref="OWT458757:OWT458780">
      <formula1>項目!A4:$OWM$458754</formula1>
    </dataValidation>
    <dataValidation type="list" allowBlank="1" showInputMessage="1" showErrorMessage="1" sqref="PGP458757:PGP458780">
      <formula1>項目!A4:$PGI$458754</formula1>
    </dataValidation>
    <dataValidation type="list" allowBlank="1" showInputMessage="1" showErrorMessage="1" sqref="PQL458757:PQL458780">
      <formula1>項目!A4:$PQE$458754</formula1>
    </dataValidation>
    <dataValidation type="list" allowBlank="1" showInputMessage="1" showErrorMessage="1" sqref="QAH458757:QAH458780">
      <formula1>項目!A4:$QAA$458754</formula1>
    </dataValidation>
    <dataValidation type="list" allowBlank="1" showInputMessage="1" showErrorMessage="1" sqref="QKD458757:QKD458780">
      <formula1>項目!A4:$QJW$458754</formula1>
    </dataValidation>
    <dataValidation type="list" allowBlank="1" showInputMessage="1" showErrorMessage="1" sqref="QTZ458757:QTZ458780">
      <formula1>項目!A4:$QTS$458754</formula1>
    </dataValidation>
    <dataValidation type="list" allowBlank="1" showInputMessage="1" showErrorMessage="1" sqref="RDV458757:RDV458780">
      <formula1>項目!A4:$RDO$458754</formula1>
    </dataValidation>
    <dataValidation type="list" allowBlank="1" showInputMessage="1" showErrorMessage="1" sqref="RNR458757:RNR458780">
      <formula1>項目!A4:$RNK$458754</formula1>
    </dataValidation>
    <dataValidation type="list" allowBlank="1" showInputMessage="1" showErrorMessage="1" sqref="RXN458757:RXN458780">
      <formula1>項目!A4:$RXG$458754</formula1>
    </dataValidation>
    <dataValidation type="list" allowBlank="1" showInputMessage="1" showErrorMessage="1" sqref="SHJ458757:SHJ458780">
      <formula1>項目!A4:$SHC$458754</formula1>
    </dataValidation>
    <dataValidation type="list" allowBlank="1" showInputMessage="1" showErrorMessage="1" sqref="SRF458757:SRF458780">
      <formula1>項目!A4:$SQY$458754</formula1>
    </dataValidation>
    <dataValidation type="list" allowBlank="1" showInputMessage="1" showErrorMessage="1" sqref="TBB458757:TBB458780">
      <formula1>項目!A4:$TAU$458754</formula1>
    </dataValidation>
    <dataValidation type="list" allowBlank="1" showInputMessage="1" showErrorMessage="1" sqref="TKX458757:TKX458780">
      <formula1>項目!A4:$TKQ$458754</formula1>
    </dataValidation>
    <dataValidation type="list" allowBlank="1" showInputMessage="1" showErrorMessage="1" sqref="TUT458757:TUT458780">
      <formula1>項目!A4:$TUM$458754</formula1>
    </dataValidation>
    <dataValidation type="list" allowBlank="1" showInputMessage="1" showErrorMessage="1" sqref="UEP458757:UEP458780">
      <formula1>項目!A4:$UEI$458754</formula1>
    </dataValidation>
    <dataValidation type="list" allowBlank="1" showInputMessage="1" showErrorMessage="1" sqref="UOL458757:UOL458780">
      <formula1>項目!A4:$UOE$458754</formula1>
    </dataValidation>
    <dataValidation type="list" allowBlank="1" showInputMessage="1" showErrorMessage="1" sqref="UYH458757:UYH458780">
      <formula1>項目!A4:$UYA$458754</formula1>
    </dataValidation>
    <dataValidation type="list" allowBlank="1" showInputMessage="1" showErrorMessage="1" sqref="VID458757:VID458780">
      <formula1>項目!A4:$VHW$458754</formula1>
    </dataValidation>
    <dataValidation type="list" allowBlank="1" showInputMessage="1" showErrorMessage="1" sqref="VRZ458757:VRZ458780">
      <formula1>項目!A4:$VRS$458754</formula1>
    </dataValidation>
    <dataValidation type="list" allowBlank="1" showInputMessage="1" showErrorMessage="1" sqref="WBV458757:WBV458780">
      <formula1>項目!A4:$WBO$458754</formula1>
    </dataValidation>
    <dataValidation type="list" allowBlank="1" showInputMessage="1" showErrorMessage="1" sqref="WLR458757:WLR458780">
      <formula1>項目!A4:$WLK$458754</formula1>
    </dataValidation>
    <dataValidation type="list" allowBlank="1" showInputMessage="1" showErrorMessage="1" sqref="WVN458757:WVN458780">
      <formula1>項目!A4:$WVG$458754</formula1>
    </dataValidation>
    <dataValidation type="list" allowBlank="1" showInputMessage="1" showErrorMessage="1" sqref="JB524293:JB524316">
      <formula1>項目!A4:$IU$524290</formula1>
    </dataValidation>
    <dataValidation type="list" allowBlank="1" showInputMessage="1" showErrorMessage="1" sqref="SX524293:SX524316">
      <formula1>項目!A4:$SQ$524290</formula1>
    </dataValidation>
    <dataValidation type="list" allowBlank="1" showInputMessage="1" showErrorMessage="1" sqref="ACT524293:ACT524316">
      <formula1>項目!A4:$ACM$524290</formula1>
    </dataValidation>
    <dataValidation type="list" allowBlank="1" showInputMessage="1" showErrorMessage="1" sqref="AMP524293:AMP524316">
      <formula1>項目!A4:$AMI$524290</formula1>
    </dataValidation>
    <dataValidation type="list" allowBlank="1" showInputMessage="1" showErrorMessage="1" sqref="AWL524293:AWL524316">
      <formula1>項目!A4:$AWE$524290</formula1>
    </dataValidation>
    <dataValidation type="list" allowBlank="1" showInputMessage="1" showErrorMessage="1" sqref="BGH524293:BGH524316">
      <formula1>項目!A4:$BGA$524290</formula1>
    </dataValidation>
    <dataValidation type="list" allowBlank="1" showInputMessage="1" showErrorMessage="1" sqref="BQD524293:BQD524316">
      <formula1>項目!A4:$BPW$524290</formula1>
    </dataValidation>
    <dataValidation type="list" allowBlank="1" showInputMessage="1" showErrorMessage="1" sqref="BZZ524293:BZZ524316">
      <formula1>項目!A4:$BZS$524290</formula1>
    </dataValidation>
    <dataValidation type="list" allowBlank="1" showInputMessage="1" showErrorMessage="1" sqref="CJV524293:CJV524316">
      <formula1>項目!A4:$CJO$524290</formula1>
    </dataValidation>
    <dataValidation type="list" allowBlank="1" showInputMessage="1" showErrorMessage="1" sqref="CTR524293:CTR524316">
      <formula1>項目!A4:$CTK$524290</formula1>
    </dataValidation>
    <dataValidation type="list" allowBlank="1" showInputMessage="1" showErrorMessage="1" sqref="DDN524293:DDN524316">
      <formula1>項目!A4:$DDG$524290</formula1>
    </dataValidation>
    <dataValidation type="list" allowBlank="1" showInputMessage="1" showErrorMessage="1" sqref="DNJ524293:DNJ524316">
      <formula1>項目!A4:$DNC$524290</formula1>
    </dataValidation>
    <dataValidation type="list" allowBlank="1" showInputMessage="1" showErrorMessage="1" sqref="DXF524293:DXF524316">
      <formula1>項目!A4:$DWY$524290</formula1>
    </dataValidation>
    <dataValidation type="list" allowBlank="1" showInputMessage="1" showErrorMessage="1" sqref="EHB524293:EHB524316">
      <formula1>項目!A4:$EGU$524290</formula1>
    </dataValidation>
    <dataValidation type="list" allowBlank="1" showInputMessage="1" showErrorMessage="1" sqref="EQX524293:EQX524316">
      <formula1>項目!A4:$EQQ$524290</formula1>
    </dataValidation>
    <dataValidation type="list" allowBlank="1" showInputMessage="1" showErrorMessage="1" sqref="FAT524293:FAT524316">
      <formula1>項目!A4:$FAM$524290</formula1>
    </dataValidation>
    <dataValidation type="list" allowBlank="1" showInputMessage="1" showErrorMessage="1" sqref="FKP524293:FKP524316">
      <formula1>項目!A4:$FKI$524290</formula1>
    </dataValidation>
    <dataValidation type="list" allowBlank="1" showInputMessage="1" showErrorMessage="1" sqref="FUL524293:FUL524316">
      <formula1>項目!A4:$FUE$524290</formula1>
    </dataValidation>
    <dataValidation type="list" allowBlank="1" showInputMessage="1" showErrorMessage="1" sqref="GEH524293:GEH524316">
      <formula1>項目!A4:$GEA$524290</formula1>
    </dataValidation>
    <dataValidation type="list" allowBlank="1" showInputMessage="1" showErrorMessage="1" sqref="GOD524293:GOD524316">
      <formula1>項目!A4:$GNW$524290</formula1>
    </dataValidation>
    <dataValidation type="list" allowBlank="1" showInputMessage="1" showErrorMessage="1" sqref="GXZ524293:GXZ524316">
      <formula1>項目!A4:$GXS$524290</formula1>
    </dataValidation>
    <dataValidation type="list" allowBlank="1" showInputMessage="1" showErrorMessage="1" sqref="HHV524293:HHV524316">
      <formula1>項目!A4:$HHO$524290</formula1>
    </dataValidation>
    <dataValidation type="list" allowBlank="1" showInputMessage="1" showErrorMessage="1" sqref="HRR524293:HRR524316">
      <formula1>項目!A4:$HRK$524290</formula1>
    </dataValidation>
    <dataValidation type="list" allowBlank="1" showInputMessage="1" showErrorMessage="1" sqref="IBN524293:IBN524316">
      <formula1>項目!A4:$IBG$524290</formula1>
    </dataValidation>
    <dataValidation type="list" allowBlank="1" showInputMessage="1" showErrorMessage="1" sqref="ILJ524293:ILJ524316">
      <formula1>項目!A4:$ILC$524290</formula1>
    </dataValidation>
    <dataValidation type="list" allowBlank="1" showInputMessage="1" showErrorMessage="1" sqref="IVF524293:IVF524316">
      <formula1>項目!A4:$IUY$524290</formula1>
    </dataValidation>
    <dataValidation type="list" allowBlank="1" showInputMessage="1" showErrorMessage="1" sqref="JFB524293:JFB524316">
      <formula1>項目!A4:$JEU$524290</formula1>
    </dataValidation>
    <dataValidation type="list" allowBlank="1" showInputMessage="1" showErrorMessage="1" sqref="JOX524293:JOX524316">
      <formula1>項目!A4:$JOQ$524290</formula1>
    </dataValidation>
    <dataValidation type="list" allowBlank="1" showInputMessage="1" showErrorMessage="1" sqref="JYT524293:JYT524316">
      <formula1>項目!A4:$JYM$524290</formula1>
    </dataValidation>
    <dataValidation type="list" allowBlank="1" showInputMessage="1" showErrorMessage="1" sqref="KIP524293:KIP524316">
      <formula1>項目!A4:$KII$524290</formula1>
    </dataValidation>
    <dataValidation type="list" allowBlank="1" showInputMessage="1" showErrorMessage="1" sqref="KSL524293:KSL524316">
      <formula1>項目!A4:$KSE$524290</formula1>
    </dataValidation>
    <dataValidation type="list" allowBlank="1" showInputMessage="1" showErrorMessage="1" sqref="LCH524293:LCH524316">
      <formula1>項目!A4:$LCA$524290</formula1>
    </dataValidation>
    <dataValidation type="list" allowBlank="1" showInputMessage="1" showErrorMessage="1" sqref="LMD524293:LMD524316">
      <formula1>項目!A4:$LLW$524290</formula1>
    </dataValidation>
    <dataValidation type="list" allowBlank="1" showInputMessage="1" showErrorMessage="1" sqref="LVZ524293:LVZ524316">
      <formula1>項目!A4:$LVS$524290</formula1>
    </dataValidation>
    <dataValidation type="list" allowBlank="1" showInputMessage="1" showErrorMessage="1" sqref="MFV524293:MFV524316">
      <formula1>項目!A4:$MFO$524290</formula1>
    </dataValidation>
    <dataValidation type="list" allowBlank="1" showInputMessage="1" showErrorMessage="1" sqref="MPR524293:MPR524316">
      <formula1>項目!A4:$MPK$524290</formula1>
    </dataValidation>
    <dataValidation type="list" allowBlank="1" showInputMessage="1" showErrorMessage="1" sqref="MZN524293:MZN524316">
      <formula1>項目!A4:$MZG$524290</formula1>
    </dataValidation>
    <dataValidation type="list" allowBlank="1" showInputMessage="1" showErrorMessage="1" sqref="NJJ524293:NJJ524316">
      <formula1>項目!A4:$NJC$524290</formula1>
    </dataValidation>
    <dataValidation type="list" allowBlank="1" showInputMessage="1" showErrorMessage="1" sqref="NTF524293:NTF524316">
      <formula1>項目!A4:$NSY$524290</formula1>
    </dataValidation>
    <dataValidation type="list" allowBlank="1" showInputMessage="1" showErrorMessage="1" sqref="ODB524293:ODB524316">
      <formula1>項目!A4:$OCU$524290</formula1>
    </dataValidation>
    <dataValidation type="list" allowBlank="1" showInputMessage="1" showErrorMessage="1" sqref="OMX524293:OMX524316">
      <formula1>項目!A4:$OMQ$524290</formula1>
    </dataValidation>
    <dataValidation type="list" allowBlank="1" showInputMessage="1" showErrorMessage="1" sqref="OWT524293:OWT524316">
      <formula1>項目!A4:$OWM$524290</formula1>
    </dataValidation>
    <dataValidation type="list" allowBlank="1" showInputMessage="1" showErrorMessage="1" sqref="PGP524293:PGP524316">
      <formula1>項目!A4:$PGI$524290</formula1>
    </dataValidation>
    <dataValidation type="list" allowBlank="1" showInputMessage="1" showErrorMessage="1" sqref="PQL524293:PQL524316">
      <formula1>項目!A4:$PQE$524290</formula1>
    </dataValidation>
    <dataValidation type="list" allowBlank="1" showInputMessage="1" showErrorMessage="1" sqref="QAH524293:QAH524316">
      <formula1>項目!A4:$QAA$524290</formula1>
    </dataValidation>
    <dataValidation type="list" allowBlank="1" showInputMessage="1" showErrorMessage="1" sqref="QKD524293:QKD524316">
      <formula1>項目!A4:$QJW$524290</formula1>
    </dataValidation>
    <dataValidation type="list" allowBlank="1" showInputMessage="1" showErrorMessage="1" sqref="QTZ524293:QTZ524316">
      <formula1>項目!A4:$QTS$524290</formula1>
    </dataValidation>
    <dataValidation type="list" allowBlank="1" showInputMessage="1" showErrorMessage="1" sqref="RDV524293:RDV524316">
      <formula1>項目!A4:$RDO$524290</formula1>
    </dataValidation>
    <dataValidation type="list" allowBlank="1" showInputMessage="1" showErrorMessage="1" sqref="RNR524293:RNR524316">
      <formula1>項目!A4:$RNK$524290</formula1>
    </dataValidation>
    <dataValidation type="list" allowBlank="1" showInputMessage="1" showErrorMessage="1" sqref="RXN524293:RXN524316">
      <formula1>項目!A4:$RXG$524290</formula1>
    </dataValidation>
    <dataValidation type="list" allowBlank="1" showInputMessage="1" showErrorMessage="1" sqref="SHJ524293:SHJ524316">
      <formula1>項目!A4:$SHC$524290</formula1>
    </dataValidation>
    <dataValidation type="list" allowBlank="1" showInputMessage="1" showErrorMessage="1" sqref="SRF524293:SRF524316">
      <formula1>項目!A4:$SQY$524290</formula1>
    </dataValidation>
    <dataValidation type="list" allowBlank="1" showInputMessage="1" showErrorMessage="1" sqref="TBB524293:TBB524316">
      <formula1>項目!A4:$TAU$524290</formula1>
    </dataValidation>
    <dataValidation type="list" allowBlank="1" showInputMessage="1" showErrorMessage="1" sqref="TKX524293:TKX524316">
      <formula1>項目!A4:$TKQ$524290</formula1>
    </dataValidation>
    <dataValidation type="list" allowBlank="1" showInputMessage="1" showErrorMessage="1" sqref="TUT524293:TUT524316">
      <formula1>項目!A4:$TUM$524290</formula1>
    </dataValidation>
    <dataValidation type="list" allowBlank="1" showInputMessage="1" showErrorMessage="1" sqref="UEP524293:UEP524316">
      <formula1>項目!A4:$UEI$524290</formula1>
    </dataValidation>
    <dataValidation type="list" allowBlank="1" showInputMessage="1" showErrorMessage="1" sqref="UOL524293:UOL524316">
      <formula1>項目!A4:$UOE$524290</formula1>
    </dataValidation>
    <dataValidation type="list" allowBlank="1" showInputMessage="1" showErrorMessage="1" sqref="UYH524293:UYH524316">
      <formula1>項目!A4:$UYA$524290</formula1>
    </dataValidation>
    <dataValidation type="list" allowBlank="1" showInputMessage="1" showErrorMessage="1" sqref="VID524293:VID524316">
      <formula1>項目!A4:$VHW$524290</formula1>
    </dataValidation>
    <dataValidation type="list" allowBlank="1" showInputMessage="1" showErrorMessage="1" sqref="VRZ524293:VRZ524316">
      <formula1>項目!A4:$VRS$524290</formula1>
    </dataValidation>
    <dataValidation type="list" allowBlank="1" showInputMessage="1" showErrorMessage="1" sqref="WBV524293:WBV524316">
      <formula1>項目!A4:$WBO$524290</formula1>
    </dataValidation>
    <dataValidation type="list" allowBlank="1" showInputMessage="1" showErrorMessage="1" sqref="WLR524293:WLR524316">
      <formula1>項目!A4:$WLK$524290</formula1>
    </dataValidation>
    <dataValidation type="list" allowBlank="1" showInputMessage="1" showErrorMessage="1" sqref="WVN524293:WVN524316">
      <formula1>項目!A4:$WVG$524290</formula1>
    </dataValidation>
    <dataValidation type="list" allowBlank="1" showInputMessage="1" showErrorMessage="1" sqref="JB589829:JB589852">
      <formula1>項目!A4:$IU$589826</formula1>
    </dataValidation>
    <dataValidation type="list" allowBlank="1" showInputMessage="1" showErrorMessage="1" sqref="SX589829:SX589852">
      <formula1>項目!A4:$SQ$589826</formula1>
    </dataValidation>
    <dataValidation type="list" allowBlank="1" showInputMessage="1" showErrorMessage="1" sqref="ACT589829:ACT589852">
      <formula1>項目!A4:$ACM$589826</formula1>
    </dataValidation>
    <dataValidation type="list" allowBlank="1" showInputMessage="1" showErrorMessage="1" sqref="AMP589829:AMP589852">
      <formula1>項目!A4:$AMI$589826</formula1>
    </dataValidation>
    <dataValidation type="list" allowBlank="1" showInputMessage="1" showErrorMessage="1" sqref="AWL589829:AWL589852">
      <formula1>項目!A4:$AWE$589826</formula1>
    </dataValidation>
    <dataValidation type="list" allowBlank="1" showInputMessage="1" showErrorMessage="1" sqref="BGH589829:BGH589852">
      <formula1>項目!A4:$BGA$589826</formula1>
    </dataValidation>
    <dataValidation type="list" allowBlank="1" showInputMessage="1" showErrorMessage="1" sqref="BQD589829:BQD589852">
      <formula1>項目!A4:$BPW$589826</formula1>
    </dataValidation>
    <dataValidation type="list" allowBlank="1" showInputMessage="1" showErrorMessage="1" sqref="BZZ589829:BZZ589852">
      <formula1>項目!A4:$BZS$589826</formula1>
    </dataValidation>
    <dataValidation type="list" allowBlank="1" showInputMessage="1" showErrorMessage="1" sqref="CJV589829:CJV589852">
      <formula1>項目!A4:$CJO$589826</formula1>
    </dataValidation>
    <dataValidation type="list" allowBlank="1" showInputMessage="1" showErrorMessage="1" sqref="CTR589829:CTR589852">
      <formula1>項目!A4:$CTK$589826</formula1>
    </dataValidation>
    <dataValidation type="list" allowBlank="1" showInputMessage="1" showErrorMessage="1" sqref="DDN589829:DDN589852">
      <formula1>項目!A4:$DDG$589826</formula1>
    </dataValidation>
    <dataValidation type="list" allowBlank="1" showInputMessage="1" showErrorMessage="1" sqref="DNJ589829:DNJ589852">
      <formula1>項目!A4:$DNC$589826</formula1>
    </dataValidation>
    <dataValidation type="list" allowBlank="1" showInputMessage="1" showErrorMessage="1" sqref="DXF589829:DXF589852">
      <formula1>項目!A4:$DWY$589826</formula1>
    </dataValidation>
    <dataValidation type="list" allowBlank="1" showInputMessage="1" showErrorMessage="1" sqref="EHB589829:EHB589852">
      <formula1>項目!A4:$EGU$589826</formula1>
    </dataValidation>
    <dataValidation type="list" allowBlank="1" showInputMessage="1" showErrorMessage="1" sqref="EQX589829:EQX589852">
      <formula1>項目!A4:$EQQ$589826</formula1>
    </dataValidation>
    <dataValidation type="list" allowBlank="1" showInputMessage="1" showErrorMessage="1" sqref="FAT589829:FAT589852">
      <formula1>項目!A4:$FAM$589826</formula1>
    </dataValidation>
    <dataValidation type="list" allowBlank="1" showInputMessage="1" showErrorMessage="1" sqref="FKP589829:FKP589852">
      <formula1>項目!A4:$FKI$589826</formula1>
    </dataValidation>
    <dataValidation type="list" allowBlank="1" showInputMessage="1" showErrorMessage="1" sqref="FUL589829:FUL589852">
      <formula1>項目!A4:$FUE$589826</formula1>
    </dataValidation>
    <dataValidation type="list" allowBlank="1" showInputMessage="1" showErrorMessage="1" sqref="GEH589829:GEH589852">
      <formula1>項目!A4:$GEA$589826</formula1>
    </dataValidation>
    <dataValidation type="list" allowBlank="1" showInputMessage="1" showErrorMessage="1" sqref="GOD589829:GOD589852">
      <formula1>項目!A4:$GNW$589826</formula1>
    </dataValidation>
    <dataValidation type="list" allowBlank="1" showInputMessage="1" showErrorMessage="1" sqref="GXZ589829:GXZ589852">
      <formula1>項目!A4:$GXS$589826</formula1>
    </dataValidation>
    <dataValidation type="list" allowBlank="1" showInputMessage="1" showErrorMessage="1" sqref="HHV589829:HHV589852">
      <formula1>項目!A4:$HHO$589826</formula1>
    </dataValidation>
    <dataValidation type="list" allowBlank="1" showInputMessage="1" showErrorMessage="1" sqref="HRR589829:HRR589852">
      <formula1>項目!A4:$HRK$589826</formula1>
    </dataValidation>
    <dataValidation type="list" allowBlank="1" showInputMessage="1" showErrorMessage="1" sqref="IBN589829:IBN589852">
      <formula1>項目!A4:$IBG$589826</formula1>
    </dataValidation>
    <dataValidation type="list" allowBlank="1" showInputMessage="1" showErrorMessage="1" sqref="ILJ589829:ILJ589852">
      <formula1>項目!A4:$ILC$589826</formula1>
    </dataValidation>
    <dataValidation type="list" allowBlank="1" showInputMessage="1" showErrorMessage="1" sqref="IVF589829:IVF589852">
      <formula1>項目!A4:$IUY$589826</formula1>
    </dataValidation>
    <dataValidation type="list" allowBlank="1" showInputMessage="1" showErrorMessage="1" sqref="JFB589829:JFB589852">
      <formula1>項目!A4:$JEU$589826</formula1>
    </dataValidation>
    <dataValidation type="list" allowBlank="1" showInputMessage="1" showErrorMessage="1" sqref="JOX589829:JOX589852">
      <formula1>項目!A4:$JOQ$589826</formula1>
    </dataValidation>
    <dataValidation type="list" allowBlank="1" showInputMessage="1" showErrorMessage="1" sqref="JYT589829:JYT589852">
      <formula1>項目!A4:$JYM$589826</formula1>
    </dataValidation>
    <dataValidation type="list" allowBlank="1" showInputMessage="1" showErrorMessage="1" sqref="KIP589829:KIP589852">
      <formula1>項目!A4:$KII$589826</formula1>
    </dataValidation>
    <dataValidation type="list" allowBlank="1" showInputMessage="1" showErrorMessage="1" sqref="KSL589829:KSL589852">
      <formula1>項目!A4:$KSE$589826</formula1>
    </dataValidation>
    <dataValidation type="list" allowBlank="1" showInputMessage="1" showErrorMessage="1" sqref="LCH589829:LCH589852">
      <formula1>項目!A4:$LCA$589826</formula1>
    </dataValidation>
    <dataValidation type="list" allowBlank="1" showInputMessage="1" showErrorMessage="1" sqref="LMD589829:LMD589852">
      <formula1>項目!A4:$LLW$589826</formula1>
    </dataValidation>
    <dataValidation type="list" allowBlank="1" showInputMessage="1" showErrorMessage="1" sqref="LVZ589829:LVZ589852">
      <formula1>項目!A4:$LVS$589826</formula1>
    </dataValidation>
    <dataValidation type="list" allowBlank="1" showInputMessage="1" showErrorMessage="1" sqref="MFV589829:MFV589852">
      <formula1>項目!A4:$MFO$589826</formula1>
    </dataValidation>
    <dataValidation type="list" allowBlank="1" showInputMessage="1" showErrorMessage="1" sqref="MPR589829:MPR589852">
      <formula1>項目!A4:$MPK$589826</formula1>
    </dataValidation>
    <dataValidation type="list" allowBlank="1" showInputMessage="1" showErrorMessage="1" sqref="MZN589829:MZN589852">
      <formula1>項目!A4:$MZG$589826</formula1>
    </dataValidation>
    <dataValidation type="list" allowBlank="1" showInputMessage="1" showErrorMessage="1" sqref="NJJ589829:NJJ589852">
      <formula1>項目!A4:$NJC$589826</formula1>
    </dataValidation>
    <dataValidation type="list" allowBlank="1" showInputMessage="1" showErrorMessage="1" sqref="NTF589829:NTF589852">
      <formula1>項目!A4:$NSY$589826</formula1>
    </dataValidation>
    <dataValidation type="list" allowBlank="1" showInputMessage="1" showErrorMessage="1" sqref="ODB589829:ODB589852">
      <formula1>項目!A4:$OCU$589826</formula1>
    </dataValidation>
    <dataValidation type="list" allowBlank="1" showInputMessage="1" showErrorMessage="1" sqref="OMX589829:OMX589852">
      <formula1>項目!A4:$OMQ$589826</formula1>
    </dataValidation>
    <dataValidation type="list" allowBlank="1" showInputMessage="1" showErrorMessage="1" sqref="OWT589829:OWT589852">
      <formula1>項目!A4:$OWM$589826</formula1>
    </dataValidation>
    <dataValidation type="list" allowBlank="1" showInputMessage="1" showErrorMessage="1" sqref="PGP589829:PGP589852">
      <formula1>項目!A4:$PGI$589826</formula1>
    </dataValidation>
    <dataValidation type="list" allowBlank="1" showInputMessage="1" showErrorMessage="1" sqref="PQL589829:PQL589852">
      <formula1>項目!A4:$PQE$589826</formula1>
    </dataValidation>
    <dataValidation type="list" allowBlank="1" showInputMessage="1" showErrorMessage="1" sqref="QAH589829:QAH589852">
      <formula1>項目!A4:$QAA$589826</formula1>
    </dataValidation>
    <dataValidation type="list" allowBlank="1" showInputMessage="1" showErrorMessage="1" sqref="QKD589829:QKD589852">
      <formula1>項目!A4:$QJW$589826</formula1>
    </dataValidation>
    <dataValidation type="list" allowBlank="1" showInputMessage="1" showErrorMessage="1" sqref="QTZ589829:QTZ589852">
      <formula1>項目!A4:$QTS$589826</formula1>
    </dataValidation>
    <dataValidation type="list" allowBlank="1" showInputMessage="1" showErrorMessage="1" sqref="RDV589829:RDV589852">
      <formula1>項目!A4:$RDO$589826</formula1>
    </dataValidation>
    <dataValidation type="list" allowBlank="1" showInputMessage="1" showErrorMessage="1" sqref="RNR589829:RNR589852">
      <formula1>項目!A4:$RNK$589826</formula1>
    </dataValidation>
    <dataValidation type="list" allowBlank="1" showInputMessage="1" showErrorMessage="1" sqref="RXN589829:RXN589852">
      <formula1>項目!A4:$RXG$589826</formula1>
    </dataValidation>
    <dataValidation type="list" allowBlank="1" showInputMessage="1" showErrorMessage="1" sqref="SHJ589829:SHJ589852">
      <formula1>項目!A4:$SHC$589826</formula1>
    </dataValidation>
    <dataValidation type="list" allowBlank="1" showInputMessage="1" showErrorMessage="1" sqref="SRF589829:SRF589852">
      <formula1>項目!A4:$SQY$589826</formula1>
    </dataValidation>
    <dataValidation type="list" allowBlank="1" showInputMessage="1" showErrorMessage="1" sqref="TBB589829:TBB589852">
      <formula1>項目!A4:$TAU$589826</formula1>
    </dataValidation>
    <dataValidation type="list" allowBlank="1" showInputMessage="1" showErrorMessage="1" sqref="TKX589829:TKX589852">
      <formula1>項目!A4:$TKQ$589826</formula1>
    </dataValidation>
    <dataValidation type="list" allowBlank="1" showInputMessage="1" showErrorMessage="1" sqref="TUT589829:TUT589852">
      <formula1>項目!A4:$TUM$589826</formula1>
    </dataValidation>
    <dataValidation type="list" allowBlank="1" showInputMessage="1" showErrorMessage="1" sqref="UEP589829:UEP589852">
      <formula1>項目!A4:$UEI$589826</formula1>
    </dataValidation>
    <dataValidation type="list" allowBlank="1" showInputMessage="1" showErrorMessage="1" sqref="UOL589829:UOL589852">
      <formula1>項目!A4:$UOE$589826</formula1>
    </dataValidation>
    <dataValidation type="list" allowBlank="1" showInputMessage="1" showErrorMessage="1" sqref="UYH589829:UYH589852">
      <formula1>項目!A4:$UYA$589826</formula1>
    </dataValidation>
    <dataValidation type="list" allowBlank="1" showInputMessage="1" showErrorMessage="1" sqref="VID589829:VID589852">
      <formula1>項目!A4:$VHW$589826</formula1>
    </dataValidation>
    <dataValidation type="list" allowBlank="1" showInputMessage="1" showErrorMessage="1" sqref="VRZ589829:VRZ589852">
      <formula1>項目!A4:$VRS$589826</formula1>
    </dataValidation>
    <dataValidation type="list" allowBlank="1" showInputMessage="1" showErrorMessage="1" sqref="WBV589829:WBV589852">
      <formula1>項目!A4:$WBO$589826</formula1>
    </dataValidation>
    <dataValidation type="list" allowBlank="1" showInputMessage="1" showErrorMessage="1" sqref="WLR589829:WLR589852">
      <formula1>項目!A4:$WLK$589826</formula1>
    </dataValidation>
    <dataValidation type="list" allowBlank="1" showInputMessage="1" showErrorMessage="1" sqref="WVN589829:WVN589852">
      <formula1>項目!A4:$WVG$589826</formula1>
    </dataValidation>
    <dataValidation type="list" allowBlank="1" showInputMessage="1" showErrorMessage="1" sqref="JB655365:JB655388">
      <formula1>項目!A4:$IU$655362</formula1>
    </dataValidation>
    <dataValidation type="list" allowBlank="1" showInputMessage="1" showErrorMessage="1" sqref="SX655365:SX655388">
      <formula1>項目!A4:$SQ$655362</formula1>
    </dataValidation>
    <dataValidation type="list" allowBlank="1" showInputMessage="1" showErrorMessage="1" sqref="ACT655365:ACT655388">
      <formula1>項目!A4:$ACM$655362</formula1>
    </dataValidation>
    <dataValidation type="list" allowBlank="1" showInputMessage="1" showErrorMessage="1" sqref="AMP655365:AMP655388">
      <formula1>項目!A4:$AMI$655362</formula1>
    </dataValidation>
    <dataValidation type="list" allowBlank="1" showInputMessage="1" showErrorMessage="1" sqref="AWL655365:AWL655388">
      <formula1>項目!A4:$AWE$655362</formula1>
    </dataValidation>
    <dataValidation type="list" allowBlank="1" showInputMessage="1" showErrorMessage="1" sqref="BGH655365:BGH655388">
      <formula1>項目!A4:$BGA$655362</formula1>
    </dataValidation>
    <dataValidation type="list" allowBlank="1" showInputMessage="1" showErrorMessage="1" sqref="BQD655365:BQD655388">
      <formula1>項目!A4:$BPW$655362</formula1>
    </dataValidation>
    <dataValidation type="list" allowBlank="1" showInputMessage="1" showErrorMessage="1" sqref="BZZ655365:BZZ655388">
      <formula1>項目!A4:$BZS$655362</formula1>
    </dataValidation>
    <dataValidation type="list" allowBlank="1" showInputMessage="1" showErrorMessage="1" sqref="CJV655365:CJV655388">
      <formula1>項目!A4:$CJO$655362</formula1>
    </dataValidation>
    <dataValidation type="list" allowBlank="1" showInputMessage="1" showErrorMessage="1" sqref="CTR655365:CTR655388">
      <formula1>項目!A4:$CTK$655362</formula1>
    </dataValidation>
    <dataValidation type="list" allowBlank="1" showInputMessage="1" showErrorMessage="1" sqref="DDN655365:DDN655388">
      <formula1>項目!A4:$DDG$655362</formula1>
    </dataValidation>
    <dataValidation type="list" allowBlank="1" showInputMessage="1" showErrorMessage="1" sqref="DNJ655365:DNJ655388">
      <formula1>項目!A4:$DNC$655362</formula1>
    </dataValidation>
    <dataValidation type="list" allowBlank="1" showInputMessage="1" showErrorMessage="1" sqref="DXF655365:DXF655388">
      <formula1>項目!A4:$DWY$655362</formula1>
    </dataValidation>
    <dataValidation type="list" allowBlank="1" showInputMessage="1" showErrorMessage="1" sqref="EHB655365:EHB655388">
      <formula1>項目!A4:$EGU$655362</formula1>
    </dataValidation>
    <dataValidation type="list" allowBlank="1" showInputMessage="1" showErrorMessage="1" sqref="EQX655365:EQX655388">
      <formula1>項目!A4:$EQQ$655362</formula1>
    </dataValidation>
    <dataValidation type="list" allowBlank="1" showInputMessage="1" showErrorMessage="1" sqref="FAT655365:FAT655388">
      <formula1>項目!A4:$FAM$655362</formula1>
    </dataValidation>
    <dataValidation type="list" allowBlank="1" showInputMessage="1" showErrorMessage="1" sqref="FKP655365:FKP655388">
      <formula1>項目!A4:$FKI$655362</formula1>
    </dataValidation>
    <dataValidation type="list" allowBlank="1" showInputMessage="1" showErrorMessage="1" sqref="FUL655365:FUL655388">
      <formula1>項目!A4:$FUE$655362</formula1>
    </dataValidation>
    <dataValidation type="list" allowBlank="1" showInputMessage="1" showErrorMessage="1" sqref="GEH655365:GEH655388">
      <formula1>項目!A4:$GEA$655362</formula1>
    </dataValidation>
    <dataValidation type="list" allowBlank="1" showInputMessage="1" showErrorMessage="1" sqref="GOD655365:GOD655388">
      <formula1>項目!A4:$GNW$655362</formula1>
    </dataValidation>
    <dataValidation type="list" allowBlank="1" showInputMessage="1" showErrorMessage="1" sqref="GXZ655365:GXZ655388">
      <formula1>項目!A4:$GXS$655362</formula1>
    </dataValidation>
    <dataValidation type="list" allowBlank="1" showInputMessage="1" showErrorMessage="1" sqref="HHV655365:HHV655388">
      <formula1>項目!A4:$HHO$655362</formula1>
    </dataValidation>
    <dataValidation type="list" allowBlank="1" showInputMessage="1" showErrorMessage="1" sqref="HRR655365:HRR655388">
      <formula1>項目!A4:$HRK$655362</formula1>
    </dataValidation>
    <dataValidation type="list" allowBlank="1" showInputMessage="1" showErrorMessage="1" sqref="IBN655365:IBN655388">
      <formula1>項目!A4:$IBG$655362</formula1>
    </dataValidation>
    <dataValidation type="list" allowBlank="1" showInputMessage="1" showErrorMessage="1" sqref="ILJ655365:ILJ655388">
      <formula1>項目!A4:$ILC$655362</formula1>
    </dataValidation>
    <dataValidation type="list" allowBlank="1" showInputMessage="1" showErrorMessage="1" sqref="IVF655365:IVF655388">
      <formula1>項目!A4:$IUY$655362</formula1>
    </dataValidation>
    <dataValidation type="list" allowBlank="1" showInputMessage="1" showErrorMessage="1" sqref="JFB655365:JFB655388">
      <formula1>項目!A4:$JEU$655362</formula1>
    </dataValidation>
    <dataValidation type="list" allowBlank="1" showInputMessage="1" showErrorMessage="1" sqref="JOX655365:JOX655388">
      <formula1>項目!A4:$JOQ$655362</formula1>
    </dataValidation>
    <dataValidation type="list" allowBlank="1" showInputMessage="1" showErrorMessage="1" sqref="JYT655365:JYT655388">
      <formula1>項目!A4:$JYM$655362</formula1>
    </dataValidation>
    <dataValidation type="list" allowBlank="1" showInputMessage="1" showErrorMessage="1" sqref="KIP655365:KIP655388">
      <formula1>項目!A4:$KII$655362</formula1>
    </dataValidation>
    <dataValidation type="list" allowBlank="1" showInputMessage="1" showErrorMessage="1" sqref="KSL655365:KSL655388">
      <formula1>項目!A4:$KSE$655362</formula1>
    </dataValidation>
    <dataValidation type="list" allowBlank="1" showInputMessage="1" showErrorMessage="1" sqref="LCH655365:LCH655388">
      <formula1>項目!A4:$LCA$655362</formula1>
    </dataValidation>
    <dataValidation type="list" allowBlank="1" showInputMessage="1" showErrorMessage="1" sqref="LMD655365:LMD655388">
      <formula1>項目!A4:$LLW$655362</formula1>
    </dataValidation>
    <dataValidation type="list" allowBlank="1" showInputMessage="1" showErrorMessage="1" sqref="LVZ655365:LVZ655388">
      <formula1>項目!A4:$LVS$655362</formula1>
    </dataValidation>
    <dataValidation type="list" allowBlank="1" showInputMessage="1" showErrorMessage="1" sqref="MFV655365:MFV655388">
      <formula1>項目!A4:$MFO$655362</formula1>
    </dataValidation>
    <dataValidation type="list" allowBlank="1" showInputMessage="1" showErrorMessage="1" sqref="MPR655365:MPR655388">
      <formula1>項目!A4:$MPK$655362</formula1>
    </dataValidation>
    <dataValidation type="list" allowBlank="1" showInputMessage="1" showErrorMessage="1" sqref="MZN655365:MZN655388">
      <formula1>項目!A4:$MZG$655362</formula1>
    </dataValidation>
    <dataValidation type="list" allowBlank="1" showInputMessage="1" showErrorMessage="1" sqref="NJJ655365:NJJ655388">
      <formula1>項目!A4:$NJC$655362</formula1>
    </dataValidation>
    <dataValidation type="list" allowBlank="1" showInputMessage="1" showErrorMessage="1" sqref="NTF655365:NTF655388">
      <formula1>項目!A4:$NSY$655362</formula1>
    </dataValidation>
    <dataValidation type="list" allowBlank="1" showInputMessage="1" showErrorMessage="1" sqref="ODB655365:ODB655388">
      <formula1>項目!A4:$OCU$655362</formula1>
    </dataValidation>
    <dataValidation type="list" allowBlank="1" showInputMessage="1" showErrorMessage="1" sqref="OMX655365:OMX655388">
      <formula1>項目!A4:$OMQ$655362</formula1>
    </dataValidation>
    <dataValidation type="list" allowBlank="1" showInputMessage="1" showErrorMessage="1" sqref="OWT655365:OWT655388">
      <formula1>項目!A4:$OWM$655362</formula1>
    </dataValidation>
    <dataValidation type="list" allowBlank="1" showInputMessage="1" showErrorMessage="1" sqref="PGP655365:PGP655388">
      <formula1>項目!A4:$PGI$655362</formula1>
    </dataValidation>
    <dataValidation type="list" allowBlank="1" showInputMessage="1" showErrorMessage="1" sqref="PQL655365:PQL655388">
      <formula1>項目!A4:$PQE$655362</formula1>
    </dataValidation>
    <dataValidation type="list" allowBlank="1" showInputMessage="1" showErrorMessage="1" sqref="QAH655365:QAH655388">
      <formula1>項目!A4:$QAA$655362</formula1>
    </dataValidation>
    <dataValidation type="list" allowBlank="1" showInputMessage="1" showErrorMessage="1" sqref="QKD655365:QKD655388">
      <formula1>項目!A4:$QJW$655362</formula1>
    </dataValidation>
    <dataValidation type="list" allowBlank="1" showInputMessage="1" showErrorMessage="1" sqref="QTZ655365:QTZ655388">
      <formula1>項目!A4:$QTS$655362</formula1>
    </dataValidation>
    <dataValidation type="list" allowBlank="1" showInputMessage="1" showErrorMessage="1" sqref="RDV655365:RDV655388">
      <formula1>項目!A4:$RDO$655362</formula1>
    </dataValidation>
    <dataValidation type="list" allowBlank="1" showInputMessage="1" showErrorMessage="1" sqref="RNR655365:RNR655388">
      <formula1>項目!A4:$RNK$655362</formula1>
    </dataValidation>
    <dataValidation type="list" allowBlank="1" showInputMessage="1" showErrorMessage="1" sqref="RXN655365:RXN655388">
      <formula1>項目!A4:$RXG$655362</formula1>
    </dataValidation>
    <dataValidation type="list" allowBlank="1" showInputMessage="1" showErrorMessage="1" sqref="SHJ655365:SHJ655388">
      <formula1>項目!A4:$SHC$655362</formula1>
    </dataValidation>
    <dataValidation type="list" allowBlank="1" showInputMessage="1" showErrorMessage="1" sqref="SRF655365:SRF655388">
      <formula1>項目!A4:$SQY$655362</formula1>
    </dataValidation>
    <dataValidation type="list" allowBlank="1" showInputMessage="1" showErrorMessage="1" sqref="TBB655365:TBB655388">
      <formula1>項目!A4:$TAU$655362</formula1>
    </dataValidation>
    <dataValidation type="list" allowBlank="1" showInputMessage="1" showErrorMessage="1" sqref="TKX655365:TKX655388">
      <formula1>項目!A4:$TKQ$655362</formula1>
    </dataValidation>
    <dataValidation type="list" allowBlank="1" showInputMessage="1" showErrorMessage="1" sqref="TUT655365:TUT655388">
      <formula1>項目!A4:$TUM$655362</formula1>
    </dataValidation>
    <dataValidation type="list" allowBlank="1" showInputMessage="1" showErrorMessage="1" sqref="UEP655365:UEP655388">
      <formula1>項目!A4:$UEI$655362</formula1>
    </dataValidation>
    <dataValidation type="list" allowBlank="1" showInputMessage="1" showErrorMessage="1" sqref="UOL655365:UOL655388">
      <formula1>項目!A4:$UOE$655362</formula1>
    </dataValidation>
    <dataValidation type="list" allowBlank="1" showInputMessage="1" showErrorMessage="1" sqref="UYH655365:UYH655388">
      <formula1>項目!A4:$UYA$655362</formula1>
    </dataValidation>
    <dataValidation type="list" allowBlank="1" showInputMessage="1" showErrorMessage="1" sqref="VID655365:VID655388">
      <formula1>項目!A4:$VHW$655362</formula1>
    </dataValidation>
    <dataValidation type="list" allowBlank="1" showInputMessage="1" showErrorMessage="1" sqref="VRZ655365:VRZ655388">
      <formula1>項目!A4:$VRS$655362</formula1>
    </dataValidation>
    <dataValidation type="list" allowBlank="1" showInputMessage="1" showErrorMessage="1" sqref="WBV655365:WBV655388">
      <formula1>項目!A4:$WBO$655362</formula1>
    </dataValidation>
    <dataValidation type="list" allowBlank="1" showInputMessage="1" showErrorMessage="1" sqref="WLR655365:WLR655388">
      <formula1>項目!A4:$WLK$655362</formula1>
    </dataValidation>
    <dataValidation type="list" allowBlank="1" showInputMessage="1" showErrorMessage="1" sqref="WVN655365:WVN655388">
      <formula1>項目!A4:$WVG$655362</formula1>
    </dataValidation>
    <dataValidation type="list" allowBlank="1" showInputMessage="1" showErrorMessage="1" sqref="JB720901:JB720924">
      <formula1>項目!A4:$IU$720898</formula1>
    </dataValidation>
    <dataValidation type="list" allowBlank="1" showInputMessage="1" showErrorMessage="1" sqref="SX720901:SX720924">
      <formula1>項目!A4:$SQ$720898</formula1>
    </dataValidation>
    <dataValidation type="list" allowBlank="1" showInputMessage="1" showErrorMessage="1" sqref="ACT720901:ACT720924">
      <formula1>項目!A4:$ACM$720898</formula1>
    </dataValidation>
    <dataValidation type="list" allowBlank="1" showInputMessage="1" showErrorMessage="1" sqref="AMP720901:AMP720924">
      <formula1>項目!A4:$AMI$720898</formula1>
    </dataValidation>
    <dataValidation type="list" allowBlank="1" showInputMessage="1" showErrorMessage="1" sqref="AWL720901:AWL720924">
      <formula1>項目!A4:$AWE$720898</formula1>
    </dataValidation>
    <dataValidation type="list" allowBlank="1" showInputMessage="1" showErrorMessage="1" sqref="BGH720901:BGH720924">
      <formula1>項目!A4:$BGA$720898</formula1>
    </dataValidation>
    <dataValidation type="list" allowBlank="1" showInputMessage="1" showErrorMessage="1" sqref="BQD720901:BQD720924">
      <formula1>項目!A4:$BPW$720898</formula1>
    </dataValidation>
    <dataValidation type="list" allowBlank="1" showInputMessage="1" showErrorMessage="1" sqref="BZZ720901:BZZ720924">
      <formula1>項目!A4:$BZS$720898</formula1>
    </dataValidation>
    <dataValidation type="list" allowBlank="1" showInputMessage="1" showErrorMessage="1" sqref="CJV720901:CJV720924">
      <formula1>項目!A4:$CJO$720898</formula1>
    </dataValidation>
    <dataValidation type="list" allowBlank="1" showInputMessage="1" showErrorMessage="1" sqref="CTR720901:CTR720924">
      <formula1>項目!A4:$CTK$720898</formula1>
    </dataValidation>
    <dataValidation type="list" allowBlank="1" showInputMessage="1" showErrorMessage="1" sqref="DDN720901:DDN720924">
      <formula1>項目!A4:$DDG$720898</formula1>
    </dataValidation>
    <dataValidation type="list" allowBlank="1" showInputMessage="1" showErrorMessage="1" sqref="DNJ720901:DNJ720924">
      <formula1>項目!A4:$DNC$720898</formula1>
    </dataValidation>
    <dataValidation type="list" allowBlank="1" showInputMessage="1" showErrorMessage="1" sqref="DXF720901:DXF720924">
      <formula1>項目!A4:$DWY$720898</formula1>
    </dataValidation>
    <dataValidation type="list" allowBlank="1" showInputMessage="1" showErrorMessage="1" sqref="EHB720901:EHB720924">
      <formula1>項目!A4:$EGU$720898</formula1>
    </dataValidation>
    <dataValidation type="list" allowBlank="1" showInputMessage="1" showErrorMessage="1" sqref="EQX720901:EQX720924">
      <formula1>項目!A4:$EQQ$720898</formula1>
    </dataValidation>
    <dataValidation type="list" allowBlank="1" showInputMessage="1" showErrorMessage="1" sqref="FAT720901:FAT720924">
      <formula1>項目!A4:$FAM$720898</formula1>
    </dataValidation>
    <dataValidation type="list" allowBlank="1" showInputMessage="1" showErrorMessage="1" sqref="FKP720901:FKP720924">
      <formula1>項目!A4:$FKI$720898</formula1>
    </dataValidation>
    <dataValidation type="list" allowBlank="1" showInputMessage="1" showErrorMessage="1" sqref="FUL720901:FUL720924">
      <formula1>項目!A4:$FUE$720898</formula1>
    </dataValidation>
    <dataValidation type="list" allowBlank="1" showInputMessage="1" showErrorMessage="1" sqref="GEH720901:GEH720924">
      <formula1>項目!A4:$GEA$720898</formula1>
    </dataValidation>
    <dataValidation type="list" allowBlank="1" showInputMessage="1" showErrorMessage="1" sqref="GOD720901:GOD720924">
      <formula1>項目!A4:$GNW$720898</formula1>
    </dataValidation>
    <dataValidation type="list" allowBlank="1" showInputMessage="1" showErrorMessage="1" sqref="GXZ720901:GXZ720924">
      <formula1>項目!A4:$GXS$720898</formula1>
    </dataValidation>
    <dataValidation type="list" allowBlank="1" showInputMessage="1" showErrorMessage="1" sqref="HHV720901:HHV720924">
      <formula1>項目!A4:$HHO$720898</formula1>
    </dataValidation>
    <dataValidation type="list" allowBlank="1" showInputMessage="1" showErrorMessage="1" sqref="HRR720901:HRR720924">
      <formula1>項目!A4:$HRK$720898</formula1>
    </dataValidation>
    <dataValidation type="list" allowBlank="1" showInputMessage="1" showErrorMessage="1" sqref="IBN720901:IBN720924">
      <formula1>項目!A4:$IBG$720898</formula1>
    </dataValidation>
    <dataValidation type="list" allowBlank="1" showInputMessage="1" showErrorMessage="1" sqref="ILJ720901:ILJ720924">
      <formula1>項目!A4:$ILC$720898</formula1>
    </dataValidation>
    <dataValidation type="list" allowBlank="1" showInputMessage="1" showErrorMessage="1" sqref="IVF720901:IVF720924">
      <formula1>項目!A4:$IUY$720898</formula1>
    </dataValidation>
    <dataValidation type="list" allowBlank="1" showInputMessage="1" showErrorMessage="1" sqref="JFB720901:JFB720924">
      <formula1>項目!A4:$JEU$720898</formula1>
    </dataValidation>
    <dataValidation type="list" allowBlank="1" showInputMessage="1" showErrorMessage="1" sqref="JOX720901:JOX720924">
      <formula1>項目!A4:$JOQ$720898</formula1>
    </dataValidation>
    <dataValidation type="list" allowBlank="1" showInputMessage="1" showErrorMessage="1" sqref="JYT720901:JYT720924">
      <formula1>項目!A4:$JYM$720898</formula1>
    </dataValidation>
    <dataValidation type="list" allowBlank="1" showInputMessage="1" showErrorMessage="1" sqref="KIP720901:KIP720924">
      <formula1>項目!A4:$KII$720898</formula1>
    </dataValidation>
    <dataValidation type="list" allowBlank="1" showInputMessage="1" showErrorMessage="1" sqref="KSL720901:KSL720924">
      <formula1>項目!A4:$KSE$720898</formula1>
    </dataValidation>
    <dataValidation type="list" allowBlank="1" showInputMessage="1" showErrorMessage="1" sqref="LCH720901:LCH720924">
      <formula1>項目!A4:$LCA$720898</formula1>
    </dataValidation>
    <dataValidation type="list" allowBlank="1" showInputMessage="1" showErrorMessage="1" sqref="LMD720901:LMD720924">
      <formula1>項目!A4:$LLW$720898</formula1>
    </dataValidation>
    <dataValidation type="list" allowBlank="1" showInputMessage="1" showErrorMessage="1" sqref="LVZ720901:LVZ720924">
      <formula1>項目!A4:$LVS$720898</formula1>
    </dataValidation>
    <dataValidation type="list" allowBlank="1" showInputMessage="1" showErrorMessage="1" sqref="MFV720901:MFV720924">
      <formula1>項目!A4:$MFO$720898</formula1>
    </dataValidation>
    <dataValidation type="list" allowBlank="1" showInputMessage="1" showErrorMessage="1" sqref="MPR720901:MPR720924">
      <formula1>項目!A4:$MPK$720898</formula1>
    </dataValidation>
    <dataValidation type="list" allowBlank="1" showInputMessage="1" showErrorMessage="1" sqref="MZN720901:MZN720924">
      <formula1>項目!A4:$MZG$720898</formula1>
    </dataValidation>
    <dataValidation type="list" allowBlank="1" showInputMessage="1" showErrorMessage="1" sqref="NJJ720901:NJJ720924">
      <formula1>項目!A4:$NJC$720898</formula1>
    </dataValidation>
    <dataValidation type="list" allowBlank="1" showInputMessage="1" showErrorMessage="1" sqref="NTF720901:NTF720924">
      <formula1>項目!A4:$NSY$720898</formula1>
    </dataValidation>
    <dataValidation type="list" allowBlank="1" showInputMessage="1" showErrorMessage="1" sqref="ODB720901:ODB720924">
      <formula1>項目!A4:$OCU$720898</formula1>
    </dataValidation>
    <dataValidation type="list" allowBlank="1" showInputMessage="1" showErrorMessage="1" sqref="OMX720901:OMX720924">
      <formula1>項目!A4:$OMQ$720898</formula1>
    </dataValidation>
    <dataValidation type="list" allowBlank="1" showInputMessage="1" showErrorMessage="1" sqref="OWT720901:OWT720924">
      <formula1>項目!A4:$OWM$720898</formula1>
    </dataValidation>
    <dataValidation type="list" allowBlank="1" showInputMessage="1" showErrorMessage="1" sqref="PGP720901:PGP720924">
      <formula1>項目!A4:$PGI$720898</formula1>
    </dataValidation>
    <dataValidation type="list" allowBlank="1" showInputMessage="1" showErrorMessage="1" sqref="PQL720901:PQL720924">
      <formula1>項目!A4:$PQE$720898</formula1>
    </dataValidation>
    <dataValidation type="list" allowBlank="1" showInputMessage="1" showErrorMessage="1" sqref="QAH720901:QAH720924">
      <formula1>項目!A4:$QAA$720898</formula1>
    </dataValidation>
    <dataValidation type="list" allowBlank="1" showInputMessage="1" showErrorMessage="1" sqref="QKD720901:QKD720924">
      <formula1>項目!A4:$QJW$720898</formula1>
    </dataValidation>
    <dataValidation type="list" allowBlank="1" showInputMessage="1" showErrorMessage="1" sqref="QTZ720901:QTZ720924">
      <formula1>項目!A4:$QTS$720898</formula1>
    </dataValidation>
    <dataValidation type="list" allowBlank="1" showInputMessage="1" showErrorMessage="1" sqref="RDV720901:RDV720924">
      <formula1>項目!A4:$RDO$720898</formula1>
    </dataValidation>
    <dataValidation type="list" allowBlank="1" showInputMessage="1" showErrorMessage="1" sqref="RNR720901:RNR720924">
      <formula1>項目!A4:$RNK$720898</formula1>
    </dataValidation>
    <dataValidation type="list" allowBlank="1" showInputMessage="1" showErrorMessage="1" sqref="RXN720901:RXN720924">
      <formula1>項目!A4:$RXG$720898</formula1>
    </dataValidation>
    <dataValidation type="list" allowBlank="1" showInputMessage="1" showErrorMessage="1" sqref="SHJ720901:SHJ720924">
      <formula1>項目!A4:$SHC$720898</formula1>
    </dataValidation>
    <dataValidation type="list" allowBlank="1" showInputMessage="1" showErrorMessage="1" sqref="SRF720901:SRF720924">
      <formula1>項目!A4:$SQY$720898</formula1>
    </dataValidation>
    <dataValidation type="list" allowBlank="1" showInputMessage="1" showErrorMessage="1" sqref="TBB720901:TBB720924">
      <formula1>項目!A4:$TAU$720898</formula1>
    </dataValidation>
    <dataValidation type="list" allowBlank="1" showInputMessage="1" showErrorMessage="1" sqref="TKX720901:TKX720924">
      <formula1>項目!A4:$TKQ$720898</formula1>
    </dataValidation>
    <dataValidation type="list" allowBlank="1" showInputMessage="1" showErrorMessage="1" sqref="TUT720901:TUT720924">
      <formula1>項目!A4:$TUM$720898</formula1>
    </dataValidation>
    <dataValidation type="list" allowBlank="1" showInputMessage="1" showErrorMessage="1" sqref="UEP720901:UEP720924">
      <formula1>項目!A4:$UEI$720898</formula1>
    </dataValidation>
    <dataValidation type="list" allowBlank="1" showInputMessage="1" showErrorMessage="1" sqref="UOL720901:UOL720924">
      <formula1>項目!A4:$UOE$720898</formula1>
    </dataValidation>
    <dataValidation type="list" allowBlank="1" showInputMessage="1" showErrorMessage="1" sqref="UYH720901:UYH720924">
      <formula1>項目!A4:$UYA$720898</formula1>
    </dataValidation>
    <dataValidation type="list" allowBlank="1" showInputMessage="1" showErrorMessage="1" sqref="VID720901:VID720924">
      <formula1>項目!A4:$VHW$720898</formula1>
    </dataValidation>
    <dataValidation type="list" allowBlank="1" showInputMessage="1" showErrorMessage="1" sqref="VRZ720901:VRZ720924">
      <formula1>項目!A4:$VRS$720898</formula1>
    </dataValidation>
    <dataValidation type="list" allowBlank="1" showInputMessage="1" showErrorMessage="1" sqref="WBV720901:WBV720924">
      <formula1>項目!A4:$WBO$720898</formula1>
    </dataValidation>
    <dataValidation type="list" allowBlank="1" showInputMessage="1" showErrorMessage="1" sqref="WLR720901:WLR720924">
      <formula1>項目!A4:$WLK$720898</formula1>
    </dataValidation>
    <dataValidation type="list" allowBlank="1" showInputMessage="1" showErrorMessage="1" sqref="WVN720901:WVN720924">
      <formula1>項目!A4:$WVG$720898</formula1>
    </dataValidation>
    <dataValidation type="list" allowBlank="1" showInputMessage="1" showErrorMessage="1" sqref="JB786437:JB786460">
      <formula1>項目!A4:$IU$786434</formula1>
    </dataValidation>
    <dataValidation type="list" allowBlank="1" showInputMessage="1" showErrorMessage="1" sqref="SX786437:SX786460">
      <formula1>項目!A4:$SQ$786434</formula1>
    </dataValidation>
    <dataValidation type="list" allowBlank="1" showInputMessage="1" showErrorMessage="1" sqref="ACT786437:ACT786460">
      <formula1>項目!A4:$ACM$786434</formula1>
    </dataValidation>
    <dataValidation type="list" allowBlank="1" showInputMessage="1" showErrorMessage="1" sqref="AMP786437:AMP786460">
      <formula1>項目!A4:$AMI$786434</formula1>
    </dataValidation>
    <dataValidation type="list" allowBlank="1" showInputMessage="1" showErrorMessage="1" sqref="AWL786437:AWL786460">
      <formula1>項目!A4:$AWE$786434</formula1>
    </dataValidation>
    <dataValidation type="list" allowBlank="1" showInputMessage="1" showErrorMessage="1" sqref="BGH786437:BGH786460">
      <formula1>項目!A4:$BGA$786434</formula1>
    </dataValidation>
    <dataValidation type="list" allowBlank="1" showInputMessage="1" showErrorMessage="1" sqref="BQD786437:BQD786460">
      <formula1>項目!A4:$BPW$786434</formula1>
    </dataValidation>
    <dataValidation type="list" allowBlank="1" showInputMessage="1" showErrorMessage="1" sqref="BZZ786437:BZZ786460">
      <formula1>項目!A4:$BZS$786434</formula1>
    </dataValidation>
    <dataValidation type="list" allowBlank="1" showInputMessage="1" showErrorMessage="1" sqref="CJV786437:CJV786460">
      <formula1>項目!A4:$CJO$786434</formula1>
    </dataValidation>
    <dataValidation type="list" allowBlank="1" showInputMessage="1" showErrorMessage="1" sqref="CTR786437:CTR786460">
      <formula1>項目!A4:$CTK$786434</formula1>
    </dataValidation>
    <dataValidation type="list" allowBlank="1" showInputMessage="1" showErrorMessage="1" sqref="DDN786437:DDN786460">
      <formula1>項目!A4:$DDG$786434</formula1>
    </dataValidation>
    <dataValidation type="list" allowBlank="1" showInputMessage="1" showErrorMessage="1" sqref="DNJ786437:DNJ786460">
      <formula1>項目!A4:$DNC$786434</formula1>
    </dataValidation>
    <dataValidation type="list" allowBlank="1" showInputMessage="1" showErrorMessage="1" sqref="DXF786437:DXF786460">
      <formula1>項目!A4:$DWY$786434</formula1>
    </dataValidation>
    <dataValidation type="list" allowBlank="1" showInputMessage="1" showErrorMessage="1" sqref="EHB786437:EHB786460">
      <formula1>項目!A4:$EGU$786434</formula1>
    </dataValidation>
    <dataValidation type="list" allowBlank="1" showInputMessage="1" showErrorMessage="1" sqref="EQX786437:EQX786460">
      <formula1>項目!A4:$EQQ$786434</formula1>
    </dataValidation>
    <dataValidation type="list" allowBlank="1" showInputMessage="1" showErrorMessage="1" sqref="FAT786437:FAT786460">
      <formula1>項目!A4:$FAM$786434</formula1>
    </dataValidation>
    <dataValidation type="list" allowBlank="1" showInputMessage="1" showErrorMessage="1" sqref="FKP786437:FKP786460">
      <formula1>項目!A4:$FKI$786434</formula1>
    </dataValidation>
    <dataValidation type="list" allowBlank="1" showInputMessage="1" showErrorMessage="1" sqref="FUL786437:FUL786460">
      <formula1>項目!A4:$FUE$786434</formula1>
    </dataValidation>
    <dataValidation type="list" allowBlank="1" showInputMessage="1" showErrorMessage="1" sqref="GEH786437:GEH786460">
      <formula1>項目!A4:$GEA$786434</formula1>
    </dataValidation>
    <dataValidation type="list" allowBlank="1" showInputMessage="1" showErrorMessage="1" sqref="GOD786437:GOD786460">
      <formula1>項目!A4:$GNW$786434</formula1>
    </dataValidation>
    <dataValidation type="list" allowBlank="1" showInputMessage="1" showErrorMessage="1" sqref="GXZ786437:GXZ786460">
      <formula1>項目!A4:$GXS$786434</formula1>
    </dataValidation>
    <dataValidation type="list" allowBlank="1" showInputMessage="1" showErrorMessage="1" sqref="HHV786437:HHV786460">
      <formula1>項目!A4:$HHO$786434</formula1>
    </dataValidation>
    <dataValidation type="list" allowBlank="1" showInputMessage="1" showErrorMessage="1" sqref="HRR786437:HRR786460">
      <formula1>項目!A4:$HRK$786434</formula1>
    </dataValidation>
    <dataValidation type="list" allowBlank="1" showInputMessage="1" showErrorMessage="1" sqref="IBN786437:IBN786460">
      <formula1>項目!A4:$IBG$786434</formula1>
    </dataValidation>
    <dataValidation type="list" allowBlank="1" showInputMessage="1" showErrorMessage="1" sqref="ILJ786437:ILJ786460">
      <formula1>項目!A4:$ILC$786434</formula1>
    </dataValidation>
    <dataValidation type="list" allowBlank="1" showInputMessage="1" showErrorMessage="1" sqref="IVF786437:IVF786460">
      <formula1>項目!A4:$IUY$786434</formula1>
    </dataValidation>
    <dataValidation type="list" allowBlank="1" showInputMessage="1" showErrorMessage="1" sqref="JFB786437:JFB786460">
      <formula1>項目!A4:$JEU$786434</formula1>
    </dataValidation>
    <dataValidation type="list" allowBlank="1" showInputMessage="1" showErrorMessage="1" sqref="JOX786437:JOX786460">
      <formula1>項目!A4:$JOQ$786434</formula1>
    </dataValidation>
    <dataValidation type="list" allowBlank="1" showInputMessage="1" showErrorMessage="1" sqref="JYT786437:JYT786460">
      <formula1>項目!A4:$JYM$786434</formula1>
    </dataValidation>
    <dataValidation type="list" allowBlank="1" showInputMessage="1" showErrorMessage="1" sqref="KIP786437:KIP786460">
      <formula1>項目!A4:$KII$786434</formula1>
    </dataValidation>
    <dataValidation type="list" allowBlank="1" showInputMessage="1" showErrorMessage="1" sqref="KSL786437:KSL786460">
      <formula1>項目!A4:$KSE$786434</formula1>
    </dataValidation>
    <dataValidation type="list" allowBlank="1" showInputMessage="1" showErrorMessage="1" sqref="LCH786437:LCH786460">
      <formula1>項目!A4:$LCA$786434</formula1>
    </dataValidation>
    <dataValidation type="list" allowBlank="1" showInputMessage="1" showErrorMessage="1" sqref="LMD786437:LMD786460">
      <formula1>項目!A4:$LLW$786434</formula1>
    </dataValidation>
    <dataValidation type="list" allowBlank="1" showInputMessage="1" showErrorMessage="1" sqref="LVZ786437:LVZ786460">
      <formula1>項目!A4:$LVS$786434</formula1>
    </dataValidation>
    <dataValidation type="list" allowBlank="1" showInputMessage="1" showErrorMessage="1" sqref="MFV786437:MFV786460">
      <formula1>項目!A4:$MFO$786434</formula1>
    </dataValidation>
    <dataValidation type="list" allowBlank="1" showInputMessage="1" showErrorMessage="1" sqref="MPR786437:MPR786460">
      <formula1>項目!A4:$MPK$786434</formula1>
    </dataValidation>
    <dataValidation type="list" allowBlank="1" showInputMessage="1" showErrorMessage="1" sqref="MZN786437:MZN786460">
      <formula1>項目!A4:$MZG$786434</formula1>
    </dataValidation>
    <dataValidation type="list" allowBlank="1" showInputMessage="1" showErrorMessage="1" sqref="NJJ786437:NJJ786460">
      <formula1>項目!A4:$NJC$786434</formula1>
    </dataValidation>
    <dataValidation type="list" allowBlank="1" showInputMessage="1" showErrorMessage="1" sqref="NTF786437:NTF786460">
      <formula1>項目!A4:$NSY$786434</formula1>
    </dataValidation>
    <dataValidation type="list" allowBlank="1" showInputMessage="1" showErrorMessage="1" sqref="ODB786437:ODB786460">
      <formula1>項目!A4:$OCU$786434</formula1>
    </dataValidation>
    <dataValidation type="list" allowBlank="1" showInputMessage="1" showErrorMessage="1" sqref="OMX786437:OMX786460">
      <formula1>項目!A4:$OMQ$786434</formula1>
    </dataValidation>
    <dataValidation type="list" allowBlank="1" showInputMessage="1" showErrorMessage="1" sqref="OWT786437:OWT786460">
      <formula1>項目!A4:$OWM$786434</formula1>
    </dataValidation>
    <dataValidation type="list" allowBlank="1" showInputMessage="1" showErrorMessage="1" sqref="PGP786437:PGP786460">
      <formula1>項目!A4:$PGI$786434</formula1>
    </dataValidation>
    <dataValidation type="list" allowBlank="1" showInputMessage="1" showErrorMessage="1" sqref="PQL786437:PQL786460">
      <formula1>項目!A4:$PQE$786434</formula1>
    </dataValidation>
    <dataValidation type="list" allowBlank="1" showInputMessage="1" showErrorMessage="1" sqref="QAH786437:QAH786460">
      <formula1>項目!A4:$QAA$786434</formula1>
    </dataValidation>
    <dataValidation type="list" allowBlank="1" showInputMessage="1" showErrorMessage="1" sqref="QKD786437:QKD786460">
      <formula1>項目!A4:$QJW$786434</formula1>
    </dataValidation>
    <dataValidation type="list" allowBlank="1" showInputMessage="1" showErrorMessage="1" sqref="QTZ786437:QTZ786460">
      <formula1>項目!A4:$QTS$786434</formula1>
    </dataValidation>
    <dataValidation type="list" allowBlank="1" showInputMessage="1" showErrorMessage="1" sqref="RDV786437:RDV786460">
      <formula1>項目!A4:$RDO$786434</formula1>
    </dataValidation>
    <dataValidation type="list" allowBlank="1" showInputMessage="1" showErrorMessage="1" sqref="RNR786437:RNR786460">
      <formula1>項目!A4:$RNK$786434</formula1>
    </dataValidation>
    <dataValidation type="list" allowBlank="1" showInputMessage="1" showErrorMessage="1" sqref="RXN786437:RXN786460">
      <formula1>項目!A4:$RXG$786434</formula1>
    </dataValidation>
    <dataValidation type="list" allowBlank="1" showInputMessage="1" showErrorMessage="1" sqref="SHJ786437:SHJ786460">
      <formula1>項目!A4:$SHC$786434</formula1>
    </dataValidation>
    <dataValidation type="list" allowBlank="1" showInputMessage="1" showErrorMessage="1" sqref="SRF786437:SRF786460">
      <formula1>項目!A4:$SQY$786434</formula1>
    </dataValidation>
    <dataValidation type="list" allowBlank="1" showInputMessage="1" showErrorMessage="1" sqref="TBB786437:TBB786460">
      <formula1>項目!A4:$TAU$786434</formula1>
    </dataValidation>
    <dataValidation type="list" allowBlank="1" showInputMessage="1" showErrorMessage="1" sqref="TKX786437:TKX786460">
      <formula1>項目!A4:$TKQ$786434</formula1>
    </dataValidation>
    <dataValidation type="list" allowBlank="1" showInputMessage="1" showErrorMessage="1" sqref="TUT786437:TUT786460">
      <formula1>項目!A4:$TUM$786434</formula1>
    </dataValidation>
    <dataValidation type="list" allowBlank="1" showInputMessage="1" showErrorMessage="1" sqref="UEP786437:UEP786460">
      <formula1>項目!A4:$UEI$786434</formula1>
    </dataValidation>
    <dataValidation type="list" allowBlank="1" showInputMessage="1" showErrorMessage="1" sqref="UOL786437:UOL786460">
      <formula1>項目!A4:$UOE$786434</formula1>
    </dataValidation>
    <dataValidation type="list" allowBlank="1" showInputMessage="1" showErrorMessage="1" sqref="UYH786437:UYH786460">
      <formula1>項目!A4:$UYA$786434</formula1>
    </dataValidation>
    <dataValidation type="list" allowBlank="1" showInputMessage="1" showErrorMessage="1" sqref="VID786437:VID786460">
      <formula1>項目!A4:$VHW$786434</formula1>
    </dataValidation>
    <dataValidation type="list" allowBlank="1" showInputMessage="1" showErrorMessage="1" sqref="VRZ786437:VRZ786460">
      <formula1>項目!A4:$VRS$786434</formula1>
    </dataValidation>
    <dataValidation type="list" allowBlank="1" showInputMessage="1" showErrorMessage="1" sqref="WBV786437:WBV786460">
      <formula1>項目!A4:$WBO$786434</formula1>
    </dataValidation>
    <dataValidation type="list" allowBlank="1" showInputMessage="1" showErrorMessage="1" sqref="WLR786437:WLR786460">
      <formula1>項目!A4:$WLK$786434</formula1>
    </dataValidation>
    <dataValidation type="list" allowBlank="1" showInputMessage="1" showErrorMessage="1" sqref="WVN786437:WVN786460">
      <formula1>項目!A4:$WVG$786434</formula1>
    </dataValidation>
    <dataValidation type="list" allowBlank="1" showInputMessage="1" showErrorMessage="1" sqref="JB851973:JB851996">
      <formula1>項目!A4:$IU$851970</formula1>
    </dataValidation>
    <dataValidation type="list" allowBlank="1" showInputMessage="1" showErrorMessage="1" sqref="SX851973:SX851996">
      <formula1>項目!A4:$SQ$851970</formula1>
    </dataValidation>
    <dataValidation type="list" allowBlank="1" showInputMessage="1" showErrorMessage="1" sqref="ACT851973:ACT851996">
      <formula1>項目!A4:$ACM$851970</formula1>
    </dataValidation>
    <dataValidation type="list" allowBlank="1" showInputMessage="1" showErrorMessage="1" sqref="AMP851973:AMP851996">
      <formula1>項目!A4:$AMI$851970</formula1>
    </dataValidation>
    <dataValidation type="list" allowBlank="1" showInputMessage="1" showErrorMessage="1" sqref="AWL851973:AWL851996">
      <formula1>項目!A4:$AWE$851970</formula1>
    </dataValidation>
    <dataValidation type="list" allowBlank="1" showInputMessage="1" showErrorMessage="1" sqref="BGH851973:BGH851996">
      <formula1>項目!A4:$BGA$851970</formula1>
    </dataValidation>
    <dataValidation type="list" allowBlank="1" showInputMessage="1" showErrorMessage="1" sqref="BQD851973:BQD851996">
      <formula1>項目!A4:$BPW$851970</formula1>
    </dataValidation>
    <dataValidation type="list" allowBlank="1" showInputMessage="1" showErrorMessage="1" sqref="BZZ851973:BZZ851996">
      <formula1>項目!A4:$BZS$851970</formula1>
    </dataValidation>
    <dataValidation type="list" allowBlank="1" showInputMessage="1" showErrorMessage="1" sqref="CJV851973:CJV851996">
      <formula1>項目!A4:$CJO$851970</formula1>
    </dataValidation>
    <dataValidation type="list" allowBlank="1" showInputMessage="1" showErrorMessage="1" sqref="CTR851973:CTR851996">
      <formula1>項目!A4:$CTK$851970</formula1>
    </dataValidation>
    <dataValidation type="list" allowBlank="1" showInputMessage="1" showErrorMessage="1" sqref="DDN851973:DDN851996">
      <formula1>項目!A4:$DDG$851970</formula1>
    </dataValidation>
    <dataValidation type="list" allowBlank="1" showInputMessage="1" showErrorMessage="1" sqref="DNJ851973:DNJ851996">
      <formula1>項目!A4:$DNC$851970</formula1>
    </dataValidation>
    <dataValidation type="list" allowBlank="1" showInputMessage="1" showErrorMessage="1" sqref="DXF851973:DXF851996">
      <formula1>項目!A4:$DWY$851970</formula1>
    </dataValidation>
    <dataValidation type="list" allowBlank="1" showInputMessage="1" showErrorMessage="1" sqref="EHB851973:EHB851996">
      <formula1>項目!A4:$EGU$851970</formula1>
    </dataValidation>
    <dataValidation type="list" allowBlank="1" showInputMessage="1" showErrorMessage="1" sqref="EQX851973:EQX851996">
      <formula1>項目!A4:$EQQ$851970</formula1>
    </dataValidation>
    <dataValidation type="list" allowBlank="1" showInputMessage="1" showErrorMessage="1" sqref="FAT851973:FAT851996">
      <formula1>項目!A4:$FAM$851970</formula1>
    </dataValidation>
    <dataValidation type="list" allowBlank="1" showInputMessage="1" showErrorMessage="1" sqref="FKP851973:FKP851996">
      <formula1>項目!A4:$FKI$851970</formula1>
    </dataValidation>
    <dataValidation type="list" allowBlank="1" showInputMessage="1" showErrorMessage="1" sqref="FUL851973:FUL851996">
      <formula1>項目!A4:$FUE$851970</formula1>
    </dataValidation>
    <dataValidation type="list" allowBlank="1" showInputMessage="1" showErrorMessage="1" sqref="GEH851973:GEH851996">
      <formula1>項目!A4:$GEA$851970</formula1>
    </dataValidation>
    <dataValidation type="list" allowBlank="1" showInputMessage="1" showErrorMessage="1" sqref="GOD851973:GOD851996">
      <formula1>項目!A4:$GNW$851970</formula1>
    </dataValidation>
    <dataValidation type="list" allowBlank="1" showInputMessage="1" showErrorMessage="1" sqref="GXZ851973:GXZ851996">
      <formula1>項目!A4:$GXS$851970</formula1>
    </dataValidation>
    <dataValidation type="list" allowBlank="1" showInputMessage="1" showErrorMessage="1" sqref="HHV851973:HHV851996">
      <formula1>項目!A4:$HHO$851970</formula1>
    </dataValidation>
    <dataValidation type="list" allowBlank="1" showInputMessage="1" showErrorMessage="1" sqref="HRR851973:HRR851996">
      <formula1>項目!A4:$HRK$851970</formula1>
    </dataValidation>
    <dataValidation type="list" allowBlank="1" showInputMessage="1" showErrorMessage="1" sqref="IBN851973:IBN851996">
      <formula1>項目!A4:$IBG$851970</formula1>
    </dataValidation>
    <dataValidation type="list" allowBlank="1" showInputMessage="1" showErrorMessage="1" sqref="ILJ851973:ILJ851996">
      <formula1>項目!A4:$ILC$851970</formula1>
    </dataValidation>
    <dataValidation type="list" allowBlank="1" showInputMessage="1" showErrorMessage="1" sqref="IVF851973:IVF851996">
      <formula1>項目!A4:$IUY$851970</formula1>
    </dataValidation>
    <dataValidation type="list" allowBlank="1" showInputMessage="1" showErrorMessage="1" sqref="JFB851973:JFB851996">
      <formula1>項目!A4:$JEU$851970</formula1>
    </dataValidation>
    <dataValidation type="list" allowBlank="1" showInputMessage="1" showErrorMessage="1" sqref="JOX851973:JOX851996">
      <formula1>項目!A4:$JOQ$851970</formula1>
    </dataValidation>
    <dataValidation type="list" allowBlank="1" showInputMessage="1" showErrorMessage="1" sqref="JYT851973:JYT851996">
      <formula1>項目!A4:$JYM$851970</formula1>
    </dataValidation>
    <dataValidation type="list" allowBlank="1" showInputMessage="1" showErrorMessage="1" sqref="KIP851973:KIP851996">
      <formula1>項目!A4:$KII$851970</formula1>
    </dataValidation>
    <dataValidation type="list" allowBlank="1" showInputMessage="1" showErrorMessage="1" sqref="KSL851973:KSL851996">
      <formula1>項目!A4:$KSE$851970</formula1>
    </dataValidation>
    <dataValidation type="list" allowBlank="1" showInputMessage="1" showErrorMessage="1" sqref="LCH851973:LCH851996">
      <formula1>項目!A4:$LCA$851970</formula1>
    </dataValidation>
    <dataValidation type="list" allowBlank="1" showInputMessage="1" showErrorMessage="1" sqref="LMD851973:LMD851996">
      <formula1>項目!A4:$LLW$851970</formula1>
    </dataValidation>
    <dataValidation type="list" allowBlank="1" showInputMessage="1" showErrorMessage="1" sqref="LVZ851973:LVZ851996">
      <formula1>項目!A4:$LVS$851970</formula1>
    </dataValidation>
    <dataValidation type="list" allowBlank="1" showInputMessage="1" showErrorMessage="1" sqref="MFV851973:MFV851996">
      <formula1>項目!A4:$MFO$851970</formula1>
    </dataValidation>
    <dataValidation type="list" allowBlank="1" showInputMessage="1" showErrorMessage="1" sqref="MPR851973:MPR851996">
      <formula1>項目!A4:$MPK$851970</formula1>
    </dataValidation>
    <dataValidation type="list" allowBlank="1" showInputMessage="1" showErrorMessage="1" sqref="MZN851973:MZN851996">
      <formula1>項目!A4:$MZG$851970</formula1>
    </dataValidation>
    <dataValidation type="list" allowBlank="1" showInputMessage="1" showErrorMessage="1" sqref="NJJ851973:NJJ851996">
      <formula1>項目!A4:$NJC$851970</formula1>
    </dataValidation>
    <dataValidation type="list" allowBlank="1" showInputMessage="1" showErrorMessage="1" sqref="NTF851973:NTF851996">
      <formula1>項目!A4:$NSY$851970</formula1>
    </dataValidation>
    <dataValidation type="list" allowBlank="1" showInputMessage="1" showErrorMessage="1" sqref="ODB851973:ODB851996">
      <formula1>項目!A4:$OCU$851970</formula1>
    </dataValidation>
    <dataValidation type="list" allowBlank="1" showInputMessage="1" showErrorMessage="1" sqref="OMX851973:OMX851996">
      <formula1>項目!A4:$OMQ$851970</formula1>
    </dataValidation>
    <dataValidation type="list" allowBlank="1" showInputMessage="1" showErrorMessage="1" sqref="OWT851973:OWT851996">
      <formula1>項目!A4:$OWM$851970</formula1>
    </dataValidation>
    <dataValidation type="list" allowBlank="1" showInputMessage="1" showErrorMessage="1" sqref="PGP851973:PGP851996">
      <formula1>項目!A4:$PGI$851970</formula1>
    </dataValidation>
    <dataValidation type="list" allowBlank="1" showInputMessage="1" showErrorMessage="1" sqref="PQL851973:PQL851996">
      <formula1>項目!A4:$PQE$851970</formula1>
    </dataValidation>
    <dataValidation type="list" allowBlank="1" showInputMessage="1" showErrorMessage="1" sqref="QAH851973:QAH851996">
      <formula1>項目!A4:$QAA$851970</formula1>
    </dataValidation>
    <dataValidation type="list" allowBlank="1" showInputMessage="1" showErrorMessage="1" sqref="QKD851973:QKD851996">
      <formula1>項目!A4:$QJW$851970</formula1>
    </dataValidation>
    <dataValidation type="list" allowBlank="1" showInputMessage="1" showErrorMessage="1" sqref="QTZ851973:QTZ851996">
      <formula1>項目!A4:$QTS$851970</formula1>
    </dataValidation>
    <dataValidation type="list" allowBlank="1" showInputMessage="1" showErrorMessage="1" sqref="RDV851973:RDV851996">
      <formula1>項目!A4:$RDO$851970</formula1>
    </dataValidation>
    <dataValidation type="list" allowBlank="1" showInputMessage="1" showErrorMessage="1" sqref="RNR851973:RNR851996">
      <formula1>項目!A4:$RNK$851970</formula1>
    </dataValidation>
    <dataValidation type="list" allowBlank="1" showInputMessage="1" showErrorMessage="1" sqref="RXN851973:RXN851996">
      <formula1>項目!A4:$RXG$851970</formula1>
    </dataValidation>
    <dataValidation type="list" allowBlank="1" showInputMessage="1" showErrorMessage="1" sqref="SHJ851973:SHJ851996">
      <formula1>項目!A4:$SHC$851970</formula1>
    </dataValidation>
    <dataValidation type="list" allowBlank="1" showInputMessage="1" showErrorMessage="1" sqref="SRF851973:SRF851996">
      <formula1>項目!A4:$SQY$851970</formula1>
    </dataValidation>
    <dataValidation type="list" allowBlank="1" showInputMessage="1" showErrorMessage="1" sqref="TBB851973:TBB851996">
      <formula1>項目!A4:$TAU$851970</formula1>
    </dataValidation>
    <dataValidation type="list" allowBlank="1" showInputMessage="1" showErrorMessage="1" sqref="TKX851973:TKX851996">
      <formula1>項目!A4:$TKQ$851970</formula1>
    </dataValidation>
    <dataValidation type="list" allowBlank="1" showInputMessage="1" showErrorMessage="1" sqref="TUT851973:TUT851996">
      <formula1>項目!A4:$TUM$851970</formula1>
    </dataValidation>
    <dataValidation type="list" allowBlank="1" showInputMessage="1" showErrorMessage="1" sqref="UEP851973:UEP851996">
      <formula1>項目!A4:$UEI$851970</formula1>
    </dataValidation>
    <dataValidation type="list" allowBlank="1" showInputMessage="1" showErrorMessage="1" sqref="UOL851973:UOL851996">
      <formula1>項目!A4:$UOE$851970</formula1>
    </dataValidation>
    <dataValidation type="list" allowBlank="1" showInputMessage="1" showErrorMessage="1" sqref="UYH851973:UYH851996">
      <formula1>項目!A4:$UYA$851970</formula1>
    </dataValidation>
    <dataValidation type="list" allowBlank="1" showInputMessage="1" showErrorMessage="1" sqref="VID851973:VID851996">
      <formula1>項目!A4:$VHW$851970</formula1>
    </dataValidation>
    <dataValidation type="list" allowBlank="1" showInputMessage="1" showErrorMessage="1" sqref="VRZ851973:VRZ851996">
      <formula1>項目!A4:$VRS$851970</formula1>
    </dataValidation>
    <dataValidation type="list" allowBlank="1" showInputMessage="1" showErrorMessage="1" sqref="WBV851973:WBV851996">
      <formula1>項目!A4:$WBO$851970</formula1>
    </dataValidation>
    <dataValidation type="list" allowBlank="1" showInputMessage="1" showErrorMessage="1" sqref="WLR851973:WLR851996">
      <formula1>項目!A4:$WLK$851970</formula1>
    </dataValidation>
    <dataValidation type="list" allowBlank="1" showInputMessage="1" showErrorMessage="1" sqref="WVN851973:WVN851996">
      <formula1>項目!A4:$WVG$851970</formula1>
    </dataValidation>
    <dataValidation type="list" allowBlank="1" showInputMessage="1" showErrorMessage="1" sqref="JB917509:JB917532">
      <formula1>項目!A4:$IU$917506</formula1>
    </dataValidation>
    <dataValidation type="list" allowBlank="1" showInputMessage="1" showErrorMessage="1" sqref="SX917509:SX917532">
      <formula1>項目!A4:$SQ$917506</formula1>
    </dataValidation>
    <dataValidation type="list" allowBlank="1" showInputMessage="1" showErrorMessage="1" sqref="ACT917509:ACT917532">
      <formula1>項目!A4:$ACM$917506</formula1>
    </dataValidation>
    <dataValidation type="list" allowBlank="1" showInputMessage="1" showErrorMessage="1" sqref="AMP917509:AMP917532">
      <formula1>項目!A4:$AMI$917506</formula1>
    </dataValidation>
    <dataValidation type="list" allowBlank="1" showInputMessage="1" showErrorMessage="1" sqref="AWL917509:AWL917532">
      <formula1>項目!A4:$AWE$917506</formula1>
    </dataValidation>
    <dataValidation type="list" allowBlank="1" showInputMessage="1" showErrorMessage="1" sqref="BGH917509:BGH917532">
      <formula1>項目!A4:$BGA$917506</formula1>
    </dataValidation>
    <dataValidation type="list" allowBlank="1" showInputMessage="1" showErrorMessage="1" sqref="BQD917509:BQD917532">
      <formula1>項目!A4:$BPW$917506</formula1>
    </dataValidation>
    <dataValidation type="list" allowBlank="1" showInputMessage="1" showErrorMessage="1" sqref="BZZ917509:BZZ917532">
      <formula1>項目!A4:$BZS$917506</formula1>
    </dataValidation>
    <dataValidation type="list" allowBlank="1" showInputMessage="1" showErrorMessage="1" sqref="CJV917509:CJV917532">
      <formula1>項目!A4:$CJO$917506</formula1>
    </dataValidation>
    <dataValidation type="list" allowBlank="1" showInputMessage="1" showErrorMessage="1" sqref="CTR917509:CTR917532">
      <formula1>項目!A4:$CTK$917506</formula1>
    </dataValidation>
    <dataValidation type="list" allowBlank="1" showInputMessage="1" showErrorMessage="1" sqref="DDN917509:DDN917532">
      <formula1>項目!A4:$DDG$917506</formula1>
    </dataValidation>
    <dataValidation type="list" allowBlank="1" showInputMessage="1" showErrorMessage="1" sqref="DNJ917509:DNJ917532">
      <formula1>項目!A4:$DNC$917506</formula1>
    </dataValidation>
    <dataValidation type="list" allowBlank="1" showInputMessage="1" showErrorMessage="1" sqref="DXF917509:DXF917532">
      <formula1>項目!A4:$DWY$917506</formula1>
    </dataValidation>
    <dataValidation type="list" allowBlank="1" showInputMessage="1" showErrorMessage="1" sqref="EHB917509:EHB917532">
      <formula1>項目!A4:$EGU$917506</formula1>
    </dataValidation>
    <dataValidation type="list" allowBlank="1" showInputMessage="1" showErrorMessage="1" sqref="EQX917509:EQX917532">
      <formula1>項目!A4:$EQQ$917506</formula1>
    </dataValidation>
    <dataValidation type="list" allowBlank="1" showInputMessage="1" showErrorMessage="1" sqref="FAT917509:FAT917532">
      <formula1>項目!A4:$FAM$917506</formula1>
    </dataValidation>
    <dataValidation type="list" allowBlank="1" showInputMessage="1" showErrorMessage="1" sqref="FKP917509:FKP917532">
      <formula1>項目!A4:$FKI$917506</formula1>
    </dataValidation>
    <dataValidation type="list" allowBlank="1" showInputMessage="1" showErrorMessage="1" sqref="FUL917509:FUL917532">
      <formula1>項目!A4:$FUE$917506</formula1>
    </dataValidation>
    <dataValidation type="list" allowBlank="1" showInputMessage="1" showErrorMessage="1" sqref="GEH917509:GEH917532">
      <formula1>項目!A4:$GEA$917506</formula1>
    </dataValidation>
    <dataValidation type="list" allowBlank="1" showInputMessage="1" showErrorMessage="1" sqref="GOD917509:GOD917532">
      <formula1>項目!A4:$GNW$917506</formula1>
    </dataValidation>
    <dataValidation type="list" allowBlank="1" showInputMessage="1" showErrorMessage="1" sqref="GXZ917509:GXZ917532">
      <formula1>項目!A4:$GXS$917506</formula1>
    </dataValidation>
    <dataValidation type="list" allowBlank="1" showInputMessage="1" showErrorMessage="1" sqref="HHV917509:HHV917532">
      <formula1>項目!A4:$HHO$917506</formula1>
    </dataValidation>
    <dataValidation type="list" allowBlank="1" showInputMessage="1" showErrorMessage="1" sqref="HRR917509:HRR917532">
      <formula1>項目!A4:$HRK$917506</formula1>
    </dataValidation>
    <dataValidation type="list" allowBlank="1" showInputMessage="1" showErrorMessage="1" sqref="IBN917509:IBN917532">
      <formula1>項目!A4:$IBG$917506</formula1>
    </dataValidation>
    <dataValidation type="list" allowBlank="1" showInputMessage="1" showErrorMessage="1" sqref="ILJ917509:ILJ917532">
      <formula1>項目!A4:$ILC$917506</formula1>
    </dataValidation>
    <dataValidation type="list" allowBlank="1" showInputMessage="1" showErrorMessage="1" sqref="IVF917509:IVF917532">
      <formula1>項目!A4:$IUY$917506</formula1>
    </dataValidation>
    <dataValidation type="list" allowBlank="1" showInputMessage="1" showErrorMessage="1" sqref="JFB917509:JFB917532">
      <formula1>項目!A4:$JEU$917506</formula1>
    </dataValidation>
    <dataValidation type="list" allowBlank="1" showInputMessage="1" showErrorMessage="1" sqref="JOX917509:JOX917532">
      <formula1>項目!A4:$JOQ$917506</formula1>
    </dataValidation>
    <dataValidation type="list" allowBlank="1" showInputMessage="1" showErrorMessage="1" sqref="JYT917509:JYT917532">
      <formula1>項目!A4:$JYM$917506</formula1>
    </dataValidation>
    <dataValidation type="list" allowBlank="1" showInputMessage="1" showErrorMessage="1" sqref="KIP917509:KIP917532">
      <formula1>項目!A4:$KII$917506</formula1>
    </dataValidation>
    <dataValidation type="list" allowBlank="1" showInputMessage="1" showErrorMessage="1" sqref="KSL917509:KSL917532">
      <formula1>項目!A4:$KSE$917506</formula1>
    </dataValidation>
    <dataValidation type="list" allowBlank="1" showInputMessage="1" showErrorMessage="1" sqref="LCH917509:LCH917532">
      <formula1>項目!A4:$LCA$917506</formula1>
    </dataValidation>
    <dataValidation type="list" allowBlank="1" showInputMessage="1" showErrorMessage="1" sqref="LMD917509:LMD917532">
      <formula1>項目!A4:$LLW$917506</formula1>
    </dataValidation>
    <dataValidation type="list" allowBlank="1" showInputMessage="1" showErrorMessage="1" sqref="LVZ917509:LVZ917532">
      <formula1>項目!A4:$LVS$917506</formula1>
    </dataValidation>
    <dataValidation type="list" allowBlank="1" showInputMessage="1" showErrorMessage="1" sqref="MFV917509:MFV917532">
      <formula1>項目!A4:$MFO$917506</formula1>
    </dataValidation>
    <dataValidation type="list" allowBlank="1" showInputMessage="1" showErrorMessage="1" sqref="MPR917509:MPR917532">
      <formula1>項目!A4:$MPK$917506</formula1>
    </dataValidation>
    <dataValidation type="list" allowBlank="1" showInputMessage="1" showErrorMessage="1" sqref="MZN917509:MZN917532">
      <formula1>項目!A4:$MZG$917506</formula1>
    </dataValidation>
    <dataValidation type="list" allowBlank="1" showInputMessage="1" showErrorMessage="1" sqref="NJJ917509:NJJ917532">
      <formula1>項目!A4:$NJC$917506</formula1>
    </dataValidation>
    <dataValidation type="list" allowBlank="1" showInputMessage="1" showErrorMessage="1" sqref="NTF917509:NTF917532">
      <formula1>項目!A4:$NSY$917506</formula1>
    </dataValidation>
    <dataValidation type="list" allowBlank="1" showInputMessage="1" showErrorMessage="1" sqref="ODB917509:ODB917532">
      <formula1>項目!A4:$OCU$917506</formula1>
    </dataValidation>
    <dataValidation type="list" allowBlank="1" showInputMessage="1" showErrorMessage="1" sqref="OMX917509:OMX917532">
      <formula1>項目!A4:$OMQ$917506</formula1>
    </dataValidation>
    <dataValidation type="list" allowBlank="1" showInputMessage="1" showErrorMessage="1" sqref="OWT917509:OWT917532">
      <formula1>項目!A4:$OWM$917506</formula1>
    </dataValidation>
    <dataValidation type="list" allowBlank="1" showInputMessage="1" showErrorMessage="1" sqref="PGP917509:PGP917532">
      <formula1>項目!A4:$PGI$917506</formula1>
    </dataValidation>
    <dataValidation type="list" allowBlank="1" showInputMessage="1" showErrorMessage="1" sqref="PQL917509:PQL917532">
      <formula1>項目!A4:$PQE$917506</formula1>
    </dataValidation>
    <dataValidation type="list" allowBlank="1" showInputMessage="1" showErrorMessage="1" sqref="QAH917509:QAH917532">
      <formula1>項目!A4:$QAA$917506</formula1>
    </dataValidation>
    <dataValidation type="list" allowBlank="1" showInputMessage="1" showErrorMessage="1" sqref="QKD917509:QKD917532">
      <formula1>項目!A4:$QJW$917506</formula1>
    </dataValidation>
    <dataValidation type="list" allowBlank="1" showInputMessage="1" showErrorMessage="1" sqref="QTZ917509:QTZ917532">
      <formula1>項目!A4:$QTS$917506</formula1>
    </dataValidation>
    <dataValidation type="list" allowBlank="1" showInputMessage="1" showErrorMessage="1" sqref="RDV917509:RDV917532">
      <formula1>項目!A4:$RDO$917506</formula1>
    </dataValidation>
    <dataValidation type="list" allowBlank="1" showInputMessage="1" showErrorMessage="1" sqref="RNR917509:RNR917532">
      <formula1>項目!A4:$RNK$917506</formula1>
    </dataValidation>
    <dataValidation type="list" allowBlank="1" showInputMessage="1" showErrorMessage="1" sqref="RXN917509:RXN917532">
      <formula1>項目!A4:$RXG$917506</formula1>
    </dataValidation>
    <dataValidation type="list" allowBlank="1" showInputMessage="1" showErrorMessage="1" sqref="SHJ917509:SHJ917532">
      <formula1>項目!A4:$SHC$917506</formula1>
    </dataValidation>
    <dataValidation type="list" allowBlank="1" showInputMessage="1" showErrorMessage="1" sqref="SRF917509:SRF917532">
      <formula1>項目!A4:$SQY$917506</formula1>
    </dataValidation>
    <dataValidation type="list" allowBlank="1" showInputMessage="1" showErrorMessage="1" sqref="TBB917509:TBB917532">
      <formula1>項目!A4:$TAU$917506</formula1>
    </dataValidation>
    <dataValidation type="list" allowBlank="1" showInputMessage="1" showErrorMessage="1" sqref="TKX917509:TKX917532">
      <formula1>項目!A4:$TKQ$917506</formula1>
    </dataValidation>
    <dataValidation type="list" allowBlank="1" showInputMessage="1" showErrorMessage="1" sqref="TUT917509:TUT917532">
      <formula1>項目!A4:$TUM$917506</formula1>
    </dataValidation>
    <dataValidation type="list" allowBlank="1" showInputMessage="1" showErrorMessage="1" sqref="UEP917509:UEP917532">
      <formula1>項目!A4:$UEI$917506</formula1>
    </dataValidation>
    <dataValidation type="list" allowBlank="1" showInputMessage="1" showErrorMessage="1" sqref="UOL917509:UOL917532">
      <formula1>項目!A4:$UOE$917506</formula1>
    </dataValidation>
    <dataValidation type="list" allowBlank="1" showInputMessage="1" showErrorMessage="1" sqref="UYH917509:UYH917532">
      <formula1>項目!A4:$UYA$917506</formula1>
    </dataValidation>
    <dataValidation type="list" allowBlank="1" showInputMessage="1" showErrorMessage="1" sqref="VID917509:VID917532">
      <formula1>項目!A4:$VHW$917506</formula1>
    </dataValidation>
    <dataValidation type="list" allowBlank="1" showInputMessage="1" showErrorMessage="1" sqref="VRZ917509:VRZ917532">
      <formula1>項目!A4:$VRS$917506</formula1>
    </dataValidation>
    <dataValidation type="list" allowBlank="1" showInputMessage="1" showErrorMessage="1" sqref="WBV917509:WBV917532">
      <formula1>項目!A4:$WBO$917506</formula1>
    </dataValidation>
    <dataValidation type="list" allowBlank="1" showInputMessage="1" showErrorMessage="1" sqref="WLR917509:WLR917532">
      <formula1>項目!A4:$WLK$917506</formula1>
    </dataValidation>
    <dataValidation type="list" allowBlank="1" showInputMessage="1" showErrorMessage="1" sqref="WVN917509:WVN917532">
      <formula1>項目!A4:$WVG$917506</formula1>
    </dataValidation>
    <dataValidation type="list" allowBlank="1" showInputMessage="1" showErrorMessage="1" sqref="JB983045:JB983068">
      <formula1>項目!A4:$IU$983042</formula1>
    </dataValidation>
    <dataValidation type="list" allowBlank="1" showInputMessage="1" showErrorMessage="1" sqref="SX983045:SX983068">
      <formula1>項目!A4:$SQ$983042</formula1>
    </dataValidation>
    <dataValidation type="list" allowBlank="1" showInputMessage="1" showErrorMessage="1" sqref="ACT983045:ACT983068">
      <formula1>項目!A4:$ACM$983042</formula1>
    </dataValidation>
    <dataValidation type="list" allowBlank="1" showInputMessage="1" showErrorMessage="1" sqref="AMP983045:AMP983068">
      <formula1>項目!A4:$AMI$983042</formula1>
    </dataValidation>
    <dataValidation type="list" allowBlank="1" showInputMessage="1" showErrorMessage="1" sqref="AWL983045:AWL983068">
      <formula1>項目!A4:$AWE$983042</formula1>
    </dataValidation>
    <dataValidation type="list" allowBlank="1" showInputMessage="1" showErrorMessage="1" sqref="BGH983045:BGH983068">
      <formula1>項目!A4:$BGA$983042</formula1>
    </dataValidation>
    <dataValidation type="list" allowBlank="1" showInputMessage="1" showErrorMessage="1" sqref="BQD983045:BQD983068">
      <formula1>項目!A4:$BPW$983042</formula1>
    </dataValidation>
    <dataValidation type="list" allowBlank="1" showInputMessage="1" showErrorMessage="1" sqref="BZZ983045:BZZ983068">
      <formula1>項目!A4:$BZS$983042</formula1>
    </dataValidation>
    <dataValidation type="list" allowBlank="1" showInputMessage="1" showErrorMessage="1" sqref="CJV983045:CJV983068">
      <formula1>項目!A4:$CJO$983042</formula1>
    </dataValidation>
    <dataValidation type="list" allowBlank="1" showInputMessage="1" showErrorMessage="1" sqref="CTR983045:CTR983068">
      <formula1>項目!A4:$CTK$983042</formula1>
    </dataValidation>
    <dataValidation type="list" allowBlank="1" showInputMessage="1" showErrorMessage="1" sqref="DDN983045:DDN983068">
      <formula1>項目!A4:$DDG$983042</formula1>
    </dataValidation>
    <dataValidation type="list" allowBlank="1" showInputMessage="1" showErrorMessage="1" sqref="DNJ983045:DNJ983068">
      <formula1>項目!A4:$DNC$983042</formula1>
    </dataValidation>
    <dataValidation type="list" allowBlank="1" showInputMessage="1" showErrorMessage="1" sqref="DXF983045:DXF983068">
      <formula1>項目!A4:$DWY$983042</formula1>
    </dataValidation>
    <dataValidation type="list" allowBlank="1" showInputMessage="1" showErrorMessage="1" sqref="EHB983045:EHB983068">
      <formula1>項目!A4:$EGU$983042</formula1>
    </dataValidation>
    <dataValidation type="list" allowBlank="1" showInputMessage="1" showErrorMessage="1" sqref="EQX983045:EQX983068">
      <formula1>項目!A4:$EQQ$983042</formula1>
    </dataValidation>
    <dataValidation type="list" allowBlank="1" showInputMessage="1" showErrorMessage="1" sqref="FAT983045:FAT983068">
      <formula1>項目!A4:$FAM$983042</formula1>
    </dataValidation>
    <dataValidation type="list" allowBlank="1" showInputMessage="1" showErrorMessage="1" sqref="FKP983045:FKP983068">
      <formula1>項目!A4:$FKI$983042</formula1>
    </dataValidation>
    <dataValidation type="list" allowBlank="1" showInputMessage="1" showErrorMessage="1" sqref="FUL983045:FUL983068">
      <formula1>項目!A4:$FUE$983042</formula1>
    </dataValidation>
    <dataValidation type="list" allowBlank="1" showInputMessage="1" showErrorMessage="1" sqref="GEH983045:GEH983068">
      <formula1>項目!A4:$GEA$983042</formula1>
    </dataValidation>
    <dataValidation type="list" allowBlank="1" showInputMessage="1" showErrorMessage="1" sqref="GOD983045:GOD983068">
      <formula1>項目!A4:$GNW$983042</formula1>
    </dataValidation>
    <dataValidation type="list" allowBlank="1" showInputMessage="1" showErrorMessage="1" sqref="GXZ983045:GXZ983068">
      <formula1>項目!A4:$GXS$983042</formula1>
    </dataValidation>
    <dataValidation type="list" allowBlank="1" showInputMessage="1" showErrorMessage="1" sqref="HHV983045:HHV983068">
      <formula1>項目!A4:$HHO$983042</formula1>
    </dataValidation>
    <dataValidation type="list" allowBlank="1" showInputMessage="1" showErrorMessage="1" sqref="HRR983045:HRR983068">
      <formula1>項目!A4:$HRK$983042</formula1>
    </dataValidation>
    <dataValidation type="list" allowBlank="1" showInputMessage="1" showErrorMessage="1" sqref="IBN983045:IBN983068">
      <formula1>項目!A4:$IBG$983042</formula1>
    </dataValidation>
    <dataValidation type="list" allowBlank="1" showInputMessage="1" showErrorMessage="1" sqref="ILJ983045:ILJ983068">
      <formula1>項目!A4:$ILC$983042</formula1>
    </dataValidation>
    <dataValidation type="list" allowBlank="1" showInputMessage="1" showErrorMessage="1" sqref="IVF983045:IVF983068">
      <formula1>項目!A4:$IUY$983042</formula1>
    </dataValidation>
    <dataValidation type="list" allowBlank="1" showInputMessage="1" showErrorMessage="1" sqref="JFB983045:JFB983068">
      <formula1>項目!A4:$JEU$983042</formula1>
    </dataValidation>
    <dataValidation type="list" allowBlank="1" showInputMessage="1" showErrorMessage="1" sqref="JOX983045:JOX983068">
      <formula1>項目!A4:$JOQ$983042</formula1>
    </dataValidation>
    <dataValidation type="list" allowBlank="1" showInputMessage="1" showErrorMessage="1" sqref="JYT983045:JYT983068">
      <formula1>項目!A4:$JYM$983042</formula1>
    </dataValidation>
    <dataValidation type="list" allowBlank="1" showInputMessage="1" showErrorMessage="1" sqref="KIP983045:KIP983068">
      <formula1>項目!A4:$KII$983042</formula1>
    </dataValidation>
    <dataValidation type="list" allowBlank="1" showInputMessage="1" showErrorMessage="1" sqref="KSL983045:KSL983068">
      <formula1>項目!A4:$KSE$983042</formula1>
    </dataValidation>
    <dataValidation type="list" allowBlank="1" showInputMessage="1" showErrorMessage="1" sqref="LCH983045:LCH983068">
      <formula1>項目!A4:$LCA$983042</formula1>
    </dataValidation>
    <dataValidation type="list" allowBlank="1" showInputMessage="1" showErrorMessage="1" sqref="LMD983045:LMD983068">
      <formula1>項目!A4:$LLW$983042</formula1>
    </dataValidation>
    <dataValidation type="list" allowBlank="1" showInputMessage="1" showErrorMessage="1" sqref="LVZ983045:LVZ983068">
      <formula1>項目!A4:$LVS$983042</formula1>
    </dataValidation>
    <dataValidation type="list" allowBlank="1" showInputMessage="1" showErrorMessage="1" sqref="MFV983045:MFV983068">
      <formula1>項目!A4:$MFO$983042</formula1>
    </dataValidation>
    <dataValidation type="list" allowBlank="1" showInputMessage="1" showErrorMessage="1" sqref="MPR983045:MPR983068">
      <formula1>項目!A4:$MPK$983042</formula1>
    </dataValidation>
    <dataValidation type="list" allowBlank="1" showInputMessage="1" showErrorMessage="1" sqref="MZN983045:MZN983068">
      <formula1>項目!A4:$MZG$983042</formula1>
    </dataValidation>
    <dataValidation type="list" allowBlank="1" showInputMessage="1" showErrorMessage="1" sqref="NJJ983045:NJJ983068">
      <formula1>項目!A4:$NJC$983042</formula1>
    </dataValidation>
    <dataValidation type="list" allowBlank="1" showInputMessage="1" showErrorMessage="1" sqref="NTF983045:NTF983068">
      <formula1>項目!A4:$NSY$983042</formula1>
    </dataValidation>
    <dataValidation type="list" allowBlank="1" showInputMessage="1" showErrorMessage="1" sqref="ODB983045:ODB983068">
      <formula1>項目!A4:$OCU$983042</formula1>
    </dataValidation>
    <dataValidation type="list" allowBlank="1" showInputMessage="1" showErrorMessage="1" sqref="OMX983045:OMX983068">
      <formula1>項目!A4:$OMQ$983042</formula1>
    </dataValidation>
    <dataValidation type="list" allowBlank="1" showInputMessage="1" showErrorMessage="1" sqref="OWT983045:OWT983068">
      <formula1>項目!A4:$OWM$983042</formula1>
    </dataValidation>
    <dataValidation type="list" allowBlank="1" showInputMessage="1" showErrorMessage="1" sqref="PGP983045:PGP983068">
      <formula1>項目!A4:$PGI$983042</formula1>
    </dataValidation>
    <dataValidation type="list" allowBlank="1" showInputMessage="1" showErrorMessage="1" sqref="PQL983045:PQL983068">
      <formula1>項目!A4:$PQE$983042</formula1>
    </dataValidation>
    <dataValidation type="list" allowBlank="1" showInputMessage="1" showErrorMessage="1" sqref="QAH983045:QAH983068">
      <formula1>項目!A4:$QAA$983042</formula1>
    </dataValidation>
    <dataValidation type="list" allowBlank="1" showInputMessage="1" showErrorMessage="1" sqref="QKD983045:QKD983068">
      <formula1>項目!A4:$QJW$983042</formula1>
    </dataValidation>
    <dataValidation type="list" allowBlank="1" showInputMessage="1" showErrorMessage="1" sqref="QTZ983045:QTZ983068">
      <formula1>項目!A4:$QTS$983042</formula1>
    </dataValidation>
    <dataValidation type="list" allowBlank="1" showInputMessage="1" showErrorMessage="1" sqref="RDV983045:RDV983068">
      <formula1>項目!A4:$RDO$983042</formula1>
    </dataValidation>
    <dataValidation type="list" allowBlank="1" showInputMessage="1" showErrorMessage="1" sqref="RNR983045:RNR983068">
      <formula1>項目!A4:$RNK$983042</formula1>
    </dataValidation>
    <dataValidation type="list" allowBlank="1" showInputMessage="1" showErrorMessage="1" sqref="RXN983045:RXN983068">
      <formula1>項目!A4:$RXG$983042</formula1>
    </dataValidation>
    <dataValidation type="list" allowBlank="1" showInputMessage="1" showErrorMessage="1" sqref="SHJ983045:SHJ983068">
      <formula1>項目!A4:$SHC$983042</formula1>
    </dataValidation>
    <dataValidation type="list" allowBlank="1" showInputMessage="1" showErrorMessage="1" sqref="SRF983045:SRF983068">
      <formula1>項目!A4:$SQY$983042</formula1>
    </dataValidation>
    <dataValidation type="list" allowBlank="1" showInputMessage="1" showErrorMessage="1" sqref="TBB983045:TBB983068">
      <formula1>項目!A4:$TAU$983042</formula1>
    </dataValidation>
    <dataValidation type="list" allowBlank="1" showInputMessage="1" showErrorMessage="1" sqref="TKX983045:TKX983068">
      <formula1>項目!A4:$TKQ$983042</formula1>
    </dataValidation>
    <dataValidation type="list" allowBlank="1" showInputMessage="1" showErrorMessage="1" sqref="TUT983045:TUT983068">
      <formula1>項目!A4:$TUM$983042</formula1>
    </dataValidation>
    <dataValidation type="list" allowBlank="1" showInputMessage="1" showErrorMessage="1" sqref="UEP983045:UEP983068">
      <formula1>項目!A4:$UEI$983042</formula1>
    </dataValidation>
    <dataValidation type="list" allowBlank="1" showInputMessage="1" showErrorMessage="1" sqref="UOL983045:UOL983068">
      <formula1>項目!A4:$UOE$983042</formula1>
    </dataValidation>
    <dataValidation type="list" allowBlank="1" showInputMessage="1" showErrorMessage="1" sqref="UYH983045:UYH983068">
      <formula1>項目!A4:$UYA$983042</formula1>
    </dataValidation>
    <dataValidation type="list" allowBlank="1" showInputMessage="1" showErrorMessage="1" sqref="VID983045:VID983068">
      <formula1>項目!A4:$VHW$983042</formula1>
    </dataValidation>
    <dataValidation type="list" allowBlank="1" showInputMessage="1" showErrorMessage="1" sqref="VRZ983045:VRZ983068">
      <formula1>項目!A4:$VRS$983042</formula1>
    </dataValidation>
    <dataValidation type="list" allowBlank="1" showInputMessage="1" showErrorMessage="1" sqref="WBV983045:WBV983068">
      <formula1>項目!A4:$WBO$983042</formula1>
    </dataValidation>
    <dataValidation type="list" allowBlank="1" showInputMessage="1" showErrorMessage="1" sqref="WLR983045:WLR983068">
      <formula1>項目!A4:$WLK$983042</formula1>
    </dataValidation>
    <dataValidation type="list" allowBlank="1" showInputMessage="1" showErrorMessage="1" sqref="WVN983045:WVN983068">
      <formula1>項目!A4:$WVG$983042</formula1>
    </dataValidation>
    <dataValidation type="list" allowBlank="1" showInputMessage="1" showErrorMessage="1" sqref="JF5:JF28">
      <formula1>項目!A2:$IY$4</formula1>
    </dataValidation>
    <dataValidation type="list" allowBlank="1" showInputMessage="1" showErrorMessage="1" sqref="TB5:TB28">
      <formula1>項目!A2:$SU$4</formula1>
    </dataValidation>
    <dataValidation type="list" allowBlank="1" showInputMessage="1" showErrorMessage="1" sqref="ACX5:ACX28">
      <formula1>項目!A2:$ACQ$4</formula1>
    </dataValidation>
    <dataValidation type="list" allowBlank="1" showInputMessage="1" showErrorMessage="1" sqref="AMT5:AMT28">
      <formula1>項目!A2:$AMM$4</formula1>
    </dataValidation>
    <dataValidation type="list" allowBlank="1" showInputMessage="1" showErrorMessage="1" sqref="AWP5:AWP28">
      <formula1>項目!A2:$AWI$4</formula1>
    </dataValidation>
    <dataValidation type="list" allowBlank="1" showInputMessage="1" showErrorMessage="1" sqref="BGL5:BGL28">
      <formula1>項目!A2:$BGE$4</formula1>
    </dataValidation>
    <dataValidation type="list" allowBlank="1" showInputMessage="1" showErrorMessage="1" sqref="BQH5:BQH28">
      <formula1>項目!A2:$BQA$4</formula1>
    </dataValidation>
    <dataValidation type="list" allowBlank="1" showInputMessage="1" showErrorMessage="1" sqref="CAD5:CAD28">
      <formula1>項目!A2:$BZW$4</formula1>
    </dataValidation>
    <dataValidation type="list" allowBlank="1" showInputMessage="1" showErrorMessage="1" sqref="CJZ5:CJZ28">
      <formula1>項目!A2:$CJS$4</formula1>
    </dataValidation>
    <dataValidation type="list" allowBlank="1" showInputMessage="1" showErrorMessage="1" sqref="CTV5:CTV28">
      <formula1>項目!A2:$CTO$4</formula1>
    </dataValidation>
    <dataValidation type="list" allowBlank="1" showInputMessage="1" showErrorMessage="1" sqref="DDR5:DDR28">
      <formula1>項目!A2:$DDK$4</formula1>
    </dataValidation>
    <dataValidation type="list" allowBlank="1" showInputMessage="1" showErrorMessage="1" sqref="DNN5:DNN28">
      <formula1>項目!A2:$DNG$4</formula1>
    </dataValidation>
    <dataValidation type="list" allowBlank="1" showInputMessage="1" showErrorMessage="1" sqref="DXJ5:DXJ28">
      <formula1>項目!A2:$DXC$4</formula1>
    </dataValidation>
    <dataValidation type="list" allowBlank="1" showInputMessage="1" showErrorMessage="1" sqref="EHF5:EHF28">
      <formula1>項目!A2:$EGY$4</formula1>
    </dataValidation>
    <dataValidation type="list" allowBlank="1" showInputMessage="1" showErrorMessage="1" sqref="ERB5:ERB28">
      <formula1>項目!A2:$EQU$4</formula1>
    </dataValidation>
    <dataValidation type="list" allowBlank="1" showInputMessage="1" showErrorMessage="1" sqref="FAX5:FAX28">
      <formula1>項目!A2:$FAQ$4</formula1>
    </dataValidation>
    <dataValidation type="list" allowBlank="1" showInputMessage="1" showErrorMessage="1" sqref="FKT5:FKT28">
      <formula1>項目!A2:$FKM$4</formula1>
    </dataValidation>
    <dataValidation type="list" allowBlank="1" showInputMessage="1" showErrorMessage="1" sqref="FUP5:FUP28">
      <formula1>項目!A2:$FUI$4</formula1>
    </dataValidation>
    <dataValidation type="list" allowBlank="1" showInputMessage="1" showErrorMessage="1" sqref="GEL5:GEL28">
      <formula1>項目!A2:$GEE$4</formula1>
    </dataValidation>
    <dataValidation type="list" allowBlank="1" showInputMessage="1" showErrorMessage="1" sqref="GOH5:GOH28">
      <formula1>項目!A2:$GOA$4</formula1>
    </dataValidation>
    <dataValidation type="list" allowBlank="1" showInputMessage="1" showErrorMessage="1" sqref="GYD5:GYD28">
      <formula1>項目!A2:$GXW$4</formula1>
    </dataValidation>
    <dataValidation type="list" allowBlank="1" showInputMessage="1" showErrorMessage="1" sqref="HHZ5:HHZ28">
      <formula1>項目!A2:$HHS$4</formula1>
    </dataValidation>
    <dataValidation type="list" allowBlank="1" showInputMessage="1" showErrorMessage="1" sqref="HRV5:HRV28">
      <formula1>項目!A2:$HRO$4</formula1>
    </dataValidation>
    <dataValidation type="list" allowBlank="1" showInputMessage="1" showErrorMessage="1" sqref="IBR5:IBR28">
      <formula1>項目!A2:$IBK$4</formula1>
    </dataValidation>
    <dataValidation type="list" allowBlank="1" showInputMessage="1" showErrorMessage="1" sqref="ILN5:ILN28">
      <formula1>項目!A2:$ILG$4</formula1>
    </dataValidation>
    <dataValidation type="list" allowBlank="1" showInputMessage="1" showErrorMessage="1" sqref="IVJ5:IVJ28">
      <formula1>項目!A2:$IVC$4</formula1>
    </dataValidation>
    <dataValidation type="list" allowBlank="1" showInputMessage="1" showErrorMessage="1" sqref="JFF5:JFF28">
      <formula1>項目!A2:$JEY$4</formula1>
    </dataValidation>
    <dataValidation type="list" allowBlank="1" showInputMessage="1" showErrorMessage="1" sqref="JPB5:JPB28">
      <formula1>項目!A2:$JOU$4</formula1>
    </dataValidation>
    <dataValidation type="list" allowBlank="1" showInputMessage="1" showErrorMessage="1" sqref="JYX5:JYX28">
      <formula1>項目!A2:$JYQ$4</formula1>
    </dataValidation>
    <dataValidation type="list" allowBlank="1" showInputMessage="1" showErrorMessage="1" sqref="KIT5:KIT28">
      <formula1>項目!A2:$KIM$4</formula1>
    </dataValidation>
    <dataValidation type="list" allowBlank="1" showInputMessage="1" showErrorMessage="1" sqref="KSP5:KSP28">
      <formula1>項目!A2:$KSI$4</formula1>
    </dataValidation>
    <dataValidation type="list" allowBlank="1" showInputMessage="1" showErrorMessage="1" sqref="LCL5:LCL28">
      <formula1>項目!A2:$LCE$4</formula1>
    </dataValidation>
    <dataValidation type="list" allowBlank="1" showInputMessage="1" showErrorMessage="1" sqref="LMH5:LMH28">
      <formula1>項目!A2:$LMA$4</formula1>
    </dataValidation>
    <dataValidation type="list" allowBlank="1" showInputMessage="1" showErrorMessage="1" sqref="LWD5:LWD28">
      <formula1>項目!A2:$LVW$4</formula1>
    </dataValidation>
    <dataValidation type="list" allowBlank="1" showInputMessage="1" showErrorMessage="1" sqref="MFZ5:MFZ28">
      <formula1>項目!A2:$MFS$4</formula1>
    </dataValidation>
    <dataValidation type="list" allowBlank="1" showInputMessage="1" showErrorMessage="1" sqref="MPV5:MPV28">
      <formula1>項目!A2:$MPO$4</formula1>
    </dataValidation>
    <dataValidation type="list" allowBlank="1" showInputMessage="1" showErrorMessage="1" sqref="MZR5:MZR28">
      <formula1>項目!A2:$MZK$4</formula1>
    </dataValidation>
    <dataValidation type="list" allowBlank="1" showInputMessage="1" showErrorMessage="1" sqref="NJN5:NJN28">
      <formula1>項目!A2:$NJG$4</formula1>
    </dataValidation>
    <dataValidation type="list" allowBlank="1" showInputMessage="1" showErrorMessage="1" sqref="NTJ5:NTJ28">
      <formula1>項目!A2:$NTC$4</formula1>
    </dataValidation>
    <dataValidation type="list" allowBlank="1" showInputMessage="1" showErrorMessage="1" sqref="ODF5:ODF28">
      <formula1>項目!A2:$OCY$4</formula1>
    </dataValidation>
    <dataValidation type="list" allowBlank="1" showInputMessage="1" showErrorMessage="1" sqref="ONB5:ONB28">
      <formula1>項目!A2:$OMU$4</formula1>
    </dataValidation>
    <dataValidation type="list" allowBlank="1" showInputMessage="1" showErrorMessage="1" sqref="OWX5:OWX28">
      <formula1>項目!A2:$OWQ$4</formula1>
    </dataValidation>
    <dataValidation type="list" allowBlank="1" showInputMessage="1" showErrorMessage="1" sqref="PGT5:PGT28">
      <formula1>項目!A2:$PGM$4</formula1>
    </dataValidation>
    <dataValidation type="list" allowBlank="1" showInputMessage="1" showErrorMessage="1" sqref="PQP5:PQP28">
      <formula1>項目!A2:$PQI$4</formula1>
    </dataValidation>
    <dataValidation type="list" allowBlank="1" showInputMessage="1" showErrorMessage="1" sqref="QAL5:QAL28">
      <formula1>項目!A2:$QAE$4</formula1>
    </dataValidation>
    <dataValidation type="list" allowBlank="1" showInputMessage="1" showErrorMessage="1" sqref="QKH5:QKH28">
      <formula1>項目!A2:$QKA$4</formula1>
    </dataValidation>
    <dataValidation type="list" allowBlank="1" showInputMessage="1" showErrorMessage="1" sqref="QUD5:QUD28">
      <formula1>項目!A2:$QTW$4</formula1>
    </dataValidation>
    <dataValidation type="list" allowBlank="1" showInputMessage="1" showErrorMessage="1" sqref="RDZ5:RDZ28">
      <formula1>項目!A2:$RDS$4</formula1>
    </dataValidation>
    <dataValidation type="list" allowBlank="1" showInputMessage="1" showErrorMessage="1" sqref="RNV5:RNV28">
      <formula1>項目!A2:$RNO$4</formula1>
    </dataValidation>
    <dataValidation type="list" allowBlank="1" showInputMessage="1" showErrorMessage="1" sqref="RXR5:RXR28">
      <formula1>項目!A2:$RXK$4</formula1>
    </dataValidation>
    <dataValidation type="list" allowBlank="1" showInputMessage="1" showErrorMessage="1" sqref="SHN5:SHN28">
      <formula1>項目!A2:$SHG$4</formula1>
    </dataValidation>
    <dataValidation type="list" allowBlank="1" showInputMessage="1" showErrorMessage="1" sqref="SRJ5:SRJ28">
      <formula1>項目!A2:$SRC$4</formula1>
    </dataValidation>
    <dataValidation type="list" allowBlank="1" showInputMessage="1" showErrorMessage="1" sqref="TBF5:TBF28">
      <formula1>項目!A2:$TAY$4</formula1>
    </dataValidation>
    <dataValidation type="list" allowBlank="1" showInputMessage="1" showErrorMessage="1" sqref="TLB5:TLB28">
      <formula1>項目!A2:$TKU$4</formula1>
    </dataValidation>
    <dataValidation type="list" allowBlank="1" showInputMessage="1" showErrorMessage="1" sqref="TUX5:TUX28">
      <formula1>項目!A2:$TUQ$4</formula1>
    </dataValidation>
    <dataValidation type="list" allowBlank="1" showInputMessage="1" showErrorMessage="1" sqref="UET5:UET28">
      <formula1>項目!A2:$UEM$4</formula1>
    </dataValidation>
    <dataValidation type="list" allowBlank="1" showInputMessage="1" showErrorMessage="1" sqref="UOP5:UOP28">
      <formula1>項目!A2:$UOI$4</formula1>
    </dataValidation>
    <dataValidation type="list" allowBlank="1" showInputMessage="1" showErrorMessage="1" sqref="UYL5:UYL28">
      <formula1>項目!A2:$UYE$4</formula1>
    </dataValidation>
    <dataValidation type="list" allowBlank="1" showInputMessage="1" showErrorMessage="1" sqref="VIH5:VIH28">
      <formula1>項目!A2:$VIA$4</formula1>
    </dataValidation>
    <dataValidation type="list" allowBlank="1" showInputMessage="1" showErrorMessage="1" sqref="VSD5:VSD28">
      <formula1>項目!A2:$VRW$4</formula1>
    </dataValidation>
    <dataValidation type="list" allowBlank="1" showInputMessage="1" showErrorMessage="1" sqref="WBZ5:WBZ28">
      <formula1>項目!A2:$WBS$4</formula1>
    </dataValidation>
    <dataValidation type="list" allowBlank="1" showInputMessage="1" showErrorMessage="1" sqref="WLV5:WLV28">
      <formula1>項目!A2:$WLO$4</formula1>
    </dataValidation>
    <dataValidation type="list" allowBlank="1" showInputMessage="1" showErrorMessage="1" sqref="WVR5:WVR28">
      <formula1>項目!A2:$WVK$4</formula1>
    </dataValidation>
    <dataValidation type="list" allowBlank="1" showInputMessage="1" showErrorMessage="1" sqref="JF65541:JF65564">
      <formula1>項目!A4:$IY$65538</formula1>
    </dataValidation>
    <dataValidation type="list" allowBlank="1" showInputMessage="1" showErrorMessage="1" sqref="TB65541:TB65564">
      <formula1>項目!A4:$SU$65538</formula1>
    </dataValidation>
    <dataValidation type="list" allowBlank="1" showInputMessage="1" showErrorMessage="1" sqref="ACX65541:ACX65564">
      <formula1>項目!A4:$ACQ$65538</formula1>
    </dataValidation>
    <dataValidation type="list" allowBlank="1" showInputMessage="1" showErrorMessage="1" sqref="AMT65541:AMT65564">
      <formula1>項目!A4:$AMM$65538</formula1>
    </dataValidation>
    <dataValidation type="list" allowBlank="1" showInputMessage="1" showErrorMessage="1" sqref="AWP65541:AWP65564">
      <formula1>項目!A4:$AWI$65538</formula1>
    </dataValidation>
    <dataValidation type="list" allowBlank="1" showInputMessage="1" showErrorMessage="1" sqref="BGL65541:BGL65564">
      <formula1>項目!A4:$BGE$65538</formula1>
    </dataValidation>
    <dataValidation type="list" allowBlank="1" showInputMessage="1" showErrorMessage="1" sqref="BQH65541:BQH65564">
      <formula1>項目!A4:$BQA$65538</formula1>
    </dataValidation>
    <dataValidation type="list" allowBlank="1" showInputMessage="1" showErrorMessage="1" sqref="CAD65541:CAD65564">
      <formula1>項目!A4:$BZW$65538</formula1>
    </dataValidation>
    <dataValidation type="list" allowBlank="1" showInputMessage="1" showErrorMessage="1" sqref="CJZ65541:CJZ65564">
      <formula1>項目!A4:$CJS$65538</formula1>
    </dataValidation>
    <dataValidation type="list" allowBlank="1" showInputMessage="1" showErrorMessage="1" sqref="CTV65541:CTV65564">
      <formula1>項目!A4:$CTO$65538</formula1>
    </dataValidation>
    <dataValidation type="list" allowBlank="1" showInputMessage="1" showErrorMessage="1" sqref="DDR65541:DDR65564">
      <formula1>項目!A4:$DDK$65538</formula1>
    </dataValidation>
    <dataValidation type="list" allowBlank="1" showInputMessage="1" showErrorMessage="1" sqref="DNN65541:DNN65564">
      <formula1>項目!A4:$DNG$65538</formula1>
    </dataValidation>
    <dataValidation type="list" allowBlank="1" showInputMessage="1" showErrorMessage="1" sqref="DXJ65541:DXJ65564">
      <formula1>項目!A4:$DXC$65538</formula1>
    </dataValidation>
    <dataValidation type="list" allowBlank="1" showInputMessage="1" showErrorMessage="1" sqref="EHF65541:EHF65564">
      <formula1>項目!A4:$EGY$65538</formula1>
    </dataValidation>
    <dataValidation type="list" allowBlank="1" showInputMessage="1" showErrorMessage="1" sqref="ERB65541:ERB65564">
      <formula1>項目!A4:$EQU$65538</formula1>
    </dataValidation>
    <dataValidation type="list" allowBlank="1" showInputMessage="1" showErrorMessage="1" sqref="FAX65541:FAX65564">
      <formula1>項目!A4:$FAQ$65538</formula1>
    </dataValidation>
    <dataValidation type="list" allowBlank="1" showInputMessage="1" showErrorMessage="1" sqref="FKT65541:FKT65564">
      <formula1>項目!A4:$FKM$65538</formula1>
    </dataValidation>
    <dataValidation type="list" allowBlank="1" showInputMessage="1" showErrorMessage="1" sqref="FUP65541:FUP65564">
      <formula1>項目!A4:$FUI$65538</formula1>
    </dataValidation>
    <dataValidation type="list" allowBlank="1" showInputMessage="1" showErrorMessage="1" sqref="GEL65541:GEL65564">
      <formula1>項目!A4:$GEE$65538</formula1>
    </dataValidation>
    <dataValidation type="list" allowBlank="1" showInputMessage="1" showErrorMessage="1" sqref="GOH65541:GOH65564">
      <formula1>項目!A4:$GOA$65538</formula1>
    </dataValidation>
    <dataValidation type="list" allowBlank="1" showInputMessage="1" showErrorMessage="1" sqref="GYD65541:GYD65564">
      <formula1>項目!A4:$GXW$65538</formula1>
    </dataValidation>
    <dataValidation type="list" allowBlank="1" showInputMessage="1" showErrorMessage="1" sqref="HHZ65541:HHZ65564">
      <formula1>項目!A4:$HHS$65538</formula1>
    </dataValidation>
    <dataValidation type="list" allowBlank="1" showInputMessage="1" showErrorMessage="1" sqref="HRV65541:HRV65564">
      <formula1>項目!A4:$HRO$65538</formula1>
    </dataValidation>
    <dataValidation type="list" allowBlank="1" showInputMessage="1" showErrorMessage="1" sqref="IBR65541:IBR65564">
      <formula1>項目!A4:$IBK$65538</formula1>
    </dataValidation>
    <dataValidation type="list" allowBlank="1" showInputMessage="1" showErrorMessage="1" sqref="ILN65541:ILN65564">
      <formula1>項目!A4:$ILG$65538</formula1>
    </dataValidation>
    <dataValidation type="list" allowBlank="1" showInputMessage="1" showErrorMessage="1" sqref="IVJ65541:IVJ65564">
      <formula1>項目!A4:$IVC$65538</formula1>
    </dataValidation>
    <dataValidation type="list" allowBlank="1" showInputMessage="1" showErrorMessage="1" sqref="JFF65541:JFF65564">
      <formula1>項目!A4:$JEY$65538</formula1>
    </dataValidation>
    <dataValidation type="list" allowBlank="1" showInputMessage="1" showErrorMessage="1" sqref="JPB65541:JPB65564">
      <formula1>項目!A4:$JOU$65538</formula1>
    </dataValidation>
    <dataValidation type="list" allowBlank="1" showInputMessage="1" showErrorMessage="1" sqref="JYX65541:JYX65564">
      <formula1>項目!A4:$JYQ$65538</formula1>
    </dataValidation>
    <dataValidation type="list" allowBlank="1" showInputMessage="1" showErrorMessage="1" sqref="KIT65541:KIT65564">
      <formula1>項目!A4:$KIM$65538</formula1>
    </dataValidation>
    <dataValidation type="list" allowBlank="1" showInputMessage="1" showErrorMessage="1" sqref="KSP65541:KSP65564">
      <formula1>項目!A4:$KSI$65538</formula1>
    </dataValidation>
    <dataValidation type="list" allowBlank="1" showInputMessage="1" showErrorMessage="1" sqref="LCL65541:LCL65564">
      <formula1>項目!A4:$LCE$65538</formula1>
    </dataValidation>
    <dataValidation type="list" allowBlank="1" showInputMessage="1" showErrorMessage="1" sqref="LMH65541:LMH65564">
      <formula1>項目!A4:$LMA$65538</formula1>
    </dataValidation>
    <dataValidation type="list" allowBlank="1" showInputMessage="1" showErrorMessage="1" sqref="LWD65541:LWD65564">
      <formula1>項目!A4:$LVW$65538</formula1>
    </dataValidation>
    <dataValidation type="list" allowBlank="1" showInputMessage="1" showErrorMessage="1" sqref="MFZ65541:MFZ65564">
      <formula1>項目!A4:$MFS$65538</formula1>
    </dataValidation>
    <dataValidation type="list" allowBlank="1" showInputMessage="1" showErrorMessage="1" sqref="MPV65541:MPV65564">
      <formula1>項目!A4:$MPO$65538</formula1>
    </dataValidation>
    <dataValidation type="list" allowBlank="1" showInputMessage="1" showErrorMessage="1" sqref="MZR65541:MZR65564">
      <formula1>項目!A4:$MZK$65538</formula1>
    </dataValidation>
    <dataValidation type="list" allowBlank="1" showInputMessage="1" showErrorMessage="1" sqref="NJN65541:NJN65564">
      <formula1>項目!A4:$NJG$65538</formula1>
    </dataValidation>
    <dataValidation type="list" allowBlank="1" showInputMessage="1" showErrorMessage="1" sqref="NTJ65541:NTJ65564">
      <formula1>項目!A4:$NTC$65538</formula1>
    </dataValidation>
    <dataValidation type="list" allowBlank="1" showInputMessage="1" showErrorMessage="1" sqref="ODF65541:ODF65564">
      <formula1>項目!A4:$OCY$65538</formula1>
    </dataValidation>
    <dataValidation type="list" allowBlank="1" showInputMessage="1" showErrorMessage="1" sqref="ONB65541:ONB65564">
      <formula1>項目!A4:$OMU$65538</formula1>
    </dataValidation>
    <dataValidation type="list" allowBlank="1" showInputMessage="1" showErrorMessage="1" sqref="OWX65541:OWX65564">
      <formula1>項目!A4:$OWQ$65538</formula1>
    </dataValidation>
    <dataValidation type="list" allowBlank="1" showInputMessage="1" showErrorMessage="1" sqref="PGT65541:PGT65564">
      <formula1>項目!A4:$PGM$65538</formula1>
    </dataValidation>
    <dataValidation type="list" allowBlank="1" showInputMessage="1" showErrorMessage="1" sqref="PQP65541:PQP65564">
      <formula1>項目!A4:$PQI$65538</formula1>
    </dataValidation>
    <dataValidation type="list" allowBlank="1" showInputMessage="1" showErrorMessage="1" sqref="QAL65541:QAL65564">
      <formula1>項目!A4:$QAE$65538</formula1>
    </dataValidation>
    <dataValidation type="list" allowBlank="1" showInputMessage="1" showErrorMessage="1" sqref="QKH65541:QKH65564">
      <formula1>項目!A4:$QKA$65538</formula1>
    </dataValidation>
    <dataValidation type="list" allowBlank="1" showInputMessage="1" showErrorMessage="1" sqref="QUD65541:QUD65564">
      <formula1>項目!A4:$QTW$65538</formula1>
    </dataValidation>
    <dataValidation type="list" allowBlank="1" showInputMessage="1" showErrorMessage="1" sqref="RDZ65541:RDZ65564">
      <formula1>項目!A4:$RDS$65538</formula1>
    </dataValidation>
    <dataValidation type="list" allowBlank="1" showInputMessage="1" showErrorMessage="1" sqref="RNV65541:RNV65564">
      <formula1>項目!A4:$RNO$65538</formula1>
    </dataValidation>
    <dataValidation type="list" allowBlank="1" showInputMessage="1" showErrorMessage="1" sqref="RXR65541:RXR65564">
      <formula1>項目!A4:$RXK$65538</formula1>
    </dataValidation>
    <dataValidation type="list" allowBlank="1" showInputMessage="1" showErrorMessage="1" sqref="SHN65541:SHN65564">
      <formula1>項目!A4:$SHG$65538</formula1>
    </dataValidation>
    <dataValidation type="list" allowBlank="1" showInputMessage="1" showErrorMessage="1" sqref="SRJ65541:SRJ65564">
      <formula1>項目!A4:$SRC$65538</formula1>
    </dataValidation>
    <dataValidation type="list" allowBlank="1" showInputMessage="1" showErrorMessage="1" sqref="TBF65541:TBF65564">
      <formula1>項目!A4:$TAY$65538</formula1>
    </dataValidation>
    <dataValidation type="list" allowBlank="1" showInputMessage="1" showErrorMessage="1" sqref="TLB65541:TLB65564">
      <formula1>項目!A4:$TKU$65538</formula1>
    </dataValidation>
    <dataValidation type="list" allowBlank="1" showInputMessage="1" showErrorMessage="1" sqref="TUX65541:TUX65564">
      <formula1>項目!A4:$TUQ$65538</formula1>
    </dataValidation>
    <dataValidation type="list" allowBlank="1" showInputMessage="1" showErrorMessage="1" sqref="UET65541:UET65564">
      <formula1>項目!A4:$UEM$65538</formula1>
    </dataValidation>
    <dataValidation type="list" allowBlank="1" showInputMessage="1" showErrorMessage="1" sqref="UOP65541:UOP65564">
      <formula1>項目!A4:$UOI$65538</formula1>
    </dataValidation>
    <dataValidation type="list" allowBlank="1" showInputMessage="1" showErrorMessage="1" sqref="UYL65541:UYL65564">
      <formula1>項目!A4:$UYE$65538</formula1>
    </dataValidation>
    <dataValidation type="list" allowBlank="1" showInputMessage="1" showErrorMessage="1" sqref="VIH65541:VIH65564">
      <formula1>項目!A4:$VIA$65538</formula1>
    </dataValidation>
    <dataValidation type="list" allowBlank="1" showInputMessage="1" showErrorMessage="1" sqref="VSD65541:VSD65564">
      <formula1>項目!A4:$VRW$65538</formula1>
    </dataValidation>
    <dataValidation type="list" allowBlank="1" showInputMessage="1" showErrorMessage="1" sqref="WBZ65541:WBZ65564">
      <formula1>項目!A4:$WBS$65538</formula1>
    </dataValidation>
    <dataValidation type="list" allowBlank="1" showInputMessage="1" showErrorMessage="1" sqref="WLV65541:WLV65564">
      <formula1>項目!A4:$WLO$65538</formula1>
    </dataValidation>
    <dataValidation type="list" allowBlank="1" showInputMessage="1" showErrorMessage="1" sqref="WVR65541:WVR65564">
      <formula1>項目!A4:$WVK$65538</formula1>
    </dataValidation>
    <dataValidation type="list" allowBlank="1" showInputMessage="1" showErrorMessage="1" sqref="JF131077:JF131100">
      <formula1>項目!A4:$IY$131074</formula1>
    </dataValidation>
    <dataValidation type="list" allowBlank="1" showInputMessage="1" showErrorMessage="1" sqref="TB131077:TB131100">
      <formula1>項目!A4:$SU$131074</formula1>
    </dataValidation>
    <dataValidation type="list" allowBlank="1" showInputMessage="1" showErrorMessage="1" sqref="ACX131077:ACX131100">
      <formula1>項目!A4:$ACQ$131074</formula1>
    </dataValidation>
    <dataValidation type="list" allowBlank="1" showInputMessage="1" showErrorMessage="1" sqref="AMT131077:AMT131100">
      <formula1>項目!A4:$AMM$131074</formula1>
    </dataValidation>
    <dataValidation type="list" allowBlank="1" showInputMessage="1" showErrorMessage="1" sqref="AWP131077:AWP131100">
      <formula1>項目!A4:$AWI$131074</formula1>
    </dataValidation>
    <dataValidation type="list" allowBlank="1" showInputMessage="1" showErrorMessage="1" sqref="BGL131077:BGL131100">
      <formula1>項目!A4:$BGE$131074</formula1>
    </dataValidation>
    <dataValidation type="list" allowBlank="1" showInputMessage="1" showErrorMessage="1" sqref="BQH131077:BQH131100">
      <formula1>項目!A4:$BQA$131074</formula1>
    </dataValidation>
    <dataValidation type="list" allowBlank="1" showInputMessage="1" showErrorMessage="1" sqref="CAD131077:CAD131100">
      <formula1>項目!A4:$BZW$131074</formula1>
    </dataValidation>
    <dataValidation type="list" allowBlank="1" showInputMessage="1" showErrorMessage="1" sqref="CJZ131077:CJZ131100">
      <formula1>項目!A4:$CJS$131074</formula1>
    </dataValidation>
    <dataValidation type="list" allowBlank="1" showInputMessage="1" showErrorMessage="1" sqref="CTV131077:CTV131100">
      <formula1>項目!A4:$CTO$131074</formula1>
    </dataValidation>
    <dataValidation type="list" allowBlank="1" showInputMessage="1" showErrorMessage="1" sqref="DDR131077:DDR131100">
      <formula1>項目!A4:$DDK$131074</formula1>
    </dataValidation>
    <dataValidation type="list" allowBlank="1" showInputMessage="1" showErrorMessage="1" sqref="DNN131077:DNN131100">
      <formula1>項目!A4:$DNG$131074</formula1>
    </dataValidation>
    <dataValidation type="list" allowBlank="1" showInputMessage="1" showErrorMessage="1" sqref="DXJ131077:DXJ131100">
      <formula1>項目!A4:$DXC$131074</formula1>
    </dataValidation>
    <dataValidation type="list" allowBlank="1" showInputMessage="1" showErrorMessage="1" sqref="EHF131077:EHF131100">
      <formula1>項目!A4:$EGY$131074</formula1>
    </dataValidation>
    <dataValidation type="list" allowBlank="1" showInputMessage="1" showErrorMessage="1" sqref="ERB131077:ERB131100">
      <formula1>項目!A4:$EQU$131074</formula1>
    </dataValidation>
    <dataValidation type="list" allowBlank="1" showInputMessage="1" showErrorMessage="1" sqref="FAX131077:FAX131100">
      <formula1>項目!A4:$FAQ$131074</formula1>
    </dataValidation>
    <dataValidation type="list" allowBlank="1" showInputMessage="1" showErrorMessage="1" sqref="FKT131077:FKT131100">
      <formula1>項目!A4:$FKM$131074</formula1>
    </dataValidation>
    <dataValidation type="list" allowBlank="1" showInputMessage="1" showErrorMessage="1" sqref="FUP131077:FUP131100">
      <formula1>項目!A4:$FUI$131074</formula1>
    </dataValidation>
    <dataValidation type="list" allowBlank="1" showInputMessage="1" showErrorMessage="1" sqref="GEL131077:GEL131100">
      <formula1>項目!A4:$GEE$131074</formula1>
    </dataValidation>
    <dataValidation type="list" allowBlank="1" showInputMessage="1" showErrorMessage="1" sqref="GOH131077:GOH131100">
      <formula1>項目!A4:$GOA$131074</formula1>
    </dataValidation>
    <dataValidation type="list" allowBlank="1" showInputMessage="1" showErrorMessage="1" sqref="GYD131077:GYD131100">
      <formula1>項目!A4:$GXW$131074</formula1>
    </dataValidation>
    <dataValidation type="list" allowBlank="1" showInputMessage="1" showErrorMessage="1" sqref="HHZ131077:HHZ131100">
      <formula1>項目!A4:$HHS$131074</formula1>
    </dataValidation>
    <dataValidation type="list" allowBlank="1" showInputMessage="1" showErrorMessage="1" sqref="HRV131077:HRV131100">
      <formula1>項目!A4:$HRO$131074</formula1>
    </dataValidation>
    <dataValidation type="list" allowBlank="1" showInputMessage="1" showErrorMessage="1" sqref="IBR131077:IBR131100">
      <formula1>項目!A4:$IBK$131074</formula1>
    </dataValidation>
    <dataValidation type="list" allowBlank="1" showInputMessage="1" showErrorMessage="1" sqref="ILN131077:ILN131100">
      <formula1>項目!A4:$ILG$131074</formula1>
    </dataValidation>
    <dataValidation type="list" allowBlank="1" showInputMessage="1" showErrorMessage="1" sqref="IVJ131077:IVJ131100">
      <formula1>項目!A4:$IVC$131074</formula1>
    </dataValidation>
    <dataValidation type="list" allowBlank="1" showInputMessage="1" showErrorMessage="1" sqref="JFF131077:JFF131100">
      <formula1>項目!A4:$JEY$131074</formula1>
    </dataValidation>
    <dataValidation type="list" allowBlank="1" showInputMessage="1" showErrorMessage="1" sqref="JPB131077:JPB131100">
      <formula1>項目!A4:$JOU$131074</formula1>
    </dataValidation>
    <dataValidation type="list" allowBlank="1" showInputMessage="1" showErrorMessage="1" sqref="JYX131077:JYX131100">
      <formula1>項目!A4:$JYQ$131074</formula1>
    </dataValidation>
    <dataValidation type="list" allowBlank="1" showInputMessage="1" showErrorMessage="1" sqref="KIT131077:KIT131100">
      <formula1>項目!A4:$KIM$131074</formula1>
    </dataValidation>
    <dataValidation type="list" allowBlank="1" showInputMessage="1" showErrorMessage="1" sqref="KSP131077:KSP131100">
      <formula1>項目!A4:$KSI$131074</formula1>
    </dataValidation>
    <dataValidation type="list" allowBlank="1" showInputMessage="1" showErrorMessage="1" sqref="LCL131077:LCL131100">
      <formula1>項目!A4:$LCE$131074</formula1>
    </dataValidation>
    <dataValidation type="list" allowBlank="1" showInputMessage="1" showErrorMessage="1" sqref="LMH131077:LMH131100">
      <formula1>項目!A4:$LMA$131074</formula1>
    </dataValidation>
    <dataValidation type="list" allowBlank="1" showInputMessage="1" showErrorMessage="1" sqref="LWD131077:LWD131100">
      <formula1>項目!A4:$LVW$131074</formula1>
    </dataValidation>
    <dataValidation type="list" allowBlank="1" showInputMessage="1" showErrorMessage="1" sqref="MFZ131077:MFZ131100">
      <formula1>項目!A4:$MFS$131074</formula1>
    </dataValidation>
    <dataValidation type="list" allowBlank="1" showInputMessage="1" showErrorMessage="1" sqref="MPV131077:MPV131100">
      <formula1>項目!A4:$MPO$131074</formula1>
    </dataValidation>
    <dataValidation type="list" allowBlank="1" showInputMessage="1" showErrorMessage="1" sqref="MZR131077:MZR131100">
      <formula1>項目!A4:$MZK$131074</formula1>
    </dataValidation>
    <dataValidation type="list" allowBlank="1" showInputMessage="1" showErrorMessage="1" sqref="NJN131077:NJN131100">
      <formula1>項目!A4:$NJG$131074</formula1>
    </dataValidation>
    <dataValidation type="list" allowBlank="1" showInputMessage="1" showErrorMessage="1" sqref="NTJ131077:NTJ131100">
      <formula1>項目!A4:$NTC$131074</formula1>
    </dataValidation>
    <dataValidation type="list" allowBlank="1" showInputMessage="1" showErrorMessage="1" sqref="ODF131077:ODF131100">
      <formula1>項目!A4:$OCY$131074</formula1>
    </dataValidation>
    <dataValidation type="list" allowBlank="1" showInputMessage="1" showErrorMessage="1" sqref="ONB131077:ONB131100">
      <formula1>項目!A4:$OMU$131074</formula1>
    </dataValidation>
    <dataValidation type="list" allowBlank="1" showInputMessage="1" showErrorMessage="1" sqref="OWX131077:OWX131100">
      <formula1>項目!A4:$OWQ$131074</formula1>
    </dataValidation>
    <dataValidation type="list" allowBlank="1" showInputMessage="1" showErrorMessage="1" sqref="PGT131077:PGT131100">
      <formula1>項目!A4:$PGM$131074</formula1>
    </dataValidation>
    <dataValidation type="list" allowBlank="1" showInputMessage="1" showErrorMessage="1" sqref="PQP131077:PQP131100">
      <formula1>項目!A4:$PQI$131074</formula1>
    </dataValidation>
    <dataValidation type="list" allowBlank="1" showInputMessage="1" showErrorMessage="1" sqref="QAL131077:QAL131100">
      <formula1>項目!A4:$QAE$131074</formula1>
    </dataValidation>
    <dataValidation type="list" allowBlank="1" showInputMessage="1" showErrorMessage="1" sqref="QKH131077:QKH131100">
      <formula1>項目!A4:$QKA$131074</formula1>
    </dataValidation>
    <dataValidation type="list" allowBlank="1" showInputMessage="1" showErrorMessage="1" sqref="QUD131077:QUD131100">
      <formula1>項目!A4:$QTW$131074</formula1>
    </dataValidation>
    <dataValidation type="list" allowBlank="1" showInputMessage="1" showErrorMessage="1" sqref="RDZ131077:RDZ131100">
      <formula1>項目!A4:$RDS$131074</formula1>
    </dataValidation>
    <dataValidation type="list" allowBlank="1" showInputMessage="1" showErrorMessage="1" sqref="RNV131077:RNV131100">
      <formula1>項目!A4:$RNO$131074</formula1>
    </dataValidation>
    <dataValidation type="list" allowBlank="1" showInputMessage="1" showErrorMessage="1" sqref="RXR131077:RXR131100">
      <formula1>項目!A4:$RXK$131074</formula1>
    </dataValidation>
    <dataValidation type="list" allowBlank="1" showInputMessage="1" showErrorMessage="1" sqref="SHN131077:SHN131100">
      <formula1>項目!A4:$SHG$131074</formula1>
    </dataValidation>
    <dataValidation type="list" allowBlank="1" showInputMessage="1" showErrorMessage="1" sqref="SRJ131077:SRJ131100">
      <formula1>項目!A4:$SRC$131074</formula1>
    </dataValidation>
    <dataValidation type="list" allowBlank="1" showInputMessage="1" showErrorMessage="1" sqref="TBF131077:TBF131100">
      <formula1>項目!A4:$TAY$131074</formula1>
    </dataValidation>
    <dataValidation type="list" allowBlank="1" showInputMessage="1" showErrorMessage="1" sqref="TLB131077:TLB131100">
      <formula1>項目!A4:$TKU$131074</formula1>
    </dataValidation>
    <dataValidation type="list" allowBlank="1" showInputMessage="1" showErrorMessage="1" sqref="TUX131077:TUX131100">
      <formula1>項目!A4:$TUQ$131074</formula1>
    </dataValidation>
    <dataValidation type="list" allowBlank="1" showInputMessage="1" showErrorMessage="1" sqref="UET131077:UET131100">
      <formula1>項目!A4:$UEM$131074</formula1>
    </dataValidation>
    <dataValidation type="list" allowBlank="1" showInputMessage="1" showErrorMessage="1" sqref="UOP131077:UOP131100">
      <formula1>項目!A4:$UOI$131074</formula1>
    </dataValidation>
    <dataValidation type="list" allowBlank="1" showInputMessage="1" showErrorMessage="1" sqref="UYL131077:UYL131100">
      <formula1>項目!A4:$UYE$131074</formula1>
    </dataValidation>
    <dataValidation type="list" allowBlank="1" showInputMessage="1" showErrorMessage="1" sqref="VIH131077:VIH131100">
      <formula1>項目!A4:$VIA$131074</formula1>
    </dataValidation>
    <dataValidation type="list" allowBlank="1" showInputMessage="1" showErrorMessage="1" sqref="VSD131077:VSD131100">
      <formula1>項目!A4:$VRW$131074</formula1>
    </dataValidation>
    <dataValidation type="list" allowBlank="1" showInputMessage="1" showErrorMessage="1" sqref="WBZ131077:WBZ131100">
      <formula1>項目!A4:$WBS$131074</formula1>
    </dataValidation>
    <dataValidation type="list" allowBlank="1" showInputMessage="1" showErrorMessage="1" sqref="WLV131077:WLV131100">
      <formula1>項目!A4:$WLO$131074</formula1>
    </dataValidation>
    <dataValidation type="list" allowBlank="1" showInputMessage="1" showErrorMessage="1" sqref="WVR131077:WVR131100">
      <formula1>項目!A4:$WVK$131074</formula1>
    </dataValidation>
    <dataValidation type="list" allowBlank="1" showInputMessage="1" showErrorMessage="1" sqref="JF196613:JF196636">
      <formula1>項目!A4:$IY$196610</formula1>
    </dataValidation>
    <dataValidation type="list" allowBlank="1" showInputMessage="1" showErrorMessage="1" sqref="TB196613:TB196636">
      <formula1>項目!A4:$SU$196610</formula1>
    </dataValidation>
    <dataValidation type="list" allowBlank="1" showInputMessage="1" showErrorMessage="1" sqref="ACX196613:ACX196636">
      <formula1>項目!A4:$ACQ$196610</formula1>
    </dataValidation>
    <dataValidation type="list" allowBlank="1" showInputMessage="1" showErrorMessage="1" sqref="AMT196613:AMT196636">
      <formula1>項目!A4:$AMM$196610</formula1>
    </dataValidation>
    <dataValidation type="list" allowBlank="1" showInputMessage="1" showErrorMessage="1" sqref="AWP196613:AWP196636">
      <formula1>項目!A4:$AWI$196610</formula1>
    </dataValidation>
    <dataValidation type="list" allowBlank="1" showInputMessage="1" showErrorMessage="1" sqref="BGL196613:BGL196636">
      <formula1>項目!A4:$BGE$196610</formula1>
    </dataValidation>
    <dataValidation type="list" allowBlank="1" showInputMessage="1" showErrorMessage="1" sqref="BQH196613:BQH196636">
      <formula1>項目!A4:$BQA$196610</formula1>
    </dataValidation>
    <dataValidation type="list" allowBlank="1" showInputMessage="1" showErrorMessage="1" sqref="CAD196613:CAD196636">
      <formula1>項目!A4:$BZW$196610</formula1>
    </dataValidation>
    <dataValidation type="list" allowBlank="1" showInputMessage="1" showErrorMessage="1" sqref="CJZ196613:CJZ196636">
      <formula1>項目!A4:$CJS$196610</formula1>
    </dataValidation>
    <dataValidation type="list" allowBlank="1" showInputMessage="1" showErrorMessage="1" sqref="CTV196613:CTV196636">
      <formula1>項目!A4:$CTO$196610</formula1>
    </dataValidation>
    <dataValidation type="list" allowBlank="1" showInputMessage="1" showErrorMessage="1" sqref="DDR196613:DDR196636">
      <formula1>項目!A4:$DDK$196610</formula1>
    </dataValidation>
    <dataValidation type="list" allowBlank="1" showInputMessage="1" showErrorMessage="1" sqref="DNN196613:DNN196636">
      <formula1>項目!A4:$DNG$196610</formula1>
    </dataValidation>
    <dataValidation type="list" allowBlank="1" showInputMessage="1" showErrorMessage="1" sqref="DXJ196613:DXJ196636">
      <formula1>項目!A4:$DXC$196610</formula1>
    </dataValidation>
    <dataValidation type="list" allowBlank="1" showInputMessage="1" showErrorMessage="1" sqref="EHF196613:EHF196636">
      <formula1>項目!A4:$EGY$196610</formula1>
    </dataValidation>
    <dataValidation type="list" allowBlank="1" showInputMessage="1" showErrorMessage="1" sqref="ERB196613:ERB196636">
      <formula1>項目!A4:$EQU$196610</formula1>
    </dataValidation>
    <dataValidation type="list" allowBlank="1" showInputMessage="1" showErrorMessage="1" sqref="FAX196613:FAX196636">
      <formula1>項目!A4:$FAQ$196610</formula1>
    </dataValidation>
    <dataValidation type="list" allowBlank="1" showInputMessage="1" showErrorMessage="1" sqref="FKT196613:FKT196636">
      <formula1>項目!A4:$FKM$196610</formula1>
    </dataValidation>
    <dataValidation type="list" allowBlank="1" showInputMessage="1" showErrorMessage="1" sqref="FUP196613:FUP196636">
      <formula1>項目!A4:$FUI$196610</formula1>
    </dataValidation>
    <dataValidation type="list" allowBlank="1" showInputMessage="1" showErrorMessage="1" sqref="GEL196613:GEL196636">
      <formula1>項目!A4:$GEE$196610</formula1>
    </dataValidation>
    <dataValidation type="list" allowBlank="1" showInputMessage="1" showErrorMessage="1" sqref="GOH196613:GOH196636">
      <formula1>項目!A4:$GOA$196610</formula1>
    </dataValidation>
    <dataValidation type="list" allowBlank="1" showInputMessage="1" showErrorMessage="1" sqref="GYD196613:GYD196636">
      <formula1>項目!A4:$GXW$196610</formula1>
    </dataValidation>
    <dataValidation type="list" allowBlank="1" showInputMessage="1" showErrorMessage="1" sqref="HHZ196613:HHZ196636">
      <formula1>項目!A4:$HHS$196610</formula1>
    </dataValidation>
    <dataValidation type="list" allowBlank="1" showInputMessage="1" showErrorMessage="1" sqref="HRV196613:HRV196636">
      <formula1>項目!A4:$HRO$196610</formula1>
    </dataValidation>
    <dataValidation type="list" allowBlank="1" showInputMessage="1" showErrorMessage="1" sqref="IBR196613:IBR196636">
      <formula1>項目!A4:$IBK$196610</formula1>
    </dataValidation>
    <dataValidation type="list" allowBlank="1" showInputMessage="1" showErrorMessage="1" sqref="ILN196613:ILN196636">
      <formula1>項目!A4:$ILG$196610</formula1>
    </dataValidation>
    <dataValidation type="list" allowBlank="1" showInputMessage="1" showErrorMessage="1" sqref="IVJ196613:IVJ196636">
      <formula1>項目!A4:$IVC$196610</formula1>
    </dataValidation>
    <dataValidation type="list" allowBlank="1" showInputMessage="1" showErrorMessage="1" sqref="JFF196613:JFF196636">
      <formula1>項目!A4:$JEY$196610</formula1>
    </dataValidation>
    <dataValidation type="list" allowBlank="1" showInputMessage="1" showErrorMessage="1" sqref="JPB196613:JPB196636">
      <formula1>項目!A4:$JOU$196610</formula1>
    </dataValidation>
    <dataValidation type="list" allowBlank="1" showInputMessage="1" showErrorMessage="1" sqref="JYX196613:JYX196636">
      <formula1>項目!A4:$JYQ$196610</formula1>
    </dataValidation>
    <dataValidation type="list" allowBlank="1" showInputMessage="1" showErrorMessage="1" sqref="KIT196613:KIT196636">
      <formula1>項目!A4:$KIM$196610</formula1>
    </dataValidation>
    <dataValidation type="list" allowBlank="1" showInputMessage="1" showErrorMessage="1" sqref="KSP196613:KSP196636">
      <formula1>項目!A4:$KSI$196610</formula1>
    </dataValidation>
    <dataValidation type="list" allowBlank="1" showInputMessage="1" showErrorMessage="1" sqref="LCL196613:LCL196636">
      <formula1>項目!A4:$LCE$196610</formula1>
    </dataValidation>
    <dataValidation type="list" allowBlank="1" showInputMessage="1" showErrorMessage="1" sqref="LMH196613:LMH196636">
      <formula1>項目!A4:$LMA$196610</formula1>
    </dataValidation>
    <dataValidation type="list" allowBlank="1" showInputMessage="1" showErrorMessage="1" sqref="LWD196613:LWD196636">
      <formula1>項目!A4:$LVW$196610</formula1>
    </dataValidation>
    <dataValidation type="list" allowBlank="1" showInputMessage="1" showErrorMessage="1" sqref="MFZ196613:MFZ196636">
      <formula1>項目!A4:$MFS$196610</formula1>
    </dataValidation>
    <dataValidation type="list" allowBlank="1" showInputMessage="1" showErrorMessage="1" sqref="MPV196613:MPV196636">
      <formula1>項目!A4:$MPO$196610</formula1>
    </dataValidation>
    <dataValidation type="list" allowBlank="1" showInputMessage="1" showErrorMessage="1" sqref="MZR196613:MZR196636">
      <formula1>項目!A4:$MZK$196610</formula1>
    </dataValidation>
    <dataValidation type="list" allowBlank="1" showInputMessage="1" showErrorMessage="1" sqref="NJN196613:NJN196636">
      <formula1>項目!A4:$NJG$196610</formula1>
    </dataValidation>
    <dataValidation type="list" allowBlank="1" showInputMessage="1" showErrorMessage="1" sqref="NTJ196613:NTJ196636">
      <formula1>項目!A4:$NTC$196610</formula1>
    </dataValidation>
    <dataValidation type="list" allowBlank="1" showInputMessage="1" showErrorMessage="1" sqref="ODF196613:ODF196636">
      <formula1>項目!A4:$OCY$196610</formula1>
    </dataValidation>
    <dataValidation type="list" allowBlank="1" showInputMessage="1" showErrorMessage="1" sqref="ONB196613:ONB196636">
      <formula1>項目!A4:$OMU$196610</formula1>
    </dataValidation>
    <dataValidation type="list" allowBlank="1" showInputMessage="1" showErrorMessage="1" sqref="OWX196613:OWX196636">
      <formula1>項目!A4:$OWQ$196610</formula1>
    </dataValidation>
    <dataValidation type="list" allowBlank="1" showInputMessage="1" showErrorMessage="1" sqref="PGT196613:PGT196636">
      <formula1>項目!A4:$PGM$196610</formula1>
    </dataValidation>
    <dataValidation type="list" allowBlank="1" showInputMessage="1" showErrorMessage="1" sqref="PQP196613:PQP196636">
      <formula1>項目!A4:$PQI$196610</formula1>
    </dataValidation>
    <dataValidation type="list" allowBlank="1" showInputMessage="1" showErrorMessage="1" sqref="QAL196613:QAL196636">
      <formula1>項目!A4:$QAE$196610</formula1>
    </dataValidation>
    <dataValidation type="list" allowBlank="1" showInputMessage="1" showErrorMessage="1" sqref="QKH196613:QKH196636">
      <formula1>項目!A4:$QKA$196610</formula1>
    </dataValidation>
    <dataValidation type="list" allowBlank="1" showInputMessage="1" showErrorMessage="1" sqref="QUD196613:QUD196636">
      <formula1>項目!A4:$QTW$196610</formula1>
    </dataValidation>
    <dataValidation type="list" allowBlank="1" showInputMessage="1" showErrorMessage="1" sqref="RDZ196613:RDZ196636">
      <formula1>項目!A4:$RDS$196610</formula1>
    </dataValidation>
    <dataValidation type="list" allowBlank="1" showInputMessage="1" showErrorMessage="1" sqref="RNV196613:RNV196636">
      <formula1>項目!A4:$RNO$196610</formula1>
    </dataValidation>
    <dataValidation type="list" allowBlank="1" showInputMessage="1" showErrorMessage="1" sqref="RXR196613:RXR196636">
      <formula1>項目!A4:$RXK$196610</formula1>
    </dataValidation>
    <dataValidation type="list" allowBlank="1" showInputMessage="1" showErrorMessage="1" sqref="SHN196613:SHN196636">
      <formula1>項目!A4:$SHG$196610</formula1>
    </dataValidation>
    <dataValidation type="list" allowBlank="1" showInputMessage="1" showErrorMessage="1" sqref="SRJ196613:SRJ196636">
      <formula1>項目!A4:$SRC$196610</formula1>
    </dataValidation>
    <dataValidation type="list" allowBlank="1" showInputMessage="1" showErrorMessage="1" sqref="TBF196613:TBF196636">
      <formula1>項目!A4:$TAY$196610</formula1>
    </dataValidation>
    <dataValidation type="list" allowBlank="1" showInputMessage="1" showErrorMessage="1" sqref="TLB196613:TLB196636">
      <formula1>項目!A4:$TKU$196610</formula1>
    </dataValidation>
    <dataValidation type="list" allowBlank="1" showInputMessage="1" showErrorMessage="1" sqref="TUX196613:TUX196636">
      <formula1>項目!A4:$TUQ$196610</formula1>
    </dataValidation>
    <dataValidation type="list" allowBlank="1" showInputMessage="1" showErrorMessage="1" sqref="UET196613:UET196636">
      <formula1>項目!A4:$UEM$196610</formula1>
    </dataValidation>
    <dataValidation type="list" allowBlank="1" showInputMessage="1" showErrorMessage="1" sqref="UOP196613:UOP196636">
      <formula1>項目!A4:$UOI$196610</formula1>
    </dataValidation>
    <dataValidation type="list" allowBlank="1" showInputMessage="1" showErrorMessage="1" sqref="UYL196613:UYL196636">
      <formula1>項目!A4:$UYE$196610</formula1>
    </dataValidation>
    <dataValidation type="list" allowBlank="1" showInputMessage="1" showErrorMessage="1" sqref="VIH196613:VIH196636">
      <formula1>項目!A4:$VIA$196610</formula1>
    </dataValidation>
    <dataValidation type="list" allowBlank="1" showInputMessage="1" showErrorMessage="1" sqref="VSD196613:VSD196636">
      <formula1>項目!A4:$VRW$196610</formula1>
    </dataValidation>
    <dataValidation type="list" allowBlank="1" showInputMessage="1" showErrorMessage="1" sqref="WBZ196613:WBZ196636">
      <formula1>項目!A4:$WBS$196610</formula1>
    </dataValidation>
    <dataValidation type="list" allowBlank="1" showInputMessage="1" showErrorMessage="1" sqref="WLV196613:WLV196636">
      <formula1>項目!A4:$WLO$196610</formula1>
    </dataValidation>
    <dataValidation type="list" allowBlank="1" showInputMessage="1" showErrorMessage="1" sqref="WVR196613:WVR196636">
      <formula1>項目!A4:$WVK$196610</formula1>
    </dataValidation>
    <dataValidation type="list" allowBlank="1" showInputMessage="1" showErrorMessage="1" sqref="JF262149:JF262172">
      <formula1>項目!A4:$IY$262146</formula1>
    </dataValidation>
    <dataValidation type="list" allowBlank="1" showInputMessage="1" showErrorMessage="1" sqref="TB262149:TB262172">
      <formula1>項目!A4:$SU$262146</formula1>
    </dataValidation>
    <dataValidation type="list" allowBlank="1" showInputMessage="1" showErrorMessage="1" sqref="ACX262149:ACX262172">
      <formula1>項目!A4:$ACQ$262146</formula1>
    </dataValidation>
    <dataValidation type="list" allowBlank="1" showInputMessage="1" showErrorMessage="1" sqref="AMT262149:AMT262172">
      <formula1>項目!A4:$AMM$262146</formula1>
    </dataValidation>
    <dataValidation type="list" allowBlank="1" showInputMessage="1" showErrorMessage="1" sqref="AWP262149:AWP262172">
      <formula1>項目!A4:$AWI$262146</formula1>
    </dataValidation>
    <dataValidation type="list" allowBlank="1" showInputMessage="1" showErrorMessage="1" sqref="BGL262149:BGL262172">
      <formula1>項目!A4:$BGE$262146</formula1>
    </dataValidation>
    <dataValidation type="list" allowBlank="1" showInputMessage="1" showErrorMessage="1" sqref="BQH262149:BQH262172">
      <formula1>項目!A4:$BQA$262146</formula1>
    </dataValidation>
    <dataValidation type="list" allowBlank="1" showInputMessage="1" showErrorMessage="1" sqref="CAD262149:CAD262172">
      <formula1>項目!A4:$BZW$262146</formula1>
    </dataValidation>
    <dataValidation type="list" allowBlank="1" showInputMessage="1" showErrorMessage="1" sqref="CJZ262149:CJZ262172">
      <formula1>項目!A4:$CJS$262146</formula1>
    </dataValidation>
    <dataValidation type="list" allowBlank="1" showInputMessage="1" showErrorMessage="1" sqref="CTV262149:CTV262172">
      <formula1>項目!A4:$CTO$262146</formula1>
    </dataValidation>
    <dataValidation type="list" allowBlank="1" showInputMessage="1" showErrorMessage="1" sqref="DDR262149:DDR262172">
      <formula1>項目!A4:$DDK$262146</formula1>
    </dataValidation>
    <dataValidation type="list" allowBlank="1" showInputMessage="1" showErrorMessage="1" sqref="DNN262149:DNN262172">
      <formula1>項目!A4:$DNG$262146</formula1>
    </dataValidation>
    <dataValidation type="list" allowBlank="1" showInputMessage="1" showErrorMessage="1" sqref="DXJ262149:DXJ262172">
      <formula1>項目!A4:$DXC$262146</formula1>
    </dataValidation>
    <dataValidation type="list" allowBlank="1" showInputMessage="1" showErrorMessage="1" sqref="EHF262149:EHF262172">
      <formula1>項目!A4:$EGY$262146</formula1>
    </dataValidation>
    <dataValidation type="list" allowBlank="1" showInputMessage="1" showErrorMessage="1" sqref="ERB262149:ERB262172">
      <formula1>項目!A4:$EQU$262146</formula1>
    </dataValidation>
    <dataValidation type="list" allowBlank="1" showInputMessage="1" showErrorMessage="1" sqref="FAX262149:FAX262172">
      <formula1>項目!A4:$FAQ$262146</formula1>
    </dataValidation>
    <dataValidation type="list" allowBlank="1" showInputMessage="1" showErrorMessage="1" sqref="FKT262149:FKT262172">
      <formula1>項目!A4:$FKM$262146</formula1>
    </dataValidation>
    <dataValidation type="list" allowBlank="1" showInputMessage="1" showErrorMessage="1" sqref="FUP262149:FUP262172">
      <formula1>項目!A4:$FUI$262146</formula1>
    </dataValidation>
    <dataValidation type="list" allowBlank="1" showInputMessage="1" showErrorMessage="1" sqref="GEL262149:GEL262172">
      <formula1>項目!A4:$GEE$262146</formula1>
    </dataValidation>
    <dataValidation type="list" allowBlank="1" showInputMessage="1" showErrorMessage="1" sqref="GOH262149:GOH262172">
      <formula1>項目!A4:$GOA$262146</formula1>
    </dataValidation>
    <dataValidation type="list" allowBlank="1" showInputMessage="1" showErrorMessage="1" sqref="GYD262149:GYD262172">
      <formula1>項目!A4:$GXW$262146</formula1>
    </dataValidation>
    <dataValidation type="list" allowBlank="1" showInputMessage="1" showErrorMessage="1" sqref="HHZ262149:HHZ262172">
      <formula1>項目!A4:$HHS$262146</formula1>
    </dataValidation>
    <dataValidation type="list" allowBlank="1" showInputMessage="1" showErrorMessage="1" sqref="HRV262149:HRV262172">
      <formula1>項目!A4:$HRO$262146</formula1>
    </dataValidation>
    <dataValidation type="list" allowBlank="1" showInputMessage="1" showErrorMessage="1" sqref="IBR262149:IBR262172">
      <formula1>項目!A4:$IBK$262146</formula1>
    </dataValidation>
    <dataValidation type="list" allowBlank="1" showInputMessage="1" showErrorMessage="1" sqref="ILN262149:ILN262172">
      <formula1>項目!A4:$ILG$262146</formula1>
    </dataValidation>
    <dataValidation type="list" allowBlank="1" showInputMessage="1" showErrorMessage="1" sqref="IVJ262149:IVJ262172">
      <formula1>項目!A4:$IVC$262146</formula1>
    </dataValidation>
    <dataValidation type="list" allowBlank="1" showInputMessage="1" showErrorMessage="1" sqref="JFF262149:JFF262172">
      <formula1>項目!A4:$JEY$262146</formula1>
    </dataValidation>
    <dataValidation type="list" allowBlank="1" showInputMessage="1" showErrorMessage="1" sqref="JPB262149:JPB262172">
      <formula1>項目!A4:$JOU$262146</formula1>
    </dataValidation>
    <dataValidation type="list" allowBlank="1" showInputMessage="1" showErrorMessage="1" sqref="JYX262149:JYX262172">
      <formula1>項目!A4:$JYQ$262146</formula1>
    </dataValidation>
    <dataValidation type="list" allowBlank="1" showInputMessage="1" showErrorMessage="1" sqref="KIT262149:KIT262172">
      <formula1>項目!A4:$KIM$262146</formula1>
    </dataValidation>
    <dataValidation type="list" allowBlank="1" showInputMessage="1" showErrorMessage="1" sqref="KSP262149:KSP262172">
      <formula1>項目!A4:$KSI$262146</formula1>
    </dataValidation>
    <dataValidation type="list" allowBlank="1" showInputMessage="1" showErrorMessage="1" sqref="LCL262149:LCL262172">
      <formula1>項目!A4:$LCE$262146</formula1>
    </dataValidation>
    <dataValidation type="list" allowBlank="1" showInputMessage="1" showErrorMessage="1" sqref="LMH262149:LMH262172">
      <formula1>項目!A4:$LMA$262146</formula1>
    </dataValidation>
    <dataValidation type="list" allowBlank="1" showInputMessage="1" showErrorMessage="1" sqref="LWD262149:LWD262172">
      <formula1>項目!A4:$LVW$262146</formula1>
    </dataValidation>
    <dataValidation type="list" allowBlank="1" showInputMessage="1" showErrorMessage="1" sqref="MFZ262149:MFZ262172">
      <formula1>項目!A4:$MFS$262146</formula1>
    </dataValidation>
    <dataValidation type="list" allowBlank="1" showInputMessage="1" showErrorMessage="1" sqref="MPV262149:MPV262172">
      <formula1>項目!A4:$MPO$262146</formula1>
    </dataValidation>
    <dataValidation type="list" allowBlank="1" showInputMessage="1" showErrorMessage="1" sqref="MZR262149:MZR262172">
      <formula1>項目!A4:$MZK$262146</formula1>
    </dataValidation>
    <dataValidation type="list" allowBlank="1" showInputMessage="1" showErrorMessage="1" sqref="NJN262149:NJN262172">
      <formula1>項目!A4:$NJG$262146</formula1>
    </dataValidation>
    <dataValidation type="list" allowBlank="1" showInputMessage="1" showErrorMessage="1" sqref="NTJ262149:NTJ262172">
      <formula1>項目!A4:$NTC$262146</formula1>
    </dataValidation>
    <dataValidation type="list" allowBlank="1" showInputMessage="1" showErrorMessage="1" sqref="ODF262149:ODF262172">
      <formula1>項目!A4:$OCY$262146</formula1>
    </dataValidation>
    <dataValidation type="list" allowBlank="1" showInputMessage="1" showErrorMessage="1" sqref="ONB262149:ONB262172">
      <formula1>項目!A4:$OMU$262146</formula1>
    </dataValidation>
    <dataValidation type="list" allowBlank="1" showInputMessage="1" showErrorMessage="1" sqref="OWX262149:OWX262172">
      <formula1>項目!A4:$OWQ$262146</formula1>
    </dataValidation>
    <dataValidation type="list" allowBlank="1" showInputMessage="1" showErrorMessage="1" sqref="PGT262149:PGT262172">
      <formula1>項目!A4:$PGM$262146</formula1>
    </dataValidation>
    <dataValidation type="list" allowBlank="1" showInputMessage="1" showErrorMessage="1" sqref="PQP262149:PQP262172">
      <formula1>項目!A4:$PQI$262146</formula1>
    </dataValidation>
    <dataValidation type="list" allowBlank="1" showInputMessage="1" showErrorMessage="1" sqref="QAL262149:QAL262172">
      <formula1>項目!A4:$QAE$262146</formula1>
    </dataValidation>
    <dataValidation type="list" allowBlank="1" showInputMessage="1" showErrorMessage="1" sqref="QKH262149:QKH262172">
      <formula1>項目!A4:$QKA$262146</formula1>
    </dataValidation>
    <dataValidation type="list" allowBlank="1" showInputMessage="1" showErrorMessage="1" sqref="QUD262149:QUD262172">
      <formula1>項目!A4:$QTW$262146</formula1>
    </dataValidation>
    <dataValidation type="list" allowBlank="1" showInputMessage="1" showErrorMessage="1" sqref="RDZ262149:RDZ262172">
      <formula1>項目!A4:$RDS$262146</formula1>
    </dataValidation>
    <dataValidation type="list" allowBlank="1" showInputMessage="1" showErrorMessage="1" sqref="RNV262149:RNV262172">
      <formula1>項目!A4:$RNO$262146</formula1>
    </dataValidation>
    <dataValidation type="list" allowBlank="1" showInputMessage="1" showErrorMessage="1" sqref="RXR262149:RXR262172">
      <formula1>項目!A4:$RXK$262146</formula1>
    </dataValidation>
    <dataValidation type="list" allowBlank="1" showInputMessage="1" showErrorMessage="1" sqref="SHN262149:SHN262172">
      <formula1>項目!A4:$SHG$262146</formula1>
    </dataValidation>
    <dataValidation type="list" allowBlank="1" showInputMessage="1" showErrorMessage="1" sqref="SRJ262149:SRJ262172">
      <formula1>項目!A4:$SRC$262146</formula1>
    </dataValidation>
    <dataValidation type="list" allowBlank="1" showInputMessage="1" showErrorMessage="1" sqref="TBF262149:TBF262172">
      <formula1>項目!A4:$TAY$262146</formula1>
    </dataValidation>
    <dataValidation type="list" allowBlank="1" showInputMessage="1" showErrorMessage="1" sqref="TLB262149:TLB262172">
      <formula1>項目!A4:$TKU$262146</formula1>
    </dataValidation>
    <dataValidation type="list" allowBlank="1" showInputMessage="1" showErrorMessage="1" sqref="TUX262149:TUX262172">
      <formula1>項目!A4:$TUQ$262146</formula1>
    </dataValidation>
    <dataValidation type="list" allowBlank="1" showInputMessage="1" showErrorMessage="1" sqref="UET262149:UET262172">
      <formula1>項目!A4:$UEM$262146</formula1>
    </dataValidation>
    <dataValidation type="list" allowBlank="1" showInputMessage="1" showErrorMessage="1" sqref="UOP262149:UOP262172">
      <formula1>項目!A4:$UOI$262146</formula1>
    </dataValidation>
    <dataValidation type="list" allowBlank="1" showInputMessage="1" showErrorMessage="1" sqref="UYL262149:UYL262172">
      <formula1>項目!A4:$UYE$262146</formula1>
    </dataValidation>
    <dataValidation type="list" allowBlank="1" showInputMessage="1" showErrorMessage="1" sqref="VIH262149:VIH262172">
      <formula1>項目!A4:$VIA$262146</formula1>
    </dataValidation>
    <dataValidation type="list" allowBlank="1" showInputMessage="1" showErrorMessage="1" sqref="VSD262149:VSD262172">
      <formula1>項目!A4:$VRW$262146</formula1>
    </dataValidation>
    <dataValidation type="list" allowBlank="1" showInputMessage="1" showErrorMessage="1" sqref="WBZ262149:WBZ262172">
      <formula1>項目!A4:$WBS$262146</formula1>
    </dataValidation>
    <dataValidation type="list" allowBlank="1" showInputMessage="1" showErrorMessage="1" sqref="WLV262149:WLV262172">
      <formula1>項目!A4:$WLO$262146</formula1>
    </dataValidation>
    <dataValidation type="list" allowBlank="1" showInputMessage="1" showErrorMessage="1" sqref="WVR262149:WVR262172">
      <formula1>項目!A4:$WVK$262146</formula1>
    </dataValidation>
    <dataValidation type="list" allowBlank="1" showInputMessage="1" showErrorMessage="1" sqref="JF327685:JF327708">
      <formula1>項目!A4:$IY$327682</formula1>
    </dataValidation>
    <dataValidation type="list" allowBlank="1" showInputMessage="1" showErrorMessage="1" sqref="TB327685:TB327708">
      <formula1>項目!A4:$SU$327682</formula1>
    </dataValidation>
    <dataValidation type="list" allowBlank="1" showInputMessage="1" showErrorMessage="1" sqref="ACX327685:ACX327708">
      <formula1>項目!A4:$ACQ$327682</formula1>
    </dataValidation>
    <dataValidation type="list" allowBlank="1" showInputMessage="1" showErrorMessage="1" sqref="AMT327685:AMT327708">
      <formula1>項目!A4:$AMM$327682</formula1>
    </dataValidation>
    <dataValidation type="list" allowBlank="1" showInputMessage="1" showErrorMessage="1" sqref="AWP327685:AWP327708">
      <formula1>項目!A4:$AWI$327682</formula1>
    </dataValidation>
    <dataValidation type="list" allowBlank="1" showInputMessage="1" showErrorMessage="1" sqref="BGL327685:BGL327708">
      <formula1>項目!A4:$BGE$327682</formula1>
    </dataValidation>
    <dataValidation type="list" allowBlank="1" showInputMessage="1" showErrorMessage="1" sqref="BQH327685:BQH327708">
      <formula1>項目!A4:$BQA$327682</formula1>
    </dataValidation>
    <dataValidation type="list" allowBlank="1" showInputMessage="1" showErrorMessage="1" sqref="CAD327685:CAD327708">
      <formula1>項目!A4:$BZW$327682</formula1>
    </dataValidation>
    <dataValidation type="list" allowBlank="1" showInputMessage="1" showErrorMessage="1" sqref="CJZ327685:CJZ327708">
      <formula1>項目!A4:$CJS$327682</formula1>
    </dataValidation>
    <dataValidation type="list" allowBlank="1" showInputMessage="1" showErrorMessage="1" sqref="CTV327685:CTV327708">
      <formula1>項目!A4:$CTO$327682</formula1>
    </dataValidation>
    <dataValidation type="list" allowBlank="1" showInputMessage="1" showErrorMessage="1" sqref="DDR327685:DDR327708">
      <formula1>項目!A4:$DDK$327682</formula1>
    </dataValidation>
    <dataValidation type="list" allowBlank="1" showInputMessage="1" showErrorMessage="1" sqref="DNN327685:DNN327708">
      <formula1>項目!A4:$DNG$327682</formula1>
    </dataValidation>
    <dataValidation type="list" allowBlank="1" showInputMessage="1" showErrorMessage="1" sqref="DXJ327685:DXJ327708">
      <formula1>項目!A4:$DXC$327682</formula1>
    </dataValidation>
    <dataValidation type="list" allowBlank="1" showInputMessage="1" showErrorMessage="1" sqref="EHF327685:EHF327708">
      <formula1>項目!A4:$EGY$327682</formula1>
    </dataValidation>
    <dataValidation type="list" allowBlank="1" showInputMessage="1" showErrorMessage="1" sqref="ERB327685:ERB327708">
      <formula1>項目!A4:$EQU$327682</formula1>
    </dataValidation>
    <dataValidation type="list" allowBlank="1" showInputMessage="1" showErrorMessage="1" sqref="FAX327685:FAX327708">
      <formula1>項目!A4:$FAQ$327682</formula1>
    </dataValidation>
    <dataValidation type="list" allowBlank="1" showInputMessage="1" showErrorMessage="1" sqref="FKT327685:FKT327708">
      <formula1>項目!A4:$FKM$327682</formula1>
    </dataValidation>
    <dataValidation type="list" allowBlank="1" showInputMessage="1" showErrorMessage="1" sqref="FUP327685:FUP327708">
      <formula1>項目!A4:$FUI$327682</formula1>
    </dataValidation>
    <dataValidation type="list" allowBlank="1" showInputMessage="1" showErrorMessage="1" sqref="GEL327685:GEL327708">
      <formula1>項目!A4:$GEE$327682</formula1>
    </dataValidation>
    <dataValidation type="list" allowBlank="1" showInputMessage="1" showErrorMessage="1" sqref="GOH327685:GOH327708">
      <formula1>項目!A4:$GOA$327682</formula1>
    </dataValidation>
    <dataValidation type="list" allowBlank="1" showInputMessage="1" showErrorMessage="1" sqref="GYD327685:GYD327708">
      <formula1>項目!A4:$GXW$327682</formula1>
    </dataValidation>
    <dataValidation type="list" allowBlank="1" showInputMessage="1" showErrorMessage="1" sqref="HHZ327685:HHZ327708">
      <formula1>項目!A4:$HHS$327682</formula1>
    </dataValidation>
    <dataValidation type="list" allowBlank="1" showInputMessage="1" showErrorMessage="1" sqref="HRV327685:HRV327708">
      <formula1>項目!A4:$HRO$327682</formula1>
    </dataValidation>
    <dataValidation type="list" allowBlank="1" showInputMessage="1" showErrorMessage="1" sqref="IBR327685:IBR327708">
      <formula1>項目!A4:$IBK$327682</formula1>
    </dataValidation>
    <dataValidation type="list" allowBlank="1" showInputMessage="1" showErrorMessage="1" sqref="ILN327685:ILN327708">
      <formula1>項目!A4:$ILG$327682</formula1>
    </dataValidation>
    <dataValidation type="list" allowBlank="1" showInputMessage="1" showErrorMessage="1" sqref="IVJ327685:IVJ327708">
      <formula1>項目!A4:$IVC$327682</formula1>
    </dataValidation>
    <dataValidation type="list" allowBlank="1" showInputMessage="1" showErrorMessage="1" sqref="JFF327685:JFF327708">
      <formula1>項目!A4:$JEY$327682</formula1>
    </dataValidation>
    <dataValidation type="list" allowBlank="1" showInputMessage="1" showErrorMessage="1" sqref="JPB327685:JPB327708">
      <formula1>項目!A4:$JOU$327682</formula1>
    </dataValidation>
    <dataValidation type="list" allowBlank="1" showInputMessage="1" showErrorMessage="1" sqref="JYX327685:JYX327708">
      <formula1>項目!A4:$JYQ$327682</formula1>
    </dataValidation>
    <dataValidation type="list" allowBlank="1" showInputMessage="1" showErrorMessage="1" sqref="KIT327685:KIT327708">
      <formula1>項目!A4:$KIM$327682</formula1>
    </dataValidation>
    <dataValidation type="list" allowBlank="1" showInputMessage="1" showErrorMessage="1" sqref="KSP327685:KSP327708">
      <formula1>項目!A4:$KSI$327682</formula1>
    </dataValidation>
    <dataValidation type="list" allowBlank="1" showInputMessage="1" showErrorMessage="1" sqref="LCL327685:LCL327708">
      <formula1>項目!A4:$LCE$327682</formula1>
    </dataValidation>
    <dataValidation type="list" allowBlank="1" showInputMessage="1" showErrorMessage="1" sqref="LMH327685:LMH327708">
      <formula1>項目!A4:$LMA$327682</formula1>
    </dataValidation>
    <dataValidation type="list" allowBlank="1" showInputMessage="1" showErrorMessage="1" sqref="LWD327685:LWD327708">
      <formula1>項目!A4:$LVW$327682</formula1>
    </dataValidation>
    <dataValidation type="list" allowBlank="1" showInputMessage="1" showErrorMessage="1" sqref="MFZ327685:MFZ327708">
      <formula1>項目!A4:$MFS$327682</formula1>
    </dataValidation>
    <dataValidation type="list" allowBlank="1" showInputMessage="1" showErrorMessage="1" sqref="MPV327685:MPV327708">
      <formula1>項目!A4:$MPO$327682</formula1>
    </dataValidation>
    <dataValidation type="list" allowBlank="1" showInputMessage="1" showErrorMessage="1" sqref="MZR327685:MZR327708">
      <formula1>項目!A4:$MZK$327682</formula1>
    </dataValidation>
    <dataValidation type="list" allowBlank="1" showInputMessage="1" showErrorMessage="1" sqref="NJN327685:NJN327708">
      <formula1>項目!A4:$NJG$327682</formula1>
    </dataValidation>
    <dataValidation type="list" allowBlank="1" showInputMessage="1" showErrorMessage="1" sqref="NTJ327685:NTJ327708">
      <formula1>項目!A4:$NTC$327682</formula1>
    </dataValidation>
    <dataValidation type="list" allowBlank="1" showInputMessage="1" showErrorMessage="1" sqref="ODF327685:ODF327708">
      <formula1>項目!A4:$OCY$327682</formula1>
    </dataValidation>
    <dataValidation type="list" allowBlank="1" showInputMessage="1" showErrorMessage="1" sqref="ONB327685:ONB327708">
      <formula1>項目!A4:$OMU$327682</formula1>
    </dataValidation>
    <dataValidation type="list" allowBlank="1" showInputMessage="1" showErrorMessage="1" sqref="OWX327685:OWX327708">
      <formula1>項目!A4:$OWQ$327682</formula1>
    </dataValidation>
    <dataValidation type="list" allowBlank="1" showInputMessage="1" showErrorMessage="1" sqref="PGT327685:PGT327708">
      <formula1>項目!A4:$PGM$327682</formula1>
    </dataValidation>
    <dataValidation type="list" allowBlank="1" showInputMessage="1" showErrorMessage="1" sqref="PQP327685:PQP327708">
      <formula1>項目!A4:$PQI$327682</formula1>
    </dataValidation>
    <dataValidation type="list" allowBlank="1" showInputMessage="1" showErrorMessage="1" sqref="QAL327685:QAL327708">
      <formula1>項目!A4:$QAE$327682</formula1>
    </dataValidation>
    <dataValidation type="list" allowBlank="1" showInputMessage="1" showErrorMessage="1" sqref="QKH327685:QKH327708">
      <formula1>項目!A4:$QKA$327682</formula1>
    </dataValidation>
    <dataValidation type="list" allowBlank="1" showInputMessage="1" showErrorMessage="1" sqref="QUD327685:QUD327708">
      <formula1>項目!A4:$QTW$327682</formula1>
    </dataValidation>
    <dataValidation type="list" allowBlank="1" showInputMessage="1" showErrorMessage="1" sqref="RDZ327685:RDZ327708">
      <formula1>項目!A4:$RDS$327682</formula1>
    </dataValidation>
    <dataValidation type="list" allowBlank="1" showInputMessage="1" showErrorMessage="1" sqref="RNV327685:RNV327708">
      <formula1>項目!A4:$RNO$327682</formula1>
    </dataValidation>
    <dataValidation type="list" allowBlank="1" showInputMessage="1" showErrorMessage="1" sqref="RXR327685:RXR327708">
      <formula1>項目!A4:$RXK$327682</formula1>
    </dataValidation>
    <dataValidation type="list" allowBlank="1" showInputMessage="1" showErrorMessage="1" sqref="SHN327685:SHN327708">
      <formula1>項目!A4:$SHG$327682</formula1>
    </dataValidation>
    <dataValidation type="list" allowBlank="1" showInputMessage="1" showErrorMessage="1" sqref="SRJ327685:SRJ327708">
      <formula1>項目!A4:$SRC$327682</formula1>
    </dataValidation>
    <dataValidation type="list" allowBlank="1" showInputMessage="1" showErrorMessage="1" sqref="TBF327685:TBF327708">
      <formula1>項目!A4:$TAY$327682</formula1>
    </dataValidation>
    <dataValidation type="list" allowBlank="1" showInputMessage="1" showErrorMessage="1" sqref="TLB327685:TLB327708">
      <formula1>項目!A4:$TKU$327682</formula1>
    </dataValidation>
    <dataValidation type="list" allowBlank="1" showInputMessage="1" showErrorMessage="1" sqref="TUX327685:TUX327708">
      <formula1>項目!A4:$TUQ$327682</formula1>
    </dataValidation>
    <dataValidation type="list" allowBlank="1" showInputMessage="1" showErrorMessage="1" sqref="UET327685:UET327708">
      <formula1>項目!A4:$UEM$327682</formula1>
    </dataValidation>
    <dataValidation type="list" allowBlank="1" showInputMessage="1" showErrorMessage="1" sqref="UOP327685:UOP327708">
      <formula1>項目!A4:$UOI$327682</formula1>
    </dataValidation>
    <dataValidation type="list" allowBlank="1" showInputMessage="1" showErrorMessage="1" sqref="UYL327685:UYL327708">
      <formula1>項目!A4:$UYE$327682</formula1>
    </dataValidation>
    <dataValidation type="list" allowBlank="1" showInputMessage="1" showErrorMessage="1" sqref="VIH327685:VIH327708">
      <formula1>項目!A4:$VIA$327682</formula1>
    </dataValidation>
    <dataValidation type="list" allowBlank="1" showInputMessage="1" showErrorMessage="1" sqref="VSD327685:VSD327708">
      <formula1>項目!A4:$VRW$327682</formula1>
    </dataValidation>
    <dataValidation type="list" allowBlank="1" showInputMessage="1" showErrorMessage="1" sqref="WBZ327685:WBZ327708">
      <formula1>項目!A4:$WBS$327682</formula1>
    </dataValidation>
    <dataValidation type="list" allowBlank="1" showInputMessage="1" showErrorMessage="1" sqref="WLV327685:WLV327708">
      <formula1>項目!A4:$WLO$327682</formula1>
    </dataValidation>
    <dataValidation type="list" allowBlank="1" showInputMessage="1" showErrorMessage="1" sqref="WVR327685:WVR327708">
      <formula1>項目!A4:$WVK$327682</formula1>
    </dataValidation>
    <dataValidation type="list" allowBlank="1" showInputMessage="1" showErrorMessage="1" sqref="JF393221:JF393244">
      <formula1>項目!A4:$IY$393218</formula1>
    </dataValidation>
    <dataValidation type="list" allowBlank="1" showInputMessage="1" showErrorMessage="1" sqref="TB393221:TB393244">
      <formula1>項目!A4:$SU$393218</formula1>
    </dataValidation>
    <dataValidation type="list" allowBlank="1" showInputMessage="1" showErrorMessage="1" sqref="ACX393221:ACX393244">
      <formula1>項目!A4:$ACQ$393218</formula1>
    </dataValidation>
    <dataValidation type="list" allowBlank="1" showInputMessage="1" showErrorMessage="1" sqref="AMT393221:AMT393244">
      <formula1>項目!A4:$AMM$393218</formula1>
    </dataValidation>
    <dataValidation type="list" allowBlank="1" showInputMessage="1" showErrorMessage="1" sqref="AWP393221:AWP393244">
      <formula1>項目!A4:$AWI$393218</formula1>
    </dataValidation>
    <dataValidation type="list" allowBlank="1" showInputMessage="1" showErrorMessage="1" sqref="BGL393221:BGL393244">
      <formula1>項目!A4:$BGE$393218</formula1>
    </dataValidation>
    <dataValidation type="list" allowBlank="1" showInputMessage="1" showErrorMessage="1" sqref="BQH393221:BQH393244">
      <formula1>項目!A4:$BQA$393218</formula1>
    </dataValidation>
    <dataValidation type="list" allowBlank="1" showInputMessage="1" showErrorMessage="1" sqref="CAD393221:CAD393244">
      <formula1>項目!A4:$BZW$393218</formula1>
    </dataValidation>
    <dataValidation type="list" allowBlank="1" showInputMessage="1" showErrorMessage="1" sqref="CJZ393221:CJZ393244">
      <formula1>項目!A4:$CJS$393218</formula1>
    </dataValidation>
    <dataValidation type="list" allowBlank="1" showInputMessage="1" showErrorMessage="1" sqref="CTV393221:CTV393244">
      <formula1>項目!A4:$CTO$393218</formula1>
    </dataValidation>
    <dataValidation type="list" allowBlank="1" showInputMessage="1" showErrorMessage="1" sqref="DDR393221:DDR393244">
      <formula1>項目!A4:$DDK$393218</formula1>
    </dataValidation>
    <dataValidation type="list" allowBlank="1" showInputMessage="1" showErrorMessage="1" sqref="DNN393221:DNN393244">
      <formula1>項目!A4:$DNG$393218</formula1>
    </dataValidation>
    <dataValidation type="list" allowBlank="1" showInputMessage="1" showErrorMessage="1" sqref="DXJ393221:DXJ393244">
      <formula1>項目!A4:$DXC$393218</formula1>
    </dataValidation>
    <dataValidation type="list" allowBlank="1" showInputMessage="1" showErrorMessage="1" sqref="EHF393221:EHF393244">
      <formula1>項目!A4:$EGY$393218</formula1>
    </dataValidation>
    <dataValidation type="list" allowBlank="1" showInputMessage="1" showErrorMessage="1" sqref="ERB393221:ERB393244">
      <formula1>項目!A4:$EQU$393218</formula1>
    </dataValidation>
    <dataValidation type="list" allowBlank="1" showInputMessage="1" showErrorMessage="1" sqref="FAX393221:FAX393244">
      <formula1>項目!A4:$FAQ$393218</formula1>
    </dataValidation>
    <dataValidation type="list" allowBlank="1" showInputMessage="1" showErrorMessage="1" sqref="FKT393221:FKT393244">
      <formula1>項目!A4:$FKM$393218</formula1>
    </dataValidation>
    <dataValidation type="list" allowBlank="1" showInputMessage="1" showErrorMessage="1" sqref="FUP393221:FUP393244">
      <formula1>項目!A4:$FUI$393218</formula1>
    </dataValidation>
    <dataValidation type="list" allowBlank="1" showInputMessage="1" showErrorMessage="1" sqref="GEL393221:GEL393244">
      <formula1>項目!A4:$GEE$393218</formula1>
    </dataValidation>
    <dataValidation type="list" allowBlank="1" showInputMessage="1" showErrorMessage="1" sqref="GOH393221:GOH393244">
      <formula1>項目!A4:$GOA$393218</formula1>
    </dataValidation>
    <dataValidation type="list" allowBlank="1" showInputMessage="1" showErrorMessage="1" sqref="GYD393221:GYD393244">
      <formula1>項目!A4:$GXW$393218</formula1>
    </dataValidation>
    <dataValidation type="list" allowBlank="1" showInputMessage="1" showErrorMessage="1" sqref="HHZ393221:HHZ393244">
      <formula1>項目!A4:$HHS$393218</formula1>
    </dataValidation>
    <dataValidation type="list" allowBlank="1" showInputMessage="1" showErrorMessage="1" sqref="HRV393221:HRV393244">
      <formula1>項目!A4:$HRO$393218</formula1>
    </dataValidation>
    <dataValidation type="list" allowBlank="1" showInputMessage="1" showErrorMessage="1" sqref="IBR393221:IBR393244">
      <formula1>項目!A4:$IBK$393218</formula1>
    </dataValidation>
    <dataValidation type="list" allowBlank="1" showInputMessage="1" showErrorMessage="1" sqref="ILN393221:ILN393244">
      <formula1>項目!A4:$ILG$393218</formula1>
    </dataValidation>
    <dataValidation type="list" allowBlank="1" showInputMessage="1" showErrorMessage="1" sqref="IVJ393221:IVJ393244">
      <formula1>項目!A4:$IVC$393218</formula1>
    </dataValidation>
    <dataValidation type="list" allowBlank="1" showInputMessage="1" showErrorMessage="1" sqref="JFF393221:JFF393244">
      <formula1>項目!A4:$JEY$393218</formula1>
    </dataValidation>
    <dataValidation type="list" allowBlank="1" showInputMessage="1" showErrorMessage="1" sqref="JPB393221:JPB393244">
      <formula1>項目!A4:$JOU$393218</formula1>
    </dataValidation>
    <dataValidation type="list" allowBlank="1" showInputMessage="1" showErrorMessage="1" sqref="JYX393221:JYX393244">
      <formula1>項目!A4:$JYQ$393218</formula1>
    </dataValidation>
    <dataValidation type="list" allowBlank="1" showInputMessage="1" showErrorMessage="1" sqref="KIT393221:KIT393244">
      <formula1>項目!A4:$KIM$393218</formula1>
    </dataValidation>
    <dataValidation type="list" allowBlank="1" showInputMessage="1" showErrorMessage="1" sqref="KSP393221:KSP393244">
      <formula1>項目!A4:$KSI$393218</formula1>
    </dataValidation>
    <dataValidation type="list" allowBlank="1" showInputMessage="1" showErrorMessage="1" sqref="LCL393221:LCL393244">
      <formula1>項目!A4:$LCE$393218</formula1>
    </dataValidation>
    <dataValidation type="list" allowBlank="1" showInputMessage="1" showErrorMessage="1" sqref="LMH393221:LMH393244">
      <formula1>項目!A4:$LMA$393218</formula1>
    </dataValidation>
    <dataValidation type="list" allowBlank="1" showInputMessage="1" showErrorMessage="1" sqref="LWD393221:LWD393244">
      <formula1>項目!A4:$LVW$393218</formula1>
    </dataValidation>
    <dataValidation type="list" allowBlank="1" showInputMessage="1" showErrorMessage="1" sqref="MFZ393221:MFZ393244">
      <formula1>項目!A4:$MFS$393218</formula1>
    </dataValidation>
    <dataValidation type="list" allowBlank="1" showInputMessage="1" showErrorMessage="1" sqref="MPV393221:MPV393244">
      <formula1>項目!A4:$MPO$393218</formula1>
    </dataValidation>
    <dataValidation type="list" allowBlank="1" showInputMessage="1" showErrorMessage="1" sqref="MZR393221:MZR393244">
      <formula1>項目!A4:$MZK$393218</formula1>
    </dataValidation>
    <dataValidation type="list" allowBlank="1" showInputMessage="1" showErrorMessage="1" sqref="NJN393221:NJN393244">
      <formula1>項目!A4:$NJG$393218</formula1>
    </dataValidation>
    <dataValidation type="list" allowBlank="1" showInputMessage="1" showErrorMessage="1" sqref="NTJ393221:NTJ393244">
      <formula1>項目!A4:$NTC$393218</formula1>
    </dataValidation>
    <dataValidation type="list" allowBlank="1" showInputMessage="1" showErrorMessage="1" sqref="ODF393221:ODF393244">
      <formula1>項目!A4:$OCY$393218</formula1>
    </dataValidation>
    <dataValidation type="list" allowBlank="1" showInputMessage="1" showErrorMessage="1" sqref="ONB393221:ONB393244">
      <formula1>項目!A4:$OMU$393218</formula1>
    </dataValidation>
    <dataValidation type="list" allowBlank="1" showInputMessage="1" showErrorMessage="1" sqref="OWX393221:OWX393244">
      <formula1>項目!A4:$OWQ$393218</formula1>
    </dataValidation>
    <dataValidation type="list" allowBlank="1" showInputMessage="1" showErrorMessage="1" sqref="PGT393221:PGT393244">
      <formula1>項目!A4:$PGM$393218</formula1>
    </dataValidation>
    <dataValidation type="list" allowBlank="1" showInputMessage="1" showErrorMessage="1" sqref="PQP393221:PQP393244">
      <formula1>項目!A4:$PQI$393218</formula1>
    </dataValidation>
    <dataValidation type="list" allowBlank="1" showInputMessage="1" showErrorMessage="1" sqref="QAL393221:QAL393244">
      <formula1>項目!A4:$QAE$393218</formula1>
    </dataValidation>
    <dataValidation type="list" allowBlank="1" showInputMessage="1" showErrorMessage="1" sqref="QKH393221:QKH393244">
      <formula1>項目!A4:$QKA$393218</formula1>
    </dataValidation>
    <dataValidation type="list" allowBlank="1" showInputMessage="1" showErrorMessage="1" sqref="QUD393221:QUD393244">
      <formula1>項目!A4:$QTW$393218</formula1>
    </dataValidation>
    <dataValidation type="list" allowBlank="1" showInputMessage="1" showErrorMessage="1" sqref="RDZ393221:RDZ393244">
      <formula1>項目!A4:$RDS$393218</formula1>
    </dataValidation>
    <dataValidation type="list" allowBlank="1" showInputMessage="1" showErrorMessage="1" sqref="RNV393221:RNV393244">
      <formula1>項目!A4:$RNO$393218</formula1>
    </dataValidation>
    <dataValidation type="list" allowBlank="1" showInputMessage="1" showErrorMessage="1" sqref="RXR393221:RXR393244">
      <formula1>項目!A4:$RXK$393218</formula1>
    </dataValidation>
    <dataValidation type="list" allowBlank="1" showInputMessage="1" showErrorMessage="1" sqref="SHN393221:SHN393244">
      <formula1>項目!A4:$SHG$393218</formula1>
    </dataValidation>
    <dataValidation type="list" allowBlank="1" showInputMessage="1" showErrorMessage="1" sqref="SRJ393221:SRJ393244">
      <formula1>項目!A4:$SRC$393218</formula1>
    </dataValidation>
    <dataValidation type="list" allowBlank="1" showInputMessage="1" showErrorMessage="1" sqref="TBF393221:TBF393244">
      <formula1>項目!A4:$TAY$393218</formula1>
    </dataValidation>
    <dataValidation type="list" allowBlank="1" showInputMessage="1" showErrorMessage="1" sqref="TLB393221:TLB393244">
      <formula1>項目!A4:$TKU$393218</formula1>
    </dataValidation>
    <dataValidation type="list" allowBlank="1" showInputMessage="1" showErrorMessage="1" sqref="TUX393221:TUX393244">
      <formula1>項目!A4:$TUQ$393218</formula1>
    </dataValidation>
    <dataValidation type="list" allowBlank="1" showInputMessage="1" showErrorMessage="1" sqref="UET393221:UET393244">
      <formula1>項目!A4:$UEM$393218</formula1>
    </dataValidation>
    <dataValidation type="list" allowBlank="1" showInputMessage="1" showErrorMessage="1" sqref="UOP393221:UOP393244">
      <formula1>項目!A4:$UOI$393218</formula1>
    </dataValidation>
    <dataValidation type="list" allowBlank="1" showInputMessage="1" showErrorMessage="1" sqref="UYL393221:UYL393244">
      <formula1>項目!A4:$UYE$393218</formula1>
    </dataValidation>
    <dataValidation type="list" allowBlank="1" showInputMessage="1" showErrorMessage="1" sqref="VIH393221:VIH393244">
      <formula1>項目!A4:$VIA$393218</formula1>
    </dataValidation>
    <dataValidation type="list" allowBlank="1" showInputMessage="1" showErrorMessage="1" sqref="VSD393221:VSD393244">
      <formula1>項目!A4:$VRW$393218</formula1>
    </dataValidation>
    <dataValidation type="list" allowBlank="1" showInputMessage="1" showErrorMessage="1" sqref="WBZ393221:WBZ393244">
      <formula1>項目!A4:$WBS$393218</formula1>
    </dataValidation>
    <dataValidation type="list" allowBlank="1" showInputMessage="1" showErrorMessage="1" sqref="WLV393221:WLV393244">
      <formula1>項目!A4:$WLO$393218</formula1>
    </dataValidation>
    <dataValidation type="list" allowBlank="1" showInputMessage="1" showErrorMessage="1" sqref="WVR393221:WVR393244">
      <formula1>項目!A4:$WVK$393218</formula1>
    </dataValidation>
    <dataValidation type="list" allowBlank="1" showInputMessage="1" showErrorMessage="1" sqref="JF458757:JF458780">
      <formula1>項目!A4:$IY$458754</formula1>
    </dataValidation>
    <dataValidation type="list" allowBlank="1" showInputMessage="1" showErrorMessage="1" sqref="TB458757:TB458780">
      <formula1>項目!A4:$SU$458754</formula1>
    </dataValidation>
    <dataValidation type="list" allowBlank="1" showInputMessage="1" showErrorMessage="1" sqref="ACX458757:ACX458780">
      <formula1>項目!A4:$ACQ$458754</formula1>
    </dataValidation>
    <dataValidation type="list" allowBlank="1" showInputMessage="1" showErrorMessage="1" sqref="AMT458757:AMT458780">
      <formula1>項目!A4:$AMM$458754</formula1>
    </dataValidation>
    <dataValidation type="list" allowBlank="1" showInputMessage="1" showErrorMessage="1" sqref="AWP458757:AWP458780">
      <formula1>項目!A4:$AWI$458754</formula1>
    </dataValidation>
    <dataValidation type="list" allowBlank="1" showInputMessage="1" showErrorMessage="1" sqref="BGL458757:BGL458780">
      <formula1>項目!A4:$BGE$458754</formula1>
    </dataValidation>
    <dataValidation type="list" allowBlank="1" showInputMessage="1" showErrorMessage="1" sqref="BQH458757:BQH458780">
      <formula1>項目!A4:$BQA$458754</formula1>
    </dataValidation>
    <dataValidation type="list" allowBlank="1" showInputMessage="1" showErrorMessage="1" sqref="CAD458757:CAD458780">
      <formula1>項目!A4:$BZW$458754</formula1>
    </dataValidation>
    <dataValidation type="list" allowBlank="1" showInputMessage="1" showErrorMessage="1" sqref="CJZ458757:CJZ458780">
      <formula1>項目!A4:$CJS$458754</formula1>
    </dataValidation>
    <dataValidation type="list" allowBlank="1" showInputMessage="1" showErrorMessage="1" sqref="CTV458757:CTV458780">
      <formula1>項目!A4:$CTO$458754</formula1>
    </dataValidation>
    <dataValidation type="list" allowBlank="1" showInputMessage="1" showErrorMessage="1" sqref="DDR458757:DDR458780">
      <formula1>項目!A4:$DDK$458754</formula1>
    </dataValidation>
    <dataValidation type="list" allowBlank="1" showInputMessage="1" showErrorMessage="1" sqref="DNN458757:DNN458780">
      <formula1>項目!A4:$DNG$458754</formula1>
    </dataValidation>
    <dataValidation type="list" allowBlank="1" showInputMessage="1" showErrorMessage="1" sqref="DXJ458757:DXJ458780">
      <formula1>項目!A4:$DXC$458754</formula1>
    </dataValidation>
    <dataValidation type="list" allowBlank="1" showInputMessage="1" showErrorMessage="1" sqref="EHF458757:EHF458780">
      <formula1>項目!A4:$EGY$458754</formula1>
    </dataValidation>
    <dataValidation type="list" allowBlank="1" showInputMessage="1" showErrorMessage="1" sqref="ERB458757:ERB458780">
      <formula1>項目!A4:$EQU$458754</formula1>
    </dataValidation>
    <dataValidation type="list" allowBlank="1" showInputMessage="1" showErrorMessage="1" sqref="FAX458757:FAX458780">
      <formula1>項目!A4:$FAQ$458754</formula1>
    </dataValidation>
    <dataValidation type="list" allowBlank="1" showInputMessage="1" showErrorMessage="1" sqref="FKT458757:FKT458780">
      <formula1>項目!A4:$FKM$458754</formula1>
    </dataValidation>
    <dataValidation type="list" allowBlank="1" showInputMessage="1" showErrorMessage="1" sqref="FUP458757:FUP458780">
      <formula1>項目!A4:$FUI$458754</formula1>
    </dataValidation>
    <dataValidation type="list" allowBlank="1" showInputMessage="1" showErrorMessage="1" sqref="GEL458757:GEL458780">
      <formula1>項目!A4:$GEE$458754</formula1>
    </dataValidation>
    <dataValidation type="list" allowBlank="1" showInputMessage="1" showErrorMessage="1" sqref="GOH458757:GOH458780">
      <formula1>項目!A4:$GOA$458754</formula1>
    </dataValidation>
    <dataValidation type="list" allowBlank="1" showInputMessage="1" showErrorMessage="1" sqref="GYD458757:GYD458780">
      <formula1>項目!A4:$GXW$458754</formula1>
    </dataValidation>
    <dataValidation type="list" allowBlank="1" showInputMessage="1" showErrorMessage="1" sqref="HHZ458757:HHZ458780">
      <formula1>項目!A4:$HHS$458754</formula1>
    </dataValidation>
    <dataValidation type="list" allowBlank="1" showInputMessage="1" showErrorMessage="1" sqref="HRV458757:HRV458780">
      <formula1>項目!A4:$HRO$458754</formula1>
    </dataValidation>
    <dataValidation type="list" allowBlank="1" showInputMessage="1" showErrorMessage="1" sqref="IBR458757:IBR458780">
      <formula1>項目!A4:$IBK$458754</formula1>
    </dataValidation>
    <dataValidation type="list" allowBlank="1" showInputMessage="1" showErrorMessage="1" sqref="ILN458757:ILN458780">
      <formula1>項目!A4:$ILG$458754</formula1>
    </dataValidation>
    <dataValidation type="list" allowBlank="1" showInputMessage="1" showErrorMessage="1" sqref="IVJ458757:IVJ458780">
      <formula1>項目!A4:$IVC$458754</formula1>
    </dataValidation>
    <dataValidation type="list" allowBlank="1" showInputMessage="1" showErrorMessage="1" sqref="JFF458757:JFF458780">
      <formula1>項目!A4:$JEY$458754</formula1>
    </dataValidation>
    <dataValidation type="list" allowBlank="1" showInputMessage="1" showErrorMessage="1" sqref="JPB458757:JPB458780">
      <formula1>項目!A4:$JOU$458754</formula1>
    </dataValidation>
    <dataValidation type="list" allowBlank="1" showInputMessage="1" showErrorMessage="1" sqref="JYX458757:JYX458780">
      <formula1>項目!A4:$JYQ$458754</formula1>
    </dataValidation>
    <dataValidation type="list" allowBlank="1" showInputMessage="1" showErrorMessage="1" sqref="KIT458757:KIT458780">
      <formula1>項目!A4:$KIM$458754</formula1>
    </dataValidation>
    <dataValidation type="list" allowBlank="1" showInputMessage="1" showErrorMessage="1" sqref="KSP458757:KSP458780">
      <formula1>項目!A4:$KSI$458754</formula1>
    </dataValidation>
    <dataValidation type="list" allowBlank="1" showInputMessage="1" showErrorMessage="1" sqref="LCL458757:LCL458780">
      <formula1>項目!A4:$LCE$458754</formula1>
    </dataValidation>
    <dataValidation type="list" allowBlank="1" showInputMessage="1" showErrorMessage="1" sqref="LMH458757:LMH458780">
      <formula1>項目!A4:$LMA$458754</formula1>
    </dataValidation>
    <dataValidation type="list" allowBlank="1" showInputMessage="1" showErrorMessage="1" sqref="LWD458757:LWD458780">
      <formula1>項目!A4:$LVW$458754</formula1>
    </dataValidation>
    <dataValidation type="list" allowBlank="1" showInputMessage="1" showErrorMessage="1" sqref="MFZ458757:MFZ458780">
      <formula1>項目!A4:$MFS$458754</formula1>
    </dataValidation>
    <dataValidation type="list" allowBlank="1" showInputMessage="1" showErrorMessage="1" sqref="MPV458757:MPV458780">
      <formula1>項目!A4:$MPO$458754</formula1>
    </dataValidation>
    <dataValidation type="list" allowBlank="1" showInputMessage="1" showErrorMessage="1" sqref="MZR458757:MZR458780">
      <formula1>項目!A4:$MZK$458754</formula1>
    </dataValidation>
    <dataValidation type="list" allowBlank="1" showInputMessage="1" showErrorMessage="1" sqref="NJN458757:NJN458780">
      <formula1>項目!A4:$NJG$458754</formula1>
    </dataValidation>
    <dataValidation type="list" allowBlank="1" showInputMessage="1" showErrorMessage="1" sqref="NTJ458757:NTJ458780">
      <formula1>項目!A4:$NTC$458754</formula1>
    </dataValidation>
    <dataValidation type="list" allowBlank="1" showInputMessage="1" showErrorMessage="1" sqref="ODF458757:ODF458780">
      <formula1>項目!A4:$OCY$458754</formula1>
    </dataValidation>
    <dataValidation type="list" allowBlank="1" showInputMessage="1" showErrorMessage="1" sqref="ONB458757:ONB458780">
      <formula1>項目!A4:$OMU$458754</formula1>
    </dataValidation>
    <dataValidation type="list" allowBlank="1" showInputMessage="1" showErrorMessage="1" sqref="OWX458757:OWX458780">
      <formula1>項目!A4:$OWQ$458754</formula1>
    </dataValidation>
    <dataValidation type="list" allowBlank="1" showInputMessage="1" showErrorMessage="1" sqref="PGT458757:PGT458780">
      <formula1>項目!A4:$PGM$458754</formula1>
    </dataValidation>
    <dataValidation type="list" allowBlank="1" showInputMessage="1" showErrorMessage="1" sqref="PQP458757:PQP458780">
      <formula1>項目!A4:$PQI$458754</formula1>
    </dataValidation>
    <dataValidation type="list" allowBlank="1" showInputMessage="1" showErrorMessage="1" sqref="QAL458757:QAL458780">
      <formula1>項目!A4:$QAE$458754</formula1>
    </dataValidation>
    <dataValidation type="list" allowBlank="1" showInputMessage="1" showErrorMessage="1" sqref="QKH458757:QKH458780">
      <formula1>項目!A4:$QKA$458754</formula1>
    </dataValidation>
    <dataValidation type="list" allowBlank="1" showInputMessage="1" showErrorMessage="1" sqref="QUD458757:QUD458780">
      <formula1>項目!A4:$QTW$458754</formula1>
    </dataValidation>
    <dataValidation type="list" allowBlank="1" showInputMessage="1" showErrorMessage="1" sqref="RDZ458757:RDZ458780">
      <formula1>項目!A4:$RDS$458754</formula1>
    </dataValidation>
    <dataValidation type="list" allowBlank="1" showInputMessage="1" showErrorMessage="1" sqref="RNV458757:RNV458780">
      <formula1>項目!A4:$RNO$458754</formula1>
    </dataValidation>
    <dataValidation type="list" allowBlank="1" showInputMessage="1" showErrorMessage="1" sqref="RXR458757:RXR458780">
      <formula1>項目!A4:$RXK$458754</formula1>
    </dataValidation>
    <dataValidation type="list" allowBlank="1" showInputMessage="1" showErrorMessage="1" sqref="SHN458757:SHN458780">
      <formula1>項目!A4:$SHG$458754</formula1>
    </dataValidation>
    <dataValidation type="list" allowBlank="1" showInputMessage="1" showErrorMessage="1" sqref="SRJ458757:SRJ458780">
      <formula1>項目!A4:$SRC$458754</formula1>
    </dataValidation>
    <dataValidation type="list" allowBlank="1" showInputMessage="1" showErrorMessage="1" sqref="TBF458757:TBF458780">
      <formula1>項目!A4:$TAY$458754</formula1>
    </dataValidation>
    <dataValidation type="list" allowBlank="1" showInputMessage="1" showErrorMessage="1" sqref="TLB458757:TLB458780">
      <formula1>項目!A4:$TKU$458754</formula1>
    </dataValidation>
    <dataValidation type="list" allowBlank="1" showInputMessage="1" showErrorMessage="1" sqref="TUX458757:TUX458780">
      <formula1>項目!A4:$TUQ$458754</formula1>
    </dataValidation>
    <dataValidation type="list" allowBlank="1" showInputMessage="1" showErrorMessage="1" sqref="UET458757:UET458780">
      <formula1>項目!A4:$UEM$458754</formula1>
    </dataValidation>
    <dataValidation type="list" allowBlank="1" showInputMessage="1" showErrorMessage="1" sqref="UOP458757:UOP458780">
      <formula1>項目!A4:$UOI$458754</formula1>
    </dataValidation>
    <dataValidation type="list" allowBlank="1" showInputMessage="1" showErrorMessage="1" sqref="UYL458757:UYL458780">
      <formula1>項目!A4:$UYE$458754</formula1>
    </dataValidation>
    <dataValidation type="list" allowBlank="1" showInputMessage="1" showErrorMessage="1" sqref="VIH458757:VIH458780">
      <formula1>項目!A4:$VIA$458754</formula1>
    </dataValidation>
    <dataValidation type="list" allowBlank="1" showInputMessage="1" showErrorMessage="1" sqref="VSD458757:VSD458780">
      <formula1>項目!A4:$VRW$458754</formula1>
    </dataValidation>
    <dataValidation type="list" allowBlank="1" showInputMessage="1" showErrorMessage="1" sqref="WBZ458757:WBZ458780">
      <formula1>項目!A4:$WBS$458754</formula1>
    </dataValidation>
    <dataValidation type="list" allowBlank="1" showInputMessage="1" showErrorMessage="1" sqref="WLV458757:WLV458780">
      <formula1>項目!A4:$WLO$458754</formula1>
    </dataValidation>
    <dataValidation type="list" allowBlank="1" showInputMessage="1" showErrorMessage="1" sqref="WVR458757:WVR458780">
      <formula1>項目!A4:$WVK$458754</formula1>
    </dataValidation>
    <dataValidation type="list" allowBlank="1" showInputMessage="1" showErrorMessage="1" sqref="JF524293:JF524316">
      <formula1>項目!A4:$IY$524290</formula1>
    </dataValidation>
    <dataValidation type="list" allowBlank="1" showInputMessage="1" showErrorMessage="1" sqref="TB524293:TB524316">
      <formula1>項目!A4:$SU$524290</formula1>
    </dataValidation>
    <dataValidation type="list" allowBlank="1" showInputMessage="1" showErrorMessage="1" sqref="ACX524293:ACX524316">
      <formula1>項目!A4:$ACQ$524290</formula1>
    </dataValidation>
    <dataValidation type="list" allowBlank="1" showInputMessage="1" showErrorMessage="1" sqref="AMT524293:AMT524316">
      <formula1>項目!A4:$AMM$524290</formula1>
    </dataValidation>
    <dataValidation type="list" allowBlank="1" showInputMessage="1" showErrorMessage="1" sqref="AWP524293:AWP524316">
      <formula1>項目!A4:$AWI$524290</formula1>
    </dataValidation>
    <dataValidation type="list" allowBlank="1" showInputMessage="1" showErrorMessage="1" sqref="BGL524293:BGL524316">
      <formula1>項目!A4:$BGE$524290</formula1>
    </dataValidation>
    <dataValidation type="list" allowBlank="1" showInputMessage="1" showErrorMessage="1" sqref="BQH524293:BQH524316">
      <formula1>項目!A4:$BQA$524290</formula1>
    </dataValidation>
    <dataValidation type="list" allowBlank="1" showInputMessage="1" showErrorMessage="1" sqref="CAD524293:CAD524316">
      <formula1>項目!A4:$BZW$524290</formula1>
    </dataValidation>
    <dataValidation type="list" allowBlank="1" showInputMessage="1" showErrorMessage="1" sqref="CJZ524293:CJZ524316">
      <formula1>項目!A4:$CJS$524290</formula1>
    </dataValidation>
    <dataValidation type="list" allowBlank="1" showInputMessage="1" showErrorMessage="1" sqref="CTV524293:CTV524316">
      <formula1>項目!A4:$CTO$524290</formula1>
    </dataValidation>
    <dataValidation type="list" allowBlank="1" showInputMessage="1" showErrorMessage="1" sqref="DDR524293:DDR524316">
      <formula1>項目!A4:$DDK$524290</formula1>
    </dataValidation>
    <dataValidation type="list" allowBlank="1" showInputMessage="1" showErrorMessage="1" sqref="DNN524293:DNN524316">
      <formula1>項目!A4:$DNG$524290</formula1>
    </dataValidation>
    <dataValidation type="list" allowBlank="1" showInputMessage="1" showErrorMessage="1" sqref="DXJ524293:DXJ524316">
      <formula1>項目!A4:$DXC$524290</formula1>
    </dataValidation>
    <dataValidation type="list" allowBlank="1" showInputMessage="1" showErrorMessage="1" sqref="EHF524293:EHF524316">
      <formula1>項目!A4:$EGY$524290</formula1>
    </dataValidation>
    <dataValidation type="list" allowBlank="1" showInputMessage="1" showErrorMessage="1" sqref="ERB524293:ERB524316">
      <formula1>項目!A4:$EQU$524290</formula1>
    </dataValidation>
    <dataValidation type="list" allowBlank="1" showInputMessage="1" showErrorMessage="1" sqref="FAX524293:FAX524316">
      <formula1>項目!A4:$FAQ$524290</formula1>
    </dataValidation>
    <dataValidation type="list" allowBlank="1" showInputMessage="1" showErrorMessage="1" sqref="FKT524293:FKT524316">
      <formula1>項目!A4:$FKM$524290</formula1>
    </dataValidation>
    <dataValidation type="list" allowBlank="1" showInputMessage="1" showErrorMessage="1" sqref="FUP524293:FUP524316">
      <formula1>項目!A4:$FUI$524290</formula1>
    </dataValidation>
    <dataValidation type="list" allowBlank="1" showInputMessage="1" showErrorMessage="1" sqref="GEL524293:GEL524316">
      <formula1>項目!A4:$GEE$524290</formula1>
    </dataValidation>
    <dataValidation type="list" allowBlank="1" showInputMessage="1" showErrorMessage="1" sqref="GOH524293:GOH524316">
      <formula1>項目!A4:$GOA$524290</formula1>
    </dataValidation>
    <dataValidation type="list" allowBlank="1" showInputMessage="1" showErrorMessage="1" sqref="GYD524293:GYD524316">
      <formula1>項目!A4:$GXW$524290</formula1>
    </dataValidation>
    <dataValidation type="list" allowBlank="1" showInputMessage="1" showErrorMessage="1" sqref="HHZ524293:HHZ524316">
      <formula1>項目!A4:$HHS$524290</formula1>
    </dataValidation>
    <dataValidation type="list" allowBlank="1" showInputMessage="1" showErrorMessage="1" sqref="HRV524293:HRV524316">
      <formula1>項目!A4:$HRO$524290</formula1>
    </dataValidation>
    <dataValidation type="list" allowBlank="1" showInputMessage="1" showErrorMessage="1" sqref="IBR524293:IBR524316">
      <formula1>項目!A4:$IBK$524290</formula1>
    </dataValidation>
    <dataValidation type="list" allowBlank="1" showInputMessage="1" showErrorMessage="1" sqref="ILN524293:ILN524316">
      <formula1>項目!A4:$ILG$524290</formula1>
    </dataValidation>
    <dataValidation type="list" allowBlank="1" showInputMessage="1" showErrorMessage="1" sqref="IVJ524293:IVJ524316">
      <formula1>項目!A4:$IVC$524290</formula1>
    </dataValidation>
    <dataValidation type="list" allowBlank="1" showInputMessage="1" showErrorMessage="1" sqref="JFF524293:JFF524316">
      <formula1>項目!A4:$JEY$524290</formula1>
    </dataValidation>
    <dataValidation type="list" allowBlank="1" showInputMessage="1" showErrorMessage="1" sqref="JPB524293:JPB524316">
      <formula1>項目!A4:$JOU$524290</formula1>
    </dataValidation>
    <dataValidation type="list" allowBlank="1" showInputMessage="1" showErrorMessage="1" sqref="JYX524293:JYX524316">
      <formula1>項目!A4:$JYQ$524290</formula1>
    </dataValidation>
    <dataValidation type="list" allowBlank="1" showInputMessage="1" showErrorMessage="1" sqref="KIT524293:KIT524316">
      <formula1>項目!A4:$KIM$524290</formula1>
    </dataValidation>
    <dataValidation type="list" allowBlank="1" showInputMessage="1" showErrorMessage="1" sqref="KSP524293:KSP524316">
      <formula1>項目!A4:$KSI$524290</formula1>
    </dataValidation>
    <dataValidation type="list" allowBlank="1" showInputMessage="1" showErrorMessage="1" sqref="LCL524293:LCL524316">
      <formula1>項目!A4:$LCE$524290</formula1>
    </dataValidation>
    <dataValidation type="list" allowBlank="1" showInputMessage="1" showErrorMessage="1" sqref="LMH524293:LMH524316">
      <formula1>項目!A4:$LMA$524290</formula1>
    </dataValidation>
    <dataValidation type="list" allowBlank="1" showInputMessage="1" showErrorMessage="1" sqref="LWD524293:LWD524316">
      <formula1>項目!A4:$LVW$524290</formula1>
    </dataValidation>
    <dataValidation type="list" allowBlank="1" showInputMessage="1" showErrorMessage="1" sqref="MFZ524293:MFZ524316">
      <formula1>項目!A4:$MFS$524290</formula1>
    </dataValidation>
    <dataValidation type="list" allowBlank="1" showInputMessage="1" showErrorMessage="1" sqref="MPV524293:MPV524316">
      <formula1>項目!A4:$MPO$524290</formula1>
    </dataValidation>
    <dataValidation type="list" allowBlank="1" showInputMessage="1" showErrorMessage="1" sqref="MZR524293:MZR524316">
      <formula1>項目!A4:$MZK$524290</formula1>
    </dataValidation>
    <dataValidation type="list" allowBlank="1" showInputMessage="1" showErrorMessage="1" sqref="NJN524293:NJN524316">
      <formula1>項目!A4:$NJG$524290</formula1>
    </dataValidation>
    <dataValidation type="list" allowBlank="1" showInputMessage="1" showErrorMessage="1" sqref="NTJ524293:NTJ524316">
      <formula1>項目!A4:$NTC$524290</formula1>
    </dataValidation>
    <dataValidation type="list" allowBlank="1" showInputMessage="1" showErrorMessage="1" sqref="ODF524293:ODF524316">
      <formula1>項目!A4:$OCY$524290</formula1>
    </dataValidation>
    <dataValidation type="list" allowBlank="1" showInputMessage="1" showErrorMessage="1" sqref="ONB524293:ONB524316">
      <formula1>項目!A4:$OMU$524290</formula1>
    </dataValidation>
    <dataValidation type="list" allowBlank="1" showInputMessage="1" showErrorMessage="1" sqref="OWX524293:OWX524316">
      <formula1>項目!A4:$OWQ$524290</formula1>
    </dataValidation>
    <dataValidation type="list" allowBlank="1" showInputMessage="1" showErrorMessage="1" sqref="PGT524293:PGT524316">
      <formula1>項目!A4:$PGM$524290</formula1>
    </dataValidation>
    <dataValidation type="list" allowBlank="1" showInputMessage="1" showErrorMessage="1" sqref="PQP524293:PQP524316">
      <formula1>項目!A4:$PQI$524290</formula1>
    </dataValidation>
    <dataValidation type="list" allowBlank="1" showInputMessage="1" showErrorMessage="1" sqref="QAL524293:QAL524316">
      <formula1>項目!A4:$QAE$524290</formula1>
    </dataValidation>
    <dataValidation type="list" allowBlank="1" showInputMessage="1" showErrorMessage="1" sqref="QKH524293:QKH524316">
      <formula1>項目!A4:$QKA$524290</formula1>
    </dataValidation>
    <dataValidation type="list" allowBlank="1" showInputMessage="1" showErrorMessage="1" sqref="QUD524293:QUD524316">
      <formula1>項目!A4:$QTW$524290</formula1>
    </dataValidation>
    <dataValidation type="list" allowBlank="1" showInputMessage="1" showErrorMessage="1" sqref="RDZ524293:RDZ524316">
      <formula1>項目!A4:$RDS$524290</formula1>
    </dataValidation>
    <dataValidation type="list" allowBlank="1" showInputMessage="1" showErrorMessage="1" sqref="RNV524293:RNV524316">
      <formula1>項目!A4:$RNO$524290</formula1>
    </dataValidation>
    <dataValidation type="list" allowBlank="1" showInputMessage="1" showErrorMessage="1" sqref="RXR524293:RXR524316">
      <formula1>項目!A4:$RXK$524290</formula1>
    </dataValidation>
    <dataValidation type="list" allowBlank="1" showInputMessage="1" showErrorMessage="1" sqref="SHN524293:SHN524316">
      <formula1>項目!A4:$SHG$524290</formula1>
    </dataValidation>
    <dataValidation type="list" allowBlank="1" showInputMessage="1" showErrorMessage="1" sqref="SRJ524293:SRJ524316">
      <formula1>項目!A4:$SRC$524290</formula1>
    </dataValidation>
    <dataValidation type="list" allowBlank="1" showInputMessage="1" showErrorMessage="1" sqref="TBF524293:TBF524316">
      <formula1>項目!A4:$TAY$524290</formula1>
    </dataValidation>
    <dataValidation type="list" allowBlank="1" showInputMessage="1" showErrorMessage="1" sqref="TLB524293:TLB524316">
      <formula1>項目!A4:$TKU$524290</formula1>
    </dataValidation>
    <dataValidation type="list" allowBlank="1" showInputMessage="1" showErrorMessage="1" sqref="TUX524293:TUX524316">
      <formula1>項目!A4:$TUQ$524290</formula1>
    </dataValidation>
    <dataValidation type="list" allowBlank="1" showInputMessage="1" showErrorMessage="1" sqref="UET524293:UET524316">
      <formula1>項目!A4:$UEM$524290</formula1>
    </dataValidation>
    <dataValidation type="list" allowBlank="1" showInputMessage="1" showErrorMessage="1" sqref="UOP524293:UOP524316">
      <formula1>項目!A4:$UOI$524290</formula1>
    </dataValidation>
    <dataValidation type="list" allowBlank="1" showInputMessage="1" showErrorMessage="1" sqref="UYL524293:UYL524316">
      <formula1>項目!A4:$UYE$524290</formula1>
    </dataValidation>
    <dataValidation type="list" allowBlank="1" showInputMessage="1" showErrorMessage="1" sqref="VIH524293:VIH524316">
      <formula1>項目!A4:$VIA$524290</formula1>
    </dataValidation>
    <dataValidation type="list" allowBlank="1" showInputMessage="1" showErrorMessage="1" sqref="VSD524293:VSD524316">
      <formula1>項目!A4:$VRW$524290</formula1>
    </dataValidation>
    <dataValidation type="list" allowBlank="1" showInputMessage="1" showErrorMessage="1" sqref="WBZ524293:WBZ524316">
      <formula1>項目!A4:$WBS$524290</formula1>
    </dataValidation>
    <dataValidation type="list" allowBlank="1" showInputMessage="1" showErrorMessage="1" sqref="WLV524293:WLV524316">
      <formula1>項目!A4:$WLO$524290</formula1>
    </dataValidation>
    <dataValidation type="list" allowBlank="1" showInputMessage="1" showErrorMessage="1" sqref="WVR524293:WVR524316">
      <formula1>項目!A4:$WVK$524290</formula1>
    </dataValidation>
    <dataValidation type="list" allowBlank="1" showInputMessage="1" showErrorMessage="1" sqref="JF589829:JF589852">
      <formula1>項目!A4:$IY$589826</formula1>
    </dataValidation>
    <dataValidation type="list" allowBlank="1" showInputMessage="1" showErrorMessage="1" sqref="TB589829:TB589852">
      <formula1>項目!A4:$SU$589826</formula1>
    </dataValidation>
    <dataValidation type="list" allowBlank="1" showInputMessage="1" showErrorMessage="1" sqref="ACX589829:ACX589852">
      <formula1>項目!A4:$ACQ$589826</formula1>
    </dataValidation>
    <dataValidation type="list" allowBlank="1" showInputMessage="1" showErrorMessage="1" sqref="AMT589829:AMT589852">
      <formula1>項目!A4:$AMM$589826</formula1>
    </dataValidation>
    <dataValidation type="list" allowBlank="1" showInputMessage="1" showErrorMessage="1" sqref="AWP589829:AWP589852">
      <formula1>項目!A4:$AWI$589826</formula1>
    </dataValidation>
    <dataValidation type="list" allowBlank="1" showInputMessage="1" showErrorMessage="1" sqref="BGL589829:BGL589852">
      <formula1>項目!A4:$BGE$589826</formula1>
    </dataValidation>
    <dataValidation type="list" allowBlank="1" showInputMessage="1" showErrorMessage="1" sqref="BQH589829:BQH589852">
      <formula1>項目!A4:$BQA$589826</formula1>
    </dataValidation>
    <dataValidation type="list" allowBlank="1" showInputMessage="1" showErrorMessage="1" sqref="CAD589829:CAD589852">
      <formula1>項目!A4:$BZW$589826</formula1>
    </dataValidation>
    <dataValidation type="list" allowBlank="1" showInputMessage="1" showErrorMessage="1" sqref="CJZ589829:CJZ589852">
      <formula1>項目!A4:$CJS$589826</formula1>
    </dataValidation>
    <dataValidation type="list" allowBlank="1" showInputMessage="1" showErrorMessage="1" sqref="CTV589829:CTV589852">
      <formula1>項目!A4:$CTO$589826</formula1>
    </dataValidation>
    <dataValidation type="list" allowBlank="1" showInputMessage="1" showErrorMessage="1" sqref="DDR589829:DDR589852">
      <formula1>項目!A4:$DDK$589826</formula1>
    </dataValidation>
    <dataValidation type="list" allowBlank="1" showInputMessage="1" showErrorMessage="1" sqref="DNN589829:DNN589852">
      <formula1>項目!A4:$DNG$589826</formula1>
    </dataValidation>
    <dataValidation type="list" allowBlank="1" showInputMessage="1" showErrorMessage="1" sqref="DXJ589829:DXJ589852">
      <formula1>項目!A4:$DXC$589826</formula1>
    </dataValidation>
    <dataValidation type="list" allowBlank="1" showInputMessage="1" showErrorMessage="1" sqref="EHF589829:EHF589852">
      <formula1>項目!A4:$EGY$589826</formula1>
    </dataValidation>
    <dataValidation type="list" allowBlank="1" showInputMessage="1" showErrorMessage="1" sqref="ERB589829:ERB589852">
      <formula1>項目!A4:$EQU$589826</formula1>
    </dataValidation>
    <dataValidation type="list" allowBlank="1" showInputMessage="1" showErrorMessage="1" sqref="FAX589829:FAX589852">
      <formula1>項目!A4:$FAQ$589826</formula1>
    </dataValidation>
    <dataValidation type="list" allowBlank="1" showInputMessage="1" showErrorMessage="1" sqref="FKT589829:FKT589852">
      <formula1>項目!A4:$FKM$589826</formula1>
    </dataValidation>
    <dataValidation type="list" allowBlank="1" showInputMessage="1" showErrorMessage="1" sqref="FUP589829:FUP589852">
      <formula1>項目!A4:$FUI$589826</formula1>
    </dataValidation>
    <dataValidation type="list" allowBlank="1" showInputMessage="1" showErrorMessage="1" sqref="GEL589829:GEL589852">
      <formula1>項目!A4:$GEE$589826</formula1>
    </dataValidation>
    <dataValidation type="list" allowBlank="1" showInputMessage="1" showErrorMessage="1" sqref="GOH589829:GOH589852">
      <formula1>項目!A4:$GOA$589826</formula1>
    </dataValidation>
    <dataValidation type="list" allowBlank="1" showInputMessage="1" showErrorMessage="1" sqref="GYD589829:GYD589852">
      <formula1>項目!A4:$GXW$589826</formula1>
    </dataValidation>
    <dataValidation type="list" allowBlank="1" showInputMessage="1" showErrorMessage="1" sqref="HHZ589829:HHZ589852">
      <formula1>項目!A4:$HHS$589826</formula1>
    </dataValidation>
    <dataValidation type="list" allowBlank="1" showInputMessage="1" showErrorMessage="1" sqref="HRV589829:HRV589852">
      <formula1>項目!A4:$HRO$589826</formula1>
    </dataValidation>
    <dataValidation type="list" allowBlank="1" showInputMessage="1" showErrorMessage="1" sqref="IBR589829:IBR589852">
      <formula1>項目!A4:$IBK$589826</formula1>
    </dataValidation>
    <dataValidation type="list" allowBlank="1" showInputMessage="1" showErrorMessage="1" sqref="ILN589829:ILN589852">
      <formula1>項目!A4:$ILG$589826</formula1>
    </dataValidation>
    <dataValidation type="list" allowBlank="1" showInputMessage="1" showErrorMessage="1" sqref="IVJ589829:IVJ589852">
      <formula1>項目!A4:$IVC$589826</formula1>
    </dataValidation>
    <dataValidation type="list" allowBlank="1" showInputMessage="1" showErrorMessage="1" sqref="JFF589829:JFF589852">
      <formula1>項目!A4:$JEY$589826</formula1>
    </dataValidation>
    <dataValidation type="list" allowBlank="1" showInputMessage="1" showErrorMessage="1" sqref="JPB589829:JPB589852">
      <formula1>項目!A4:$JOU$589826</formula1>
    </dataValidation>
    <dataValidation type="list" allowBlank="1" showInputMessage="1" showErrorMessage="1" sqref="JYX589829:JYX589852">
      <formula1>項目!A4:$JYQ$589826</formula1>
    </dataValidation>
    <dataValidation type="list" allowBlank="1" showInputMessage="1" showErrorMessage="1" sqref="KIT589829:KIT589852">
      <formula1>項目!A4:$KIM$589826</formula1>
    </dataValidation>
    <dataValidation type="list" allowBlank="1" showInputMessage="1" showErrorMessage="1" sqref="KSP589829:KSP589852">
      <formula1>項目!A4:$KSI$589826</formula1>
    </dataValidation>
    <dataValidation type="list" allowBlank="1" showInputMessage="1" showErrorMessage="1" sqref="LCL589829:LCL589852">
      <formula1>項目!A4:$LCE$589826</formula1>
    </dataValidation>
    <dataValidation type="list" allowBlank="1" showInputMessage="1" showErrorMessage="1" sqref="LMH589829:LMH589852">
      <formula1>項目!A4:$LMA$589826</formula1>
    </dataValidation>
    <dataValidation type="list" allowBlank="1" showInputMessage="1" showErrorMessage="1" sqref="LWD589829:LWD589852">
      <formula1>項目!A4:$LVW$589826</formula1>
    </dataValidation>
    <dataValidation type="list" allowBlank="1" showInputMessage="1" showErrorMessage="1" sqref="MFZ589829:MFZ589852">
      <formula1>項目!A4:$MFS$589826</formula1>
    </dataValidation>
    <dataValidation type="list" allowBlank="1" showInputMessage="1" showErrorMessage="1" sqref="MPV589829:MPV589852">
      <formula1>項目!A4:$MPO$589826</formula1>
    </dataValidation>
    <dataValidation type="list" allowBlank="1" showInputMessage="1" showErrorMessage="1" sqref="MZR589829:MZR589852">
      <formula1>項目!A4:$MZK$589826</formula1>
    </dataValidation>
    <dataValidation type="list" allowBlank="1" showInputMessage="1" showErrorMessage="1" sqref="NJN589829:NJN589852">
      <formula1>項目!A4:$NJG$589826</formula1>
    </dataValidation>
    <dataValidation type="list" allowBlank="1" showInputMessage="1" showErrorMessage="1" sqref="NTJ589829:NTJ589852">
      <formula1>項目!A4:$NTC$589826</formula1>
    </dataValidation>
    <dataValidation type="list" allowBlank="1" showInputMessage="1" showErrorMessage="1" sqref="ODF589829:ODF589852">
      <formula1>項目!A4:$OCY$589826</formula1>
    </dataValidation>
    <dataValidation type="list" allowBlank="1" showInputMessage="1" showErrorMessage="1" sqref="ONB589829:ONB589852">
      <formula1>項目!A4:$OMU$589826</formula1>
    </dataValidation>
    <dataValidation type="list" allowBlank="1" showInputMessage="1" showErrorMessage="1" sqref="OWX589829:OWX589852">
      <formula1>項目!A4:$OWQ$589826</formula1>
    </dataValidation>
    <dataValidation type="list" allowBlank="1" showInputMessage="1" showErrorMessage="1" sqref="PGT589829:PGT589852">
      <formula1>項目!A4:$PGM$589826</formula1>
    </dataValidation>
    <dataValidation type="list" allowBlank="1" showInputMessage="1" showErrorMessage="1" sqref="PQP589829:PQP589852">
      <formula1>項目!A4:$PQI$589826</formula1>
    </dataValidation>
    <dataValidation type="list" allowBlank="1" showInputMessage="1" showErrorMessage="1" sqref="QAL589829:QAL589852">
      <formula1>項目!A4:$QAE$589826</formula1>
    </dataValidation>
    <dataValidation type="list" allowBlank="1" showInputMessage="1" showErrorMessage="1" sqref="QKH589829:QKH589852">
      <formula1>項目!A4:$QKA$589826</formula1>
    </dataValidation>
    <dataValidation type="list" allowBlank="1" showInputMessage="1" showErrorMessage="1" sqref="QUD589829:QUD589852">
      <formula1>項目!A4:$QTW$589826</formula1>
    </dataValidation>
    <dataValidation type="list" allowBlank="1" showInputMessage="1" showErrorMessage="1" sqref="RDZ589829:RDZ589852">
      <formula1>項目!A4:$RDS$589826</formula1>
    </dataValidation>
    <dataValidation type="list" allowBlank="1" showInputMessage="1" showErrorMessage="1" sqref="RNV589829:RNV589852">
      <formula1>項目!A4:$RNO$589826</formula1>
    </dataValidation>
    <dataValidation type="list" allowBlank="1" showInputMessage="1" showErrorMessage="1" sqref="RXR589829:RXR589852">
      <formula1>項目!A4:$RXK$589826</formula1>
    </dataValidation>
    <dataValidation type="list" allowBlank="1" showInputMessage="1" showErrorMessage="1" sqref="SHN589829:SHN589852">
      <formula1>項目!A4:$SHG$589826</formula1>
    </dataValidation>
    <dataValidation type="list" allowBlank="1" showInputMessage="1" showErrorMessage="1" sqref="SRJ589829:SRJ589852">
      <formula1>項目!A4:$SRC$589826</formula1>
    </dataValidation>
    <dataValidation type="list" allowBlank="1" showInputMessage="1" showErrorMessage="1" sqref="TBF589829:TBF589852">
      <formula1>項目!A4:$TAY$589826</formula1>
    </dataValidation>
    <dataValidation type="list" allowBlank="1" showInputMessage="1" showErrorMessage="1" sqref="TLB589829:TLB589852">
      <formula1>項目!A4:$TKU$589826</formula1>
    </dataValidation>
    <dataValidation type="list" allowBlank="1" showInputMessage="1" showErrorMessage="1" sqref="TUX589829:TUX589852">
      <formula1>項目!A4:$TUQ$589826</formula1>
    </dataValidation>
    <dataValidation type="list" allowBlank="1" showInputMessage="1" showErrorMessage="1" sqref="UET589829:UET589852">
      <formula1>項目!A4:$UEM$589826</formula1>
    </dataValidation>
    <dataValidation type="list" allowBlank="1" showInputMessage="1" showErrorMessage="1" sqref="UOP589829:UOP589852">
      <formula1>項目!A4:$UOI$589826</formula1>
    </dataValidation>
    <dataValidation type="list" allowBlank="1" showInputMessage="1" showErrorMessage="1" sqref="UYL589829:UYL589852">
      <formula1>項目!A4:$UYE$589826</formula1>
    </dataValidation>
    <dataValidation type="list" allowBlank="1" showInputMessage="1" showErrorMessage="1" sqref="VIH589829:VIH589852">
      <formula1>項目!A4:$VIA$589826</formula1>
    </dataValidation>
    <dataValidation type="list" allowBlank="1" showInputMessage="1" showErrorMessage="1" sqref="VSD589829:VSD589852">
      <formula1>項目!A4:$VRW$589826</formula1>
    </dataValidation>
    <dataValidation type="list" allowBlank="1" showInputMessage="1" showErrorMessage="1" sqref="WBZ589829:WBZ589852">
      <formula1>項目!A4:$WBS$589826</formula1>
    </dataValidation>
    <dataValidation type="list" allowBlank="1" showInputMessage="1" showErrorMessage="1" sqref="WLV589829:WLV589852">
      <formula1>項目!A4:$WLO$589826</formula1>
    </dataValidation>
    <dataValidation type="list" allowBlank="1" showInputMessage="1" showErrorMessage="1" sqref="WVR589829:WVR589852">
      <formula1>項目!A4:$WVK$589826</formula1>
    </dataValidation>
    <dataValidation type="list" allowBlank="1" showInputMessage="1" showErrorMessage="1" sqref="JF655365:JF655388">
      <formula1>項目!A4:$IY$655362</formula1>
    </dataValidation>
    <dataValidation type="list" allowBlank="1" showInputMessage="1" showErrorMessage="1" sqref="TB655365:TB655388">
      <formula1>項目!A4:$SU$655362</formula1>
    </dataValidation>
    <dataValidation type="list" allowBlank="1" showInputMessage="1" showErrorMessage="1" sqref="ACX655365:ACX655388">
      <formula1>項目!A4:$ACQ$655362</formula1>
    </dataValidation>
    <dataValidation type="list" allowBlank="1" showInputMessage="1" showErrorMessage="1" sqref="AMT655365:AMT655388">
      <formula1>項目!A4:$AMM$655362</formula1>
    </dataValidation>
    <dataValidation type="list" allowBlank="1" showInputMessage="1" showErrorMessage="1" sqref="AWP655365:AWP655388">
      <formula1>項目!A4:$AWI$655362</formula1>
    </dataValidation>
    <dataValidation type="list" allowBlank="1" showInputMessage="1" showErrorMessage="1" sqref="BGL655365:BGL655388">
      <formula1>項目!A4:$BGE$655362</formula1>
    </dataValidation>
    <dataValidation type="list" allowBlank="1" showInputMessage="1" showErrorMessage="1" sqref="BQH655365:BQH655388">
      <formula1>項目!A4:$BQA$655362</formula1>
    </dataValidation>
    <dataValidation type="list" allowBlank="1" showInputMessage="1" showErrorMessage="1" sqref="CAD655365:CAD655388">
      <formula1>項目!A4:$BZW$655362</formula1>
    </dataValidation>
    <dataValidation type="list" allowBlank="1" showInputMessage="1" showErrorMessage="1" sqref="CJZ655365:CJZ655388">
      <formula1>項目!A4:$CJS$655362</formula1>
    </dataValidation>
    <dataValidation type="list" allowBlank="1" showInputMessage="1" showErrorMessage="1" sqref="CTV655365:CTV655388">
      <formula1>項目!A4:$CTO$655362</formula1>
    </dataValidation>
    <dataValidation type="list" allowBlank="1" showInputMessage="1" showErrorMessage="1" sqref="DDR655365:DDR655388">
      <formula1>項目!A4:$DDK$655362</formula1>
    </dataValidation>
    <dataValidation type="list" allowBlank="1" showInputMessage="1" showErrorMessage="1" sqref="DNN655365:DNN655388">
      <formula1>項目!A4:$DNG$655362</formula1>
    </dataValidation>
    <dataValidation type="list" allowBlank="1" showInputMessage="1" showErrorMessage="1" sqref="DXJ655365:DXJ655388">
      <formula1>項目!A4:$DXC$655362</formula1>
    </dataValidation>
    <dataValidation type="list" allowBlank="1" showInputMessage="1" showErrorMessage="1" sqref="EHF655365:EHF655388">
      <formula1>項目!A4:$EGY$655362</formula1>
    </dataValidation>
    <dataValidation type="list" allowBlank="1" showInputMessage="1" showErrorMessage="1" sqref="ERB655365:ERB655388">
      <formula1>項目!A4:$EQU$655362</formula1>
    </dataValidation>
    <dataValidation type="list" allowBlank="1" showInputMessage="1" showErrorMessage="1" sqref="FAX655365:FAX655388">
      <formula1>項目!A4:$FAQ$655362</formula1>
    </dataValidation>
    <dataValidation type="list" allowBlank="1" showInputMessage="1" showErrorMessage="1" sqref="FKT655365:FKT655388">
      <formula1>項目!A4:$FKM$655362</formula1>
    </dataValidation>
    <dataValidation type="list" allowBlank="1" showInputMessage="1" showErrorMessage="1" sqref="FUP655365:FUP655388">
      <formula1>項目!A4:$FUI$655362</formula1>
    </dataValidation>
    <dataValidation type="list" allowBlank="1" showInputMessage="1" showErrorMessage="1" sqref="GEL655365:GEL655388">
      <formula1>項目!A4:$GEE$655362</formula1>
    </dataValidation>
    <dataValidation type="list" allowBlank="1" showInputMessage="1" showErrorMessage="1" sqref="GOH655365:GOH655388">
      <formula1>項目!A4:$GOA$655362</formula1>
    </dataValidation>
    <dataValidation type="list" allowBlank="1" showInputMessage="1" showErrorMessage="1" sqref="GYD655365:GYD655388">
      <formula1>項目!A4:$GXW$655362</formula1>
    </dataValidation>
    <dataValidation type="list" allowBlank="1" showInputMessage="1" showErrorMessage="1" sqref="HHZ655365:HHZ655388">
      <formula1>項目!A4:$HHS$655362</formula1>
    </dataValidation>
    <dataValidation type="list" allowBlank="1" showInputMessage="1" showErrorMessage="1" sqref="HRV655365:HRV655388">
      <formula1>項目!A4:$HRO$655362</formula1>
    </dataValidation>
    <dataValidation type="list" allowBlank="1" showInputMessage="1" showErrorMessage="1" sqref="IBR655365:IBR655388">
      <formula1>項目!A4:$IBK$655362</formula1>
    </dataValidation>
    <dataValidation type="list" allowBlank="1" showInputMessage="1" showErrorMessage="1" sqref="ILN655365:ILN655388">
      <formula1>項目!A4:$ILG$655362</formula1>
    </dataValidation>
    <dataValidation type="list" allowBlank="1" showInputMessage="1" showErrorMessage="1" sqref="IVJ655365:IVJ655388">
      <formula1>項目!A4:$IVC$655362</formula1>
    </dataValidation>
    <dataValidation type="list" allowBlank="1" showInputMessage="1" showErrorMessage="1" sqref="JFF655365:JFF655388">
      <formula1>項目!A4:$JEY$655362</formula1>
    </dataValidation>
    <dataValidation type="list" allowBlank="1" showInputMessage="1" showErrorMessage="1" sqref="JPB655365:JPB655388">
      <formula1>項目!A4:$JOU$655362</formula1>
    </dataValidation>
    <dataValidation type="list" allowBlank="1" showInputMessage="1" showErrorMessage="1" sqref="JYX655365:JYX655388">
      <formula1>項目!A4:$JYQ$655362</formula1>
    </dataValidation>
    <dataValidation type="list" allowBlank="1" showInputMessage="1" showErrorMessage="1" sqref="KIT655365:KIT655388">
      <formula1>項目!A4:$KIM$655362</formula1>
    </dataValidation>
    <dataValidation type="list" allowBlank="1" showInputMessage="1" showErrorMessage="1" sqref="KSP655365:KSP655388">
      <formula1>項目!A4:$KSI$655362</formula1>
    </dataValidation>
    <dataValidation type="list" allowBlank="1" showInputMessage="1" showErrorMessage="1" sqref="LCL655365:LCL655388">
      <formula1>項目!A4:$LCE$655362</formula1>
    </dataValidation>
    <dataValidation type="list" allowBlank="1" showInputMessage="1" showErrorMessage="1" sqref="LMH655365:LMH655388">
      <formula1>項目!A4:$LMA$655362</formula1>
    </dataValidation>
    <dataValidation type="list" allowBlank="1" showInputMessage="1" showErrorMessage="1" sqref="LWD655365:LWD655388">
      <formula1>項目!A4:$LVW$655362</formula1>
    </dataValidation>
    <dataValidation type="list" allowBlank="1" showInputMessage="1" showErrorMessage="1" sqref="MFZ655365:MFZ655388">
      <formula1>項目!A4:$MFS$655362</formula1>
    </dataValidation>
    <dataValidation type="list" allowBlank="1" showInputMessage="1" showErrorMessage="1" sqref="MPV655365:MPV655388">
      <formula1>項目!A4:$MPO$655362</formula1>
    </dataValidation>
    <dataValidation type="list" allowBlank="1" showInputMessage="1" showErrorMessage="1" sqref="MZR655365:MZR655388">
      <formula1>項目!A4:$MZK$655362</formula1>
    </dataValidation>
    <dataValidation type="list" allowBlank="1" showInputMessage="1" showErrorMessage="1" sqref="NJN655365:NJN655388">
      <formula1>項目!A4:$NJG$655362</formula1>
    </dataValidation>
    <dataValidation type="list" allowBlank="1" showInputMessage="1" showErrorMessage="1" sqref="NTJ655365:NTJ655388">
      <formula1>項目!A4:$NTC$655362</formula1>
    </dataValidation>
    <dataValidation type="list" allowBlank="1" showInputMessage="1" showErrorMessage="1" sqref="ODF655365:ODF655388">
      <formula1>項目!A4:$OCY$655362</formula1>
    </dataValidation>
    <dataValidation type="list" allowBlank="1" showInputMessage="1" showErrorMessage="1" sqref="ONB655365:ONB655388">
      <formula1>項目!A4:$OMU$655362</formula1>
    </dataValidation>
    <dataValidation type="list" allowBlank="1" showInputMessage="1" showErrorMessage="1" sqref="OWX655365:OWX655388">
      <formula1>項目!A4:$OWQ$655362</formula1>
    </dataValidation>
    <dataValidation type="list" allowBlank="1" showInputMessage="1" showErrorMessage="1" sqref="PGT655365:PGT655388">
      <formula1>項目!A4:$PGM$655362</formula1>
    </dataValidation>
    <dataValidation type="list" allowBlank="1" showInputMessage="1" showErrorMessage="1" sqref="PQP655365:PQP655388">
      <formula1>項目!A4:$PQI$655362</formula1>
    </dataValidation>
    <dataValidation type="list" allowBlank="1" showInputMessage="1" showErrorMessage="1" sqref="QAL655365:QAL655388">
      <formula1>項目!A4:$QAE$655362</formula1>
    </dataValidation>
    <dataValidation type="list" allowBlank="1" showInputMessage="1" showErrorMessage="1" sqref="QKH655365:QKH655388">
      <formula1>項目!A4:$QKA$655362</formula1>
    </dataValidation>
    <dataValidation type="list" allowBlank="1" showInputMessage="1" showErrorMessage="1" sqref="QUD655365:QUD655388">
      <formula1>項目!A4:$QTW$655362</formula1>
    </dataValidation>
    <dataValidation type="list" allowBlank="1" showInputMessage="1" showErrorMessage="1" sqref="RDZ655365:RDZ655388">
      <formula1>項目!A4:$RDS$655362</formula1>
    </dataValidation>
    <dataValidation type="list" allowBlank="1" showInputMessage="1" showErrorMessage="1" sqref="RNV655365:RNV655388">
      <formula1>項目!A4:$RNO$655362</formula1>
    </dataValidation>
    <dataValidation type="list" allowBlank="1" showInputMessage="1" showErrorMessage="1" sqref="RXR655365:RXR655388">
      <formula1>項目!A4:$RXK$655362</formula1>
    </dataValidation>
    <dataValidation type="list" allowBlank="1" showInputMessage="1" showErrorMessage="1" sqref="SHN655365:SHN655388">
      <formula1>項目!A4:$SHG$655362</formula1>
    </dataValidation>
    <dataValidation type="list" allowBlank="1" showInputMessage="1" showErrorMessage="1" sqref="SRJ655365:SRJ655388">
      <formula1>項目!A4:$SRC$655362</formula1>
    </dataValidation>
    <dataValidation type="list" allowBlank="1" showInputMessage="1" showErrorMessage="1" sqref="TBF655365:TBF655388">
      <formula1>項目!A4:$TAY$655362</formula1>
    </dataValidation>
    <dataValidation type="list" allowBlank="1" showInputMessage="1" showErrorMessage="1" sqref="TLB655365:TLB655388">
      <formula1>項目!A4:$TKU$655362</formula1>
    </dataValidation>
    <dataValidation type="list" allowBlank="1" showInputMessage="1" showErrorMessage="1" sqref="TUX655365:TUX655388">
      <formula1>項目!A4:$TUQ$655362</formula1>
    </dataValidation>
    <dataValidation type="list" allowBlank="1" showInputMessage="1" showErrorMessage="1" sqref="UET655365:UET655388">
      <formula1>項目!A4:$UEM$655362</formula1>
    </dataValidation>
    <dataValidation type="list" allowBlank="1" showInputMessage="1" showErrorMessage="1" sqref="UOP655365:UOP655388">
      <formula1>項目!A4:$UOI$655362</formula1>
    </dataValidation>
    <dataValidation type="list" allowBlank="1" showInputMessage="1" showErrorMessage="1" sqref="UYL655365:UYL655388">
      <formula1>項目!A4:$UYE$655362</formula1>
    </dataValidation>
    <dataValidation type="list" allowBlank="1" showInputMessage="1" showErrorMessage="1" sqref="VIH655365:VIH655388">
      <formula1>項目!A4:$VIA$655362</formula1>
    </dataValidation>
    <dataValidation type="list" allowBlank="1" showInputMessage="1" showErrorMessage="1" sqref="VSD655365:VSD655388">
      <formula1>項目!A4:$VRW$655362</formula1>
    </dataValidation>
    <dataValidation type="list" allowBlank="1" showInputMessage="1" showErrorMessage="1" sqref="WBZ655365:WBZ655388">
      <formula1>項目!A4:$WBS$655362</formula1>
    </dataValidation>
    <dataValidation type="list" allowBlank="1" showInputMessage="1" showErrorMessage="1" sqref="WLV655365:WLV655388">
      <formula1>項目!A4:$WLO$655362</formula1>
    </dataValidation>
    <dataValidation type="list" allowBlank="1" showInputMessage="1" showErrorMessage="1" sqref="WVR655365:WVR655388">
      <formula1>項目!A4:$WVK$655362</formula1>
    </dataValidation>
    <dataValidation type="list" allowBlank="1" showInputMessage="1" showErrorMessage="1" sqref="JF720901:JF720924">
      <formula1>項目!A4:$IY$720898</formula1>
    </dataValidation>
    <dataValidation type="list" allowBlank="1" showInputMessage="1" showErrorMessage="1" sqref="TB720901:TB720924">
      <formula1>項目!A4:$SU$720898</formula1>
    </dataValidation>
    <dataValidation type="list" allowBlank="1" showInputMessage="1" showErrorMessage="1" sqref="ACX720901:ACX720924">
      <formula1>項目!A4:$ACQ$720898</formula1>
    </dataValidation>
    <dataValidation type="list" allowBlank="1" showInputMessage="1" showErrorMessage="1" sqref="AMT720901:AMT720924">
      <formula1>項目!A4:$AMM$720898</formula1>
    </dataValidation>
    <dataValidation type="list" allowBlank="1" showInputMessage="1" showErrorMessage="1" sqref="AWP720901:AWP720924">
      <formula1>項目!A4:$AWI$720898</formula1>
    </dataValidation>
    <dataValidation type="list" allowBlank="1" showInputMessage="1" showErrorMessage="1" sqref="BGL720901:BGL720924">
      <formula1>項目!A4:$BGE$720898</formula1>
    </dataValidation>
    <dataValidation type="list" allowBlank="1" showInputMessage="1" showErrorMessage="1" sqref="BQH720901:BQH720924">
      <formula1>項目!A4:$BQA$720898</formula1>
    </dataValidation>
    <dataValidation type="list" allowBlank="1" showInputMessage="1" showErrorMessage="1" sqref="CAD720901:CAD720924">
      <formula1>項目!A4:$BZW$720898</formula1>
    </dataValidation>
    <dataValidation type="list" allowBlank="1" showInputMessage="1" showErrorMessage="1" sqref="CJZ720901:CJZ720924">
      <formula1>項目!A4:$CJS$720898</formula1>
    </dataValidation>
    <dataValidation type="list" allowBlank="1" showInputMessage="1" showErrorMessage="1" sqref="CTV720901:CTV720924">
      <formula1>項目!A4:$CTO$720898</formula1>
    </dataValidation>
    <dataValidation type="list" allowBlank="1" showInputMessage="1" showErrorMessage="1" sqref="DDR720901:DDR720924">
      <formula1>項目!A4:$DDK$720898</formula1>
    </dataValidation>
    <dataValidation type="list" allowBlank="1" showInputMessage="1" showErrorMessage="1" sqref="DNN720901:DNN720924">
      <formula1>項目!A4:$DNG$720898</formula1>
    </dataValidation>
    <dataValidation type="list" allowBlank="1" showInputMessage="1" showErrorMessage="1" sqref="DXJ720901:DXJ720924">
      <formula1>項目!A4:$DXC$720898</formula1>
    </dataValidation>
    <dataValidation type="list" allowBlank="1" showInputMessage="1" showErrorMessage="1" sqref="EHF720901:EHF720924">
      <formula1>項目!A4:$EGY$720898</formula1>
    </dataValidation>
    <dataValidation type="list" allowBlank="1" showInputMessage="1" showErrorMessage="1" sqref="ERB720901:ERB720924">
      <formula1>項目!A4:$EQU$720898</formula1>
    </dataValidation>
    <dataValidation type="list" allowBlank="1" showInputMessage="1" showErrorMessage="1" sqref="FAX720901:FAX720924">
      <formula1>項目!A4:$FAQ$720898</formula1>
    </dataValidation>
    <dataValidation type="list" allowBlank="1" showInputMessage="1" showErrorMessage="1" sqref="FKT720901:FKT720924">
      <formula1>項目!A4:$FKM$720898</formula1>
    </dataValidation>
    <dataValidation type="list" allowBlank="1" showInputMessage="1" showErrorMessage="1" sqref="FUP720901:FUP720924">
      <formula1>項目!A4:$FUI$720898</formula1>
    </dataValidation>
    <dataValidation type="list" allowBlank="1" showInputMessage="1" showErrorMessage="1" sqref="GEL720901:GEL720924">
      <formula1>項目!A4:$GEE$720898</formula1>
    </dataValidation>
    <dataValidation type="list" allowBlank="1" showInputMessage="1" showErrorMessage="1" sqref="GOH720901:GOH720924">
      <formula1>項目!A4:$GOA$720898</formula1>
    </dataValidation>
    <dataValidation type="list" allowBlank="1" showInputMessage="1" showErrorMessage="1" sqref="GYD720901:GYD720924">
      <formula1>項目!A4:$GXW$720898</formula1>
    </dataValidation>
    <dataValidation type="list" allowBlank="1" showInputMessage="1" showErrorMessage="1" sqref="HHZ720901:HHZ720924">
      <formula1>項目!A4:$HHS$720898</formula1>
    </dataValidation>
    <dataValidation type="list" allowBlank="1" showInputMessage="1" showErrorMessage="1" sqref="HRV720901:HRV720924">
      <formula1>項目!A4:$HRO$720898</formula1>
    </dataValidation>
    <dataValidation type="list" allowBlank="1" showInputMessage="1" showErrorMessage="1" sqref="IBR720901:IBR720924">
      <formula1>項目!A4:$IBK$720898</formula1>
    </dataValidation>
    <dataValidation type="list" allowBlank="1" showInputMessage="1" showErrorMessage="1" sqref="ILN720901:ILN720924">
      <formula1>項目!A4:$ILG$720898</formula1>
    </dataValidation>
    <dataValidation type="list" allowBlank="1" showInputMessage="1" showErrorMessage="1" sqref="IVJ720901:IVJ720924">
      <formula1>項目!A4:$IVC$720898</formula1>
    </dataValidation>
    <dataValidation type="list" allowBlank="1" showInputMessage="1" showErrorMessage="1" sqref="JFF720901:JFF720924">
      <formula1>項目!A4:$JEY$720898</formula1>
    </dataValidation>
    <dataValidation type="list" allowBlank="1" showInputMessage="1" showErrorMessage="1" sqref="JPB720901:JPB720924">
      <formula1>項目!A4:$JOU$720898</formula1>
    </dataValidation>
    <dataValidation type="list" allowBlank="1" showInputMessage="1" showErrorMessage="1" sqref="JYX720901:JYX720924">
      <formula1>項目!A4:$JYQ$720898</formula1>
    </dataValidation>
    <dataValidation type="list" allowBlank="1" showInputMessage="1" showErrorMessage="1" sqref="KIT720901:KIT720924">
      <formula1>項目!A4:$KIM$720898</formula1>
    </dataValidation>
    <dataValidation type="list" allowBlank="1" showInputMessage="1" showErrorMessage="1" sqref="KSP720901:KSP720924">
      <formula1>項目!A4:$KSI$720898</formula1>
    </dataValidation>
    <dataValidation type="list" allowBlank="1" showInputMessage="1" showErrorMessage="1" sqref="LCL720901:LCL720924">
      <formula1>項目!A4:$LCE$720898</formula1>
    </dataValidation>
    <dataValidation type="list" allowBlank="1" showInputMessage="1" showErrorMessage="1" sqref="LMH720901:LMH720924">
      <formula1>項目!A4:$LMA$720898</formula1>
    </dataValidation>
    <dataValidation type="list" allowBlank="1" showInputMessage="1" showErrorMessage="1" sqref="LWD720901:LWD720924">
      <formula1>項目!A4:$LVW$720898</formula1>
    </dataValidation>
    <dataValidation type="list" allowBlank="1" showInputMessage="1" showErrorMessage="1" sqref="MFZ720901:MFZ720924">
      <formula1>項目!A4:$MFS$720898</formula1>
    </dataValidation>
    <dataValidation type="list" allowBlank="1" showInputMessage="1" showErrorMessage="1" sqref="MPV720901:MPV720924">
      <formula1>項目!A4:$MPO$720898</formula1>
    </dataValidation>
    <dataValidation type="list" allowBlank="1" showInputMessage="1" showErrorMessage="1" sqref="MZR720901:MZR720924">
      <formula1>項目!A4:$MZK$720898</formula1>
    </dataValidation>
    <dataValidation type="list" allowBlank="1" showInputMessage="1" showErrorMessage="1" sqref="NJN720901:NJN720924">
      <formula1>項目!A4:$NJG$720898</formula1>
    </dataValidation>
    <dataValidation type="list" allowBlank="1" showInputMessage="1" showErrorMessage="1" sqref="NTJ720901:NTJ720924">
      <formula1>項目!A4:$NTC$720898</formula1>
    </dataValidation>
    <dataValidation type="list" allowBlank="1" showInputMessage="1" showErrorMessage="1" sqref="ODF720901:ODF720924">
      <formula1>項目!A4:$OCY$720898</formula1>
    </dataValidation>
    <dataValidation type="list" allowBlank="1" showInputMessage="1" showErrorMessage="1" sqref="ONB720901:ONB720924">
      <formula1>項目!A4:$OMU$720898</formula1>
    </dataValidation>
    <dataValidation type="list" allowBlank="1" showInputMessage="1" showErrorMessage="1" sqref="OWX720901:OWX720924">
      <formula1>項目!A4:$OWQ$720898</formula1>
    </dataValidation>
    <dataValidation type="list" allowBlank="1" showInputMessage="1" showErrorMessage="1" sqref="PGT720901:PGT720924">
      <formula1>項目!A4:$PGM$720898</formula1>
    </dataValidation>
    <dataValidation type="list" allowBlank="1" showInputMessage="1" showErrorMessage="1" sqref="PQP720901:PQP720924">
      <formula1>項目!A4:$PQI$720898</formula1>
    </dataValidation>
    <dataValidation type="list" allowBlank="1" showInputMessage="1" showErrorMessage="1" sqref="QAL720901:QAL720924">
      <formula1>項目!A4:$QAE$720898</formula1>
    </dataValidation>
    <dataValidation type="list" allowBlank="1" showInputMessage="1" showErrorMessage="1" sqref="QKH720901:QKH720924">
      <formula1>項目!A4:$QKA$720898</formula1>
    </dataValidation>
    <dataValidation type="list" allowBlank="1" showInputMessage="1" showErrorMessage="1" sqref="QUD720901:QUD720924">
      <formula1>項目!A4:$QTW$720898</formula1>
    </dataValidation>
    <dataValidation type="list" allowBlank="1" showInputMessage="1" showErrorMessage="1" sqref="RDZ720901:RDZ720924">
      <formula1>項目!A4:$RDS$720898</formula1>
    </dataValidation>
    <dataValidation type="list" allowBlank="1" showInputMessage="1" showErrorMessage="1" sqref="RNV720901:RNV720924">
      <formula1>項目!A4:$RNO$720898</formula1>
    </dataValidation>
    <dataValidation type="list" allowBlank="1" showInputMessage="1" showErrorMessage="1" sqref="RXR720901:RXR720924">
      <formula1>項目!A4:$RXK$720898</formula1>
    </dataValidation>
    <dataValidation type="list" allowBlank="1" showInputMessage="1" showErrorMessage="1" sqref="SHN720901:SHN720924">
      <formula1>項目!A4:$SHG$720898</formula1>
    </dataValidation>
    <dataValidation type="list" allowBlank="1" showInputMessage="1" showErrorMessage="1" sqref="SRJ720901:SRJ720924">
      <formula1>項目!A4:$SRC$720898</formula1>
    </dataValidation>
    <dataValidation type="list" allowBlank="1" showInputMessage="1" showErrorMessage="1" sqref="TBF720901:TBF720924">
      <formula1>項目!A4:$TAY$720898</formula1>
    </dataValidation>
    <dataValidation type="list" allowBlank="1" showInputMessage="1" showErrorMessage="1" sqref="TLB720901:TLB720924">
      <formula1>項目!A4:$TKU$720898</formula1>
    </dataValidation>
    <dataValidation type="list" allowBlank="1" showInputMessage="1" showErrorMessage="1" sqref="TUX720901:TUX720924">
      <formula1>項目!A4:$TUQ$720898</formula1>
    </dataValidation>
    <dataValidation type="list" allowBlank="1" showInputMessage="1" showErrorMessage="1" sqref="UET720901:UET720924">
      <formula1>項目!A4:$UEM$720898</formula1>
    </dataValidation>
    <dataValidation type="list" allowBlank="1" showInputMessage="1" showErrorMessage="1" sqref="UOP720901:UOP720924">
      <formula1>項目!A4:$UOI$720898</formula1>
    </dataValidation>
    <dataValidation type="list" allowBlank="1" showInputMessage="1" showErrorMessage="1" sqref="UYL720901:UYL720924">
      <formula1>項目!A4:$UYE$720898</formula1>
    </dataValidation>
    <dataValidation type="list" allowBlank="1" showInputMessage="1" showErrorMessage="1" sqref="VIH720901:VIH720924">
      <formula1>項目!A4:$VIA$720898</formula1>
    </dataValidation>
    <dataValidation type="list" allowBlank="1" showInputMessage="1" showErrorMessage="1" sqref="VSD720901:VSD720924">
      <formula1>項目!A4:$VRW$720898</formula1>
    </dataValidation>
    <dataValidation type="list" allowBlank="1" showInputMessage="1" showErrorMessage="1" sqref="WBZ720901:WBZ720924">
      <formula1>項目!A4:$WBS$720898</formula1>
    </dataValidation>
    <dataValidation type="list" allowBlank="1" showInputMessage="1" showErrorMessage="1" sqref="WLV720901:WLV720924">
      <formula1>項目!A4:$WLO$720898</formula1>
    </dataValidation>
    <dataValidation type="list" allowBlank="1" showInputMessage="1" showErrorMessage="1" sqref="WVR720901:WVR720924">
      <formula1>項目!A4:$WVK$720898</formula1>
    </dataValidation>
    <dataValidation type="list" allowBlank="1" showInputMessage="1" showErrorMessage="1" sqref="JF786437:JF786460">
      <formula1>項目!A4:$IY$786434</formula1>
    </dataValidation>
    <dataValidation type="list" allowBlank="1" showInputMessage="1" showErrorMessage="1" sqref="TB786437:TB786460">
      <formula1>項目!A4:$SU$786434</formula1>
    </dataValidation>
    <dataValidation type="list" allowBlank="1" showInputMessage="1" showErrorMessage="1" sqref="ACX786437:ACX786460">
      <formula1>項目!A4:$ACQ$786434</formula1>
    </dataValidation>
    <dataValidation type="list" allowBlank="1" showInputMessage="1" showErrorMessage="1" sqref="AMT786437:AMT786460">
      <formula1>項目!A4:$AMM$786434</formula1>
    </dataValidation>
    <dataValidation type="list" allowBlank="1" showInputMessage="1" showErrorMessage="1" sqref="AWP786437:AWP786460">
      <formula1>項目!A4:$AWI$786434</formula1>
    </dataValidation>
    <dataValidation type="list" allowBlank="1" showInputMessage="1" showErrorMessage="1" sqref="BGL786437:BGL786460">
      <formula1>項目!A4:$BGE$786434</formula1>
    </dataValidation>
    <dataValidation type="list" allowBlank="1" showInputMessage="1" showErrorMessage="1" sqref="BQH786437:BQH786460">
      <formula1>項目!A4:$BQA$786434</formula1>
    </dataValidation>
    <dataValidation type="list" allowBlank="1" showInputMessage="1" showErrorMessage="1" sqref="CAD786437:CAD786460">
      <formula1>項目!A4:$BZW$786434</formula1>
    </dataValidation>
    <dataValidation type="list" allowBlank="1" showInputMessage="1" showErrorMessage="1" sqref="CJZ786437:CJZ786460">
      <formula1>項目!A4:$CJS$786434</formula1>
    </dataValidation>
    <dataValidation type="list" allowBlank="1" showInputMessage="1" showErrorMessage="1" sqref="CTV786437:CTV786460">
      <formula1>項目!A4:$CTO$786434</formula1>
    </dataValidation>
    <dataValidation type="list" allowBlank="1" showInputMessage="1" showErrorMessage="1" sqref="DDR786437:DDR786460">
      <formula1>項目!A4:$DDK$786434</formula1>
    </dataValidation>
    <dataValidation type="list" allowBlank="1" showInputMessage="1" showErrorMessage="1" sqref="DNN786437:DNN786460">
      <formula1>項目!A4:$DNG$786434</formula1>
    </dataValidation>
    <dataValidation type="list" allowBlank="1" showInputMessage="1" showErrorMessage="1" sqref="DXJ786437:DXJ786460">
      <formula1>項目!A4:$DXC$786434</formula1>
    </dataValidation>
    <dataValidation type="list" allowBlank="1" showInputMessage="1" showErrorMessage="1" sqref="EHF786437:EHF786460">
      <formula1>項目!A4:$EGY$786434</formula1>
    </dataValidation>
    <dataValidation type="list" allowBlank="1" showInputMessage="1" showErrorMessage="1" sqref="ERB786437:ERB786460">
      <formula1>項目!A4:$EQU$786434</formula1>
    </dataValidation>
    <dataValidation type="list" allowBlank="1" showInputMessage="1" showErrorMessage="1" sqref="FAX786437:FAX786460">
      <formula1>項目!A4:$FAQ$786434</formula1>
    </dataValidation>
    <dataValidation type="list" allowBlank="1" showInputMessage="1" showErrorMessage="1" sqref="FKT786437:FKT786460">
      <formula1>項目!A4:$FKM$786434</formula1>
    </dataValidation>
    <dataValidation type="list" allowBlank="1" showInputMessage="1" showErrorMessage="1" sqref="FUP786437:FUP786460">
      <formula1>項目!A4:$FUI$786434</formula1>
    </dataValidation>
    <dataValidation type="list" allowBlank="1" showInputMessage="1" showErrorMessage="1" sqref="GEL786437:GEL786460">
      <formula1>項目!A4:$GEE$786434</formula1>
    </dataValidation>
    <dataValidation type="list" allowBlank="1" showInputMessage="1" showErrorMessage="1" sqref="GOH786437:GOH786460">
      <formula1>項目!A4:$GOA$786434</formula1>
    </dataValidation>
    <dataValidation type="list" allowBlank="1" showInputMessage="1" showErrorMessage="1" sqref="GYD786437:GYD786460">
      <formula1>項目!A4:$GXW$786434</formula1>
    </dataValidation>
    <dataValidation type="list" allowBlank="1" showInputMessage="1" showErrorMessage="1" sqref="HHZ786437:HHZ786460">
      <formula1>項目!A4:$HHS$786434</formula1>
    </dataValidation>
    <dataValidation type="list" allowBlank="1" showInputMessage="1" showErrorMessage="1" sqref="HRV786437:HRV786460">
      <formula1>項目!A4:$HRO$786434</formula1>
    </dataValidation>
    <dataValidation type="list" allowBlank="1" showInputMessage="1" showErrorMessage="1" sqref="IBR786437:IBR786460">
      <formula1>項目!A4:$IBK$786434</formula1>
    </dataValidation>
    <dataValidation type="list" allowBlank="1" showInputMessage="1" showErrorMessage="1" sqref="ILN786437:ILN786460">
      <formula1>項目!A4:$ILG$786434</formula1>
    </dataValidation>
    <dataValidation type="list" allowBlank="1" showInputMessage="1" showErrorMessage="1" sqref="IVJ786437:IVJ786460">
      <formula1>項目!A4:$IVC$786434</formula1>
    </dataValidation>
    <dataValidation type="list" allowBlank="1" showInputMessage="1" showErrorMessage="1" sqref="JFF786437:JFF786460">
      <formula1>項目!A4:$JEY$786434</formula1>
    </dataValidation>
    <dataValidation type="list" allowBlank="1" showInputMessage="1" showErrorMessage="1" sqref="JPB786437:JPB786460">
      <formula1>項目!A4:$JOU$786434</formula1>
    </dataValidation>
    <dataValidation type="list" allowBlank="1" showInputMessage="1" showErrorMessage="1" sqref="JYX786437:JYX786460">
      <formula1>項目!A4:$JYQ$786434</formula1>
    </dataValidation>
    <dataValidation type="list" allowBlank="1" showInputMessage="1" showErrorMessage="1" sqref="KIT786437:KIT786460">
      <formula1>項目!A4:$KIM$786434</formula1>
    </dataValidation>
    <dataValidation type="list" allowBlank="1" showInputMessage="1" showErrorMessage="1" sqref="KSP786437:KSP786460">
      <formula1>項目!A4:$KSI$786434</formula1>
    </dataValidation>
    <dataValidation type="list" allowBlank="1" showInputMessage="1" showErrorMessage="1" sqref="LCL786437:LCL786460">
      <formula1>項目!A4:$LCE$786434</formula1>
    </dataValidation>
    <dataValidation type="list" allowBlank="1" showInputMessage="1" showErrorMessage="1" sqref="LMH786437:LMH786460">
      <formula1>項目!A4:$LMA$786434</formula1>
    </dataValidation>
    <dataValidation type="list" allowBlank="1" showInputMessage="1" showErrorMessage="1" sqref="LWD786437:LWD786460">
      <formula1>項目!A4:$LVW$786434</formula1>
    </dataValidation>
    <dataValidation type="list" allowBlank="1" showInputMessage="1" showErrorMessage="1" sqref="MFZ786437:MFZ786460">
      <formula1>項目!A4:$MFS$786434</formula1>
    </dataValidation>
    <dataValidation type="list" allowBlank="1" showInputMessage="1" showErrorMessage="1" sqref="MPV786437:MPV786460">
      <formula1>項目!A4:$MPO$786434</formula1>
    </dataValidation>
    <dataValidation type="list" allowBlank="1" showInputMessage="1" showErrorMessage="1" sqref="MZR786437:MZR786460">
      <formula1>項目!A4:$MZK$786434</formula1>
    </dataValidation>
    <dataValidation type="list" allowBlank="1" showInputMessage="1" showErrorMessage="1" sqref="NJN786437:NJN786460">
      <formula1>項目!A4:$NJG$786434</formula1>
    </dataValidation>
    <dataValidation type="list" allowBlank="1" showInputMessage="1" showErrorMessage="1" sqref="NTJ786437:NTJ786460">
      <formula1>項目!A4:$NTC$786434</formula1>
    </dataValidation>
    <dataValidation type="list" allowBlank="1" showInputMessage="1" showErrorMessage="1" sqref="ODF786437:ODF786460">
      <formula1>項目!A4:$OCY$786434</formula1>
    </dataValidation>
    <dataValidation type="list" allowBlank="1" showInputMessage="1" showErrorMessage="1" sqref="ONB786437:ONB786460">
      <formula1>項目!A4:$OMU$786434</formula1>
    </dataValidation>
    <dataValidation type="list" allowBlank="1" showInputMessage="1" showErrorMessage="1" sqref="OWX786437:OWX786460">
      <formula1>項目!A4:$OWQ$786434</formula1>
    </dataValidation>
    <dataValidation type="list" allowBlank="1" showInputMessage="1" showErrorMessage="1" sqref="PGT786437:PGT786460">
      <formula1>項目!A4:$PGM$786434</formula1>
    </dataValidation>
    <dataValidation type="list" allowBlank="1" showInputMessage="1" showErrorMessage="1" sqref="PQP786437:PQP786460">
      <formula1>項目!A4:$PQI$786434</formula1>
    </dataValidation>
    <dataValidation type="list" allowBlank="1" showInputMessage="1" showErrorMessage="1" sqref="QAL786437:QAL786460">
      <formula1>項目!A4:$QAE$786434</formula1>
    </dataValidation>
    <dataValidation type="list" allowBlank="1" showInputMessage="1" showErrorMessage="1" sqref="QKH786437:QKH786460">
      <formula1>項目!A4:$QKA$786434</formula1>
    </dataValidation>
    <dataValidation type="list" allowBlank="1" showInputMessage="1" showErrorMessage="1" sqref="QUD786437:QUD786460">
      <formula1>項目!A4:$QTW$786434</formula1>
    </dataValidation>
    <dataValidation type="list" allowBlank="1" showInputMessage="1" showErrorMessage="1" sqref="RDZ786437:RDZ786460">
      <formula1>項目!A4:$RDS$786434</formula1>
    </dataValidation>
    <dataValidation type="list" allowBlank="1" showInputMessage="1" showErrorMessage="1" sqref="RNV786437:RNV786460">
      <formula1>項目!A4:$RNO$786434</formula1>
    </dataValidation>
    <dataValidation type="list" allowBlank="1" showInputMessage="1" showErrorMessage="1" sqref="RXR786437:RXR786460">
      <formula1>項目!A4:$RXK$786434</formula1>
    </dataValidation>
    <dataValidation type="list" allowBlank="1" showInputMessage="1" showErrorMessage="1" sqref="SHN786437:SHN786460">
      <formula1>項目!A4:$SHG$786434</formula1>
    </dataValidation>
    <dataValidation type="list" allowBlank="1" showInputMessage="1" showErrorMessage="1" sqref="SRJ786437:SRJ786460">
      <formula1>項目!A4:$SRC$786434</formula1>
    </dataValidation>
    <dataValidation type="list" allowBlank="1" showInputMessage="1" showErrorMessage="1" sqref="TBF786437:TBF786460">
      <formula1>項目!A4:$TAY$786434</formula1>
    </dataValidation>
    <dataValidation type="list" allowBlank="1" showInputMessage="1" showErrorMessage="1" sqref="TLB786437:TLB786460">
      <formula1>項目!A4:$TKU$786434</formula1>
    </dataValidation>
    <dataValidation type="list" allowBlank="1" showInputMessage="1" showErrorMessage="1" sqref="TUX786437:TUX786460">
      <formula1>項目!A4:$TUQ$786434</formula1>
    </dataValidation>
    <dataValidation type="list" allowBlank="1" showInputMessage="1" showErrorMessage="1" sqref="UET786437:UET786460">
      <formula1>項目!A4:$UEM$786434</formula1>
    </dataValidation>
    <dataValidation type="list" allowBlank="1" showInputMessage="1" showErrorMessage="1" sqref="UOP786437:UOP786460">
      <formula1>項目!A4:$UOI$786434</formula1>
    </dataValidation>
    <dataValidation type="list" allowBlank="1" showInputMessage="1" showErrorMessage="1" sqref="UYL786437:UYL786460">
      <formula1>項目!A4:$UYE$786434</formula1>
    </dataValidation>
    <dataValidation type="list" allowBlank="1" showInputMessage="1" showErrorMessage="1" sqref="VIH786437:VIH786460">
      <formula1>項目!A4:$VIA$786434</formula1>
    </dataValidation>
    <dataValidation type="list" allowBlank="1" showInputMessage="1" showErrorMessage="1" sqref="VSD786437:VSD786460">
      <formula1>項目!A4:$VRW$786434</formula1>
    </dataValidation>
    <dataValidation type="list" allowBlank="1" showInputMessage="1" showErrorMessage="1" sqref="WBZ786437:WBZ786460">
      <formula1>項目!A4:$WBS$786434</formula1>
    </dataValidation>
    <dataValidation type="list" allowBlank="1" showInputMessage="1" showErrorMessage="1" sqref="WLV786437:WLV786460">
      <formula1>項目!A4:$WLO$786434</formula1>
    </dataValidation>
    <dataValidation type="list" allowBlank="1" showInputMessage="1" showErrorMessage="1" sqref="WVR786437:WVR786460">
      <formula1>項目!A4:$WVK$786434</formula1>
    </dataValidation>
    <dataValidation type="list" allowBlank="1" showInputMessage="1" showErrorMessage="1" sqref="JF851973:JF851996">
      <formula1>項目!A4:$IY$851970</formula1>
    </dataValidation>
    <dataValidation type="list" allowBlank="1" showInputMessage="1" showErrorMessage="1" sqref="TB851973:TB851996">
      <formula1>項目!A4:$SU$851970</formula1>
    </dataValidation>
    <dataValidation type="list" allowBlank="1" showInputMessage="1" showErrorMessage="1" sqref="ACX851973:ACX851996">
      <formula1>項目!A4:$ACQ$851970</formula1>
    </dataValidation>
    <dataValidation type="list" allowBlank="1" showInputMessage="1" showErrorMessage="1" sqref="AMT851973:AMT851996">
      <formula1>項目!A4:$AMM$851970</formula1>
    </dataValidation>
    <dataValidation type="list" allowBlank="1" showInputMessage="1" showErrorMessage="1" sqref="AWP851973:AWP851996">
      <formula1>項目!A4:$AWI$851970</formula1>
    </dataValidation>
    <dataValidation type="list" allowBlank="1" showInputMessage="1" showErrorMessage="1" sqref="BGL851973:BGL851996">
      <formula1>項目!A4:$BGE$851970</formula1>
    </dataValidation>
    <dataValidation type="list" allowBlank="1" showInputMessage="1" showErrorMessage="1" sqref="BQH851973:BQH851996">
      <formula1>項目!A4:$BQA$851970</formula1>
    </dataValidation>
    <dataValidation type="list" allowBlank="1" showInputMessage="1" showErrorMessage="1" sqref="CAD851973:CAD851996">
      <formula1>項目!A4:$BZW$851970</formula1>
    </dataValidation>
    <dataValidation type="list" allowBlank="1" showInputMessage="1" showErrorMessage="1" sqref="CJZ851973:CJZ851996">
      <formula1>項目!A4:$CJS$851970</formula1>
    </dataValidation>
    <dataValidation type="list" allowBlank="1" showInputMessage="1" showErrorMessage="1" sqref="CTV851973:CTV851996">
      <formula1>項目!A4:$CTO$851970</formula1>
    </dataValidation>
    <dataValidation type="list" allowBlank="1" showInputMessage="1" showErrorMessage="1" sqref="DDR851973:DDR851996">
      <formula1>項目!A4:$DDK$851970</formula1>
    </dataValidation>
    <dataValidation type="list" allowBlank="1" showInputMessage="1" showErrorMessage="1" sqref="DNN851973:DNN851996">
      <formula1>項目!A4:$DNG$851970</formula1>
    </dataValidation>
    <dataValidation type="list" allowBlank="1" showInputMessage="1" showErrorMessage="1" sqref="DXJ851973:DXJ851996">
      <formula1>項目!A4:$DXC$851970</formula1>
    </dataValidation>
    <dataValidation type="list" allowBlank="1" showInputMessage="1" showErrorMessage="1" sqref="EHF851973:EHF851996">
      <formula1>項目!A4:$EGY$851970</formula1>
    </dataValidation>
    <dataValidation type="list" allowBlank="1" showInputMessage="1" showErrorMessage="1" sqref="ERB851973:ERB851996">
      <formula1>項目!A4:$EQU$851970</formula1>
    </dataValidation>
    <dataValidation type="list" allowBlank="1" showInputMessage="1" showErrorMessage="1" sqref="FAX851973:FAX851996">
      <formula1>項目!A4:$FAQ$851970</formula1>
    </dataValidation>
    <dataValidation type="list" allowBlank="1" showInputMessage="1" showErrorMessage="1" sqref="FKT851973:FKT851996">
      <formula1>項目!A4:$FKM$851970</formula1>
    </dataValidation>
    <dataValidation type="list" allowBlank="1" showInputMessage="1" showErrorMessage="1" sqref="FUP851973:FUP851996">
      <formula1>項目!A4:$FUI$851970</formula1>
    </dataValidation>
    <dataValidation type="list" allowBlank="1" showInputMessage="1" showErrorMessage="1" sqref="GEL851973:GEL851996">
      <formula1>項目!A4:$GEE$851970</formula1>
    </dataValidation>
    <dataValidation type="list" allowBlank="1" showInputMessage="1" showErrorMessage="1" sqref="GOH851973:GOH851996">
      <formula1>項目!A4:$GOA$851970</formula1>
    </dataValidation>
    <dataValidation type="list" allowBlank="1" showInputMessage="1" showErrorMessage="1" sqref="GYD851973:GYD851996">
      <formula1>項目!A4:$GXW$851970</formula1>
    </dataValidation>
    <dataValidation type="list" allowBlank="1" showInputMessage="1" showErrorMessage="1" sqref="HHZ851973:HHZ851996">
      <formula1>項目!A4:$HHS$851970</formula1>
    </dataValidation>
    <dataValidation type="list" allowBlank="1" showInputMessage="1" showErrorMessage="1" sqref="HRV851973:HRV851996">
      <formula1>項目!A4:$HRO$851970</formula1>
    </dataValidation>
    <dataValidation type="list" allowBlank="1" showInputMessage="1" showErrorMessage="1" sqref="IBR851973:IBR851996">
      <formula1>項目!A4:$IBK$851970</formula1>
    </dataValidation>
    <dataValidation type="list" allowBlank="1" showInputMessage="1" showErrorMessage="1" sqref="ILN851973:ILN851996">
      <formula1>項目!A4:$ILG$851970</formula1>
    </dataValidation>
    <dataValidation type="list" allowBlank="1" showInputMessage="1" showErrorMessage="1" sqref="IVJ851973:IVJ851996">
      <formula1>項目!A4:$IVC$851970</formula1>
    </dataValidation>
    <dataValidation type="list" allowBlank="1" showInputMessage="1" showErrorMessage="1" sqref="JFF851973:JFF851996">
      <formula1>項目!A4:$JEY$851970</formula1>
    </dataValidation>
    <dataValidation type="list" allowBlank="1" showInputMessage="1" showErrorMessage="1" sqref="JPB851973:JPB851996">
      <formula1>項目!A4:$JOU$851970</formula1>
    </dataValidation>
    <dataValidation type="list" allowBlank="1" showInputMessage="1" showErrorMessage="1" sqref="JYX851973:JYX851996">
      <formula1>項目!A4:$JYQ$851970</formula1>
    </dataValidation>
    <dataValidation type="list" allowBlank="1" showInputMessage="1" showErrorMessage="1" sqref="KIT851973:KIT851996">
      <formula1>項目!A4:$KIM$851970</formula1>
    </dataValidation>
    <dataValidation type="list" allowBlank="1" showInputMessage="1" showErrorMessage="1" sqref="KSP851973:KSP851996">
      <formula1>項目!A4:$KSI$851970</formula1>
    </dataValidation>
    <dataValidation type="list" allowBlank="1" showInputMessage="1" showErrorMessage="1" sqref="LCL851973:LCL851996">
      <formula1>項目!A4:$LCE$851970</formula1>
    </dataValidation>
    <dataValidation type="list" allowBlank="1" showInputMessage="1" showErrorMessage="1" sqref="LMH851973:LMH851996">
      <formula1>項目!A4:$LMA$851970</formula1>
    </dataValidation>
    <dataValidation type="list" allowBlank="1" showInputMessage="1" showErrorMessage="1" sqref="LWD851973:LWD851996">
      <formula1>項目!A4:$LVW$851970</formula1>
    </dataValidation>
    <dataValidation type="list" allowBlank="1" showInputMessage="1" showErrorMessage="1" sqref="MFZ851973:MFZ851996">
      <formula1>項目!A4:$MFS$851970</formula1>
    </dataValidation>
    <dataValidation type="list" allowBlank="1" showInputMessage="1" showErrorMessage="1" sqref="MPV851973:MPV851996">
      <formula1>項目!A4:$MPO$851970</formula1>
    </dataValidation>
    <dataValidation type="list" allowBlank="1" showInputMessage="1" showErrorMessage="1" sqref="MZR851973:MZR851996">
      <formula1>項目!A4:$MZK$851970</formula1>
    </dataValidation>
    <dataValidation type="list" allowBlank="1" showInputMessage="1" showErrorMessage="1" sqref="NJN851973:NJN851996">
      <formula1>項目!A4:$NJG$851970</formula1>
    </dataValidation>
    <dataValidation type="list" allowBlank="1" showInputMessage="1" showErrorMessage="1" sqref="NTJ851973:NTJ851996">
      <formula1>項目!A4:$NTC$851970</formula1>
    </dataValidation>
    <dataValidation type="list" allowBlank="1" showInputMessage="1" showErrorMessage="1" sqref="ODF851973:ODF851996">
      <formula1>項目!A4:$OCY$851970</formula1>
    </dataValidation>
    <dataValidation type="list" allowBlank="1" showInputMessage="1" showErrorMessage="1" sqref="ONB851973:ONB851996">
      <formula1>項目!A4:$OMU$851970</formula1>
    </dataValidation>
    <dataValidation type="list" allowBlank="1" showInputMessage="1" showErrorMessage="1" sqref="OWX851973:OWX851996">
      <formula1>項目!A4:$OWQ$851970</formula1>
    </dataValidation>
    <dataValidation type="list" allowBlank="1" showInputMessage="1" showErrorMessage="1" sqref="PGT851973:PGT851996">
      <formula1>項目!A4:$PGM$851970</formula1>
    </dataValidation>
    <dataValidation type="list" allowBlank="1" showInputMessage="1" showErrorMessage="1" sqref="PQP851973:PQP851996">
      <formula1>項目!A4:$PQI$851970</formula1>
    </dataValidation>
    <dataValidation type="list" allowBlank="1" showInputMessage="1" showErrorMessage="1" sqref="QAL851973:QAL851996">
      <formula1>項目!A4:$QAE$851970</formula1>
    </dataValidation>
    <dataValidation type="list" allowBlank="1" showInputMessage="1" showErrorMessage="1" sqref="QKH851973:QKH851996">
      <formula1>項目!A4:$QKA$851970</formula1>
    </dataValidation>
    <dataValidation type="list" allowBlank="1" showInputMessage="1" showErrorMessage="1" sqref="QUD851973:QUD851996">
      <formula1>項目!A4:$QTW$851970</formula1>
    </dataValidation>
    <dataValidation type="list" allowBlank="1" showInputMessage="1" showErrorMessage="1" sqref="RDZ851973:RDZ851996">
      <formula1>項目!A4:$RDS$851970</formula1>
    </dataValidation>
    <dataValidation type="list" allowBlank="1" showInputMessage="1" showErrorMessage="1" sqref="RNV851973:RNV851996">
      <formula1>項目!A4:$RNO$851970</formula1>
    </dataValidation>
    <dataValidation type="list" allowBlank="1" showInputMessage="1" showErrorMessage="1" sqref="RXR851973:RXR851996">
      <formula1>項目!A4:$RXK$851970</formula1>
    </dataValidation>
    <dataValidation type="list" allowBlank="1" showInputMessage="1" showErrorMessage="1" sqref="SHN851973:SHN851996">
      <formula1>項目!A4:$SHG$851970</formula1>
    </dataValidation>
    <dataValidation type="list" allowBlank="1" showInputMessage="1" showErrorMessage="1" sqref="SRJ851973:SRJ851996">
      <formula1>項目!A4:$SRC$851970</formula1>
    </dataValidation>
    <dataValidation type="list" allowBlank="1" showInputMessage="1" showErrorMessage="1" sqref="TBF851973:TBF851996">
      <formula1>項目!A4:$TAY$851970</formula1>
    </dataValidation>
    <dataValidation type="list" allowBlank="1" showInputMessage="1" showErrorMessage="1" sqref="TLB851973:TLB851996">
      <formula1>項目!A4:$TKU$851970</formula1>
    </dataValidation>
    <dataValidation type="list" allowBlank="1" showInputMessage="1" showErrorMessage="1" sqref="TUX851973:TUX851996">
      <formula1>項目!A4:$TUQ$851970</formula1>
    </dataValidation>
    <dataValidation type="list" allowBlank="1" showInputMessage="1" showErrorMessage="1" sqref="UET851973:UET851996">
      <formula1>項目!A4:$UEM$851970</formula1>
    </dataValidation>
    <dataValidation type="list" allowBlank="1" showInputMessage="1" showErrorMessage="1" sqref="UOP851973:UOP851996">
      <formula1>項目!A4:$UOI$851970</formula1>
    </dataValidation>
    <dataValidation type="list" allowBlank="1" showInputMessage="1" showErrorMessage="1" sqref="UYL851973:UYL851996">
      <formula1>項目!A4:$UYE$851970</formula1>
    </dataValidation>
    <dataValidation type="list" allowBlank="1" showInputMessage="1" showErrorMessage="1" sqref="VIH851973:VIH851996">
      <formula1>項目!A4:$VIA$851970</formula1>
    </dataValidation>
    <dataValidation type="list" allowBlank="1" showInputMessage="1" showErrorMessage="1" sqref="VSD851973:VSD851996">
      <formula1>項目!A4:$VRW$851970</formula1>
    </dataValidation>
    <dataValidation type="list" allowBlank="1" showInputMessage="1" showErrorMessage="1" sqref="WBZ851973:WBZ851996">
      <formula1>項目!A4:$WBS$851970</formula1>
    </dataValidation>
    <dataValidation type="list" allowBlank="1" showInputMessage="1" showErrorMessage="1" sqref="WLV851973:WLV851996">
      <formula1>項目!A4:$WLO$851970</formula1>
    </dataValidation>
    <dataValidation type="list" allowBlank="1" showInputMessage="1" showErrorMessage="1" sqref="WVR851973:WVR851996">
      <formula1>項目!A4:$WVK$851970</formula1>
    </dataValidation>
    <dataValidation type="list" allowBlank="1" showInputMessage="1" showErrorMessage="1" sqref="JF917509:JF917532">
      <formula1>項目!A4:$IY$917506</formula1>
    </dataValidation>
    <dataValidation type="list" allowBlank="1" showInputMessage="1" showErrorMessage="1" sqref="TB917509:TB917532">
      <formula1>項目!A4:$SU$917506</formula1>
    </dataValidation>
    <dataValidation type="list" allowBlank="1" showInputMessage="1" showErrorMessage="1" sqref="ACX917509:ACX917532">
      <formula1>項目!A4:$ACQ$917506</formula1>
    </dataValidation>
    <dataValidation type="list" allowBlank="1" showInputMessage="1" showErrorMessage="1" sqref="AMT917509:AMT917532">
      <formula1>項目!A4:$AMM$917506</formula1>
    </dataValidation>
    <dataValidation type="list" allowBlank="1" showInputMessage="1" showErrorMessage="1" sqref="AWP917509:AWP917532">
      <formula1>項目!A4:$AWI$917506</formula1>
    </dataValidation>
    <dataValidation type="list" allowBlank="1" showInputMessage="1" showErrorMessage="1" sqref="BGL917509:BGL917532">
      <formula1>項目!A4:$BGE$917506</formula1>
    </dataValidation>
    <dataValidation type="list" allowBlank="1" showInputMessage="1" showErrorMessage="1" sqref="BQH917509:BQH917532">
      <formula1>項目!A4:$BQA$917506</formula1>
    </dataValidation>
    <dataValidation type="list" allowBlank="1" showInputMessage="1" showErrorMessage="1" sqref="CAD917509:CAD917532">
      <formula1>項目!A4:$BZW$917506</formula1>
    </dataValidation>
    <dataValidation type="list" allowBlank="1" showInputMessage="1" showErrorMessage="1" sqref="CJZ917509:CJZ917532">
      <formula1>項目!A4:$CJS$917506</formula1>
    </dataValidation>
    <dataValidation type="list" allowBlank="1" showInputMessage="1" showErrorMessage="1" sqref="CTV917509:CTV917532">
      <formula1>項目!A4:$CTO$917506</formula1>
    </dataValidation>
    <dataValidation type="list" allowBlank="1" showInputMessage="1" showErrorMessage="1" sqref="DDR917509:DDR917532">
      <formula1>項目!A4:$DDK$917506</formula1>
    </dataValidation>
    <dataValidation type="list" allowBlank="1" showInputMessage="1" showErrorMessage="1" sqref="DNN917509:DNN917532">
      <formula1>項目!A4:$DNG$917506</formula1>
    </dataValidation>
    <dataValidation type="list" allowBlank="1" showInputMessage="1" showErrorMessage="1" sqref="DXJ917509:DXJ917532">
      <formula1>項目!A4:$DXC$917506</formula1>
    </dataValidation>
    <dataValidation type="list" allowBlank="1" showInputMessage="1" showErrorMessage="1" sqref="EHF917509:EHF917532">
      <formula1>項目!A4:$EGY$917506</formula1>
    </dataValidation>
    <dataValidation type="list" allowBlank="1" showInputMessage="1" showErrorMessage="1" sqref="ERB917509:ERB917532">
      <formula1>項目!A4:$EQU$917506</formula1>
    </dataValidation>
    <dataValidation type="list" allowBlank="1" showInputMessage="1" showErrorMessage="1" sqref="FAX917509:FAX917532">
      <formula1>項目!A4:$FAQ$917506</formula1>
    </dataValidation>
    <dataValidation type="list" allowBlank="1" showInputMessage="1" showErrorMessage="1" sqref="FKT917509:FKT917532">
      <formula1>項目!A4:$FKM$917506</formula1>
    </dataValidation>
    <dataValidation type="list" allowBlank="1" showInputMessage="1" showErrorMessage="1" sqref="FUP917509:FUP917532">
      <formula1>項目!A4:$FUI$917506</formula1>
    </dataValidation>
    <dataValidation type="list" allowBlank="1" showInputMessage="1" showErrorMessage="1" sqref="GEL917509:GEL917532">
      <formula1>項目!A4:$GEE$917506</formula1>
    </dataValidation>
    <dataValidation type="list" allowBlank="1" showInputMessage="1" showErrorMessage="1" sqref="GOH917509:GOH917532">
      <formula1>項目!A4:$GOA$917506</formula1>
    </dataValidation>
    <dataValidation type="list" allowBlank="1" showInputMessage="1" showErrorMessage="1" sqref="GYD917509:GYD917532">
      <formula1>項目!A4:$GXW$917506</formula1>
    </dataValidation>
    <dataValidation type="list" allowBlank="1" showInputMessage="1" showErrorMessage="1" sqref="HHZ917509:HHZ917532">
      <formula1>項目!A4:$HHS$917506</formula1>
    </dataValidation>
    <dataValidation type="list" allowBlank="1" showInputMessage="1" showErrorMessage="1" sqref="HRV917509:HRV917532">
      <formula1>項目!A4:$HRO$917506</formula1>
    </dataValidation>
    <dataValidation type="list" allowBlank="1" showInputMessage="1" showErrorMessage="1" sqref="IBR917509:IBR917532">
      <formula1>項目!A4:$IBK$917506</formula1>
    </dataValidation>
    <dataValidation type="list" allowBlank="1" showInputMessage="1" showErrorMessage="1" sqref="ILN917509:ILN917532">
      <formula1>項目!A4:$ILG$917506</formula1>
    </dataValidation>
    <dataValidation type="list" allowBlank="1" showInputMessage="1" showErrorMessage="1" sqref="IVJ917509:IVJ917532">
      <formula1>項目!A4:$IVC$917506</formula1>
    </dataValidation>
    <dataValidation type="list" allowBlank="1" showInputMessage="1" showErrorMessage="1" sqref="JFF917509:JFF917532">
      <formula1>項目!A4:$JEY$917506</formula1>
    </dataValidation>
    <dataValidation type="list" allowBlank="1" showInputMessage="1" showErrorMessage="1" sqref="JPB917509:JPB917532">
      <formula1>項目!A4:$JOU$917506</formula1>
    </dataValidation>
    <dataValidation type="list" allowBlank="1" showInputMessage="1" showErrorMessage="1" sqref="JYX917509:JYX917532">
      <formula1>項目!A4:$JYQ$917506</formula1>
    </dataValidation>
    <dataValidation type="list" allowBlank="1" showInputMessage="1" showErrorMessage="1" sqref="KIT917509:KIT917532">
      <formula1>項目!A4:$KIM$917506</formula1>
    </dataValidation>
    <dataValidation type="list" allowBlank="1" showInputMessage="1" showErrorMessage="1" sqref="KSP917509:KSP917532">
      <formula1>項目!A4:$KSI$917506</formula1>
    </dataValidation>
    <dataValidation type="list" allowBlank="1" showInputMessage="1" showErrorMessage="1" sqref="LCL917509:LCL917532">
      <formula1>項目!A4:$LCE$917506</formula1>
    </dataValidation>
    <dataValidation type="list" allowBlank="1" showInputMessage="1" showErrorMessage="1" sqref="LMH917509:LMH917532">
      <formula1>項目!A4:$LMA$917506</formula1>
    </dataValidation>
    <dataValidation type="list" allowBlank="1" showInputMessage="1" showErrorMessage="1" sqref="LWD917509:LWD917532">
      <formula1>項目!A4:$LVW$917506</formula1>
    </dataValidation>
    <dataValidation type="list" allowBlank="1" showInputMessage="1" showErrorMessage="1" sqref="MFZ917509:MFZ917532">
      <formula1>項目!A4:$MFS$917506</formula1>
    </dataValidation>
    <dataValidation type="list" allowBlank="1" showInputMessage="1" showErrorMessage="1" sqref="MPV917509:MPV917532">
      <formula1>項目!A4:$MPO$917506</formula1>
    </dataValidation>
    <dataValidation type="list" allowBlank="1" showInputMessage="1" showErrorMessage="1" sqref="MZR917509:MZR917532">
      <formula1>項目!A4:$MZK$917506</formula1>
    </dataValidation>
    <dataValidation type="list" allowBlank="1" showInputMessage="1" showErrorMessage="1" sqref="NJN917509:NJN917532">
      <formula1>項目!A4:$NJG$917506</formula1>
    </dataValidation>
    <dataValidation type="list" allowBlank="1" showInputMessage="1" showErrorMessage="1" sqref="NTJ917509:NTJ917532">
      <formula1>項目!A4:$NTC$917506</formula1>
    </dataValidation>
    <dataValidation type="list" allowBlank="1" showInputMessage="1" showErrorMessage="1" sqref="ODF917509:ODF917532">
      <formula1>項目!A4:$OCY$917506</formula1>
    </dataValidation>
    <dataValidation type="list" allowBlank="1" showInputMessage="1" showErrorMessage="1" sqref="ONB917509:ONB917532">
      <formula1>項目!A4:$OMU$917506</formula1>
    </dataValidation>
    <dataValidation type="list" allowBlank="1" showInputMessage="1" showErrorMessage="1" sqref="OWX917509:OWX917532">
      <formula1>項目!A4:$OWQ$917506</formula1>
    </dataValidation>
    <dataValidation type="list" allowBlank="1" showInputMessage="1" showErrorMessage="1" sqref="PGT917509:PGT917532">
      <formula1>項目!A4:$PGM$917506</formula1>
    </dataValidation>
    <dataValidation type="list" allowBlank="1" showInputMessage="1" showErrorMessage="1" sqref="PQP917509:PQP917532">
      <formula1>項目!A4:$PQI$917506</formula1>
    </dataValidation>
    <dataValidation type="list" allowBlank="1" showInputMessage="1" showErrorMessage="1" sqref="QAL917509:QAL917532">
      <formula1>項目!A4:$QAE$917506</formula1>
    </dataValidation>
    <dataValidation type="list" allowBlank="1" showInputMessage="1" showErrorMessage="1" sqref="QKH917509:QKH917532">
      <formula1>項目!A4:$QKA$917506</formula1>
    </dataValidation>
    <dataValidation type="list" allowBlank="1" showInputMessage="1" showErrorMessage="1" sqref="QUD917509:QUD917532">
      <formula1>項目!A4:$QTW$917506</formula1>
    </dataValidation>
    <dataValidation type="list" allowBlank="1" showInputMessage="1" showErrorMessage="1" sqref="RDZ917509:RDZ917532">
      <formula1>項目!A4:$RDS$917506</formula1>
    </dataValidation>
    <dataValidation type="list" allowBlank="1" showInputMessage="1" showErrorMessage="1" sqref="RNV917509:RNV917532">
      <formula1>項目!A4:$RNO$917506</formula1>
    </dataValidation>
    <dataValidation type="list" allowBlank="1" showInputMessage="1" showErrorMessage="1" sqref="RXR917509:RXR917532">
      <formula1>項目!A4:$RXK$917506</formula1>
    </dataValidation>
    <dataValidation type="list" allowBlank="1" showInputMessage="1" showErrorMessage="1" sqref="SHN917509:SHN917532">
      <formula1>項目!A4:$SHG$917506</formula1>
    </dataValidation>
    <dataValidation type="list" allowBlank="1" showInputMessage="1" showErrorMessage="1" sqref="SRJ917509:SRJ917532">
      <formula1>項目!A4:$SRC$917506</formula1>
    </dataValidation>
    <dataValidation type="list" allowBlank="1" showInputMessage="1" showErrorMessage="1" sqref="TBF917509:TBF917532">
      <formula1>項目!A4:$TAY$917506</formula1>
    </dataValidation>
    <dataValidation type="list" allowBlank="1" showInputMessage="1" showErrorMessage="1" sqref="TLB917509:TLB917532">
      <formula1>項目!A4:$TKU$917506</formula1>
    </dataValidation>
    <dataValidation type="list" allowBlank="1" showInputMessage="1" showErrorMessage="1" sqref="TUX917509:TUX917532">
      <formula1>項目!A4:$TUQ$917506</formula1>
    </dataValidation>
    <dataValidation type="list" allowBlank="1" showInputMessage="1" showErrorMessage="1" sqref="UET917509:UET917532">
      <formula1>項目!A4:$UEM$917506</formula1>
    </dataValidation>
    <dataValidation type="list" allowBlank="1" showInputMessage="1" showErrorMessage="1" sqref="UOP917509:UOP917532">
      <formula1>項目!A4:$UOI$917506</formula1>
    </dataValidation>
    <dataValidation type="list" allowBlank="1" showInputMessage="1" showErrorMessage="1" sqref="UYL917509:UYL917532">
      <formula1>項目!A4:$UYE$917506</formula1>
    </dataValidation>
    <dataValidation type="list" allowBlank="1" showInputMessage="1" showErrorMessage="1" sqref="VIH917509:VIH917532">
      <formula1>項目!A4:$VIA$917506</formula1>
    </dataValidation>
    <dataValidation type="list" allowBlank="1" showInputMessage="1" showErrorMessage="1" sqref="VSD917509:VSD917532">
      <formula1>項目!A4:$VRW$917506</formula1>
    </dataValidation>
    <dataValidation type="list" allowBlank="1" showInputMessage="1" showErrorMessage="1" sqref="WBZ917509:WBZ917532">
      <formula1>項目!A4:$WBS$917506</formula1>
    </dataValidation>
    <dataValidation type="list" allowBlank="1" showInputMessage="1" showErrorMessage="1" sqref="WLV917509:WLV917532">
      <formula1>項目!A4:$WLO$917506</formula1>
    </dataValidation>
    <dataValidation type="list" allowBlank="1" showInputMessage="1" showErrorMessage="1" sqref="WVR917509:WVR917532">
      <formula1>項目!A4:$WVK$917506</formula1>
    </dataValidation>
    <dataValidation type="list" allowBlank="1" showInputMessage="1" showErrorMessage="1" sqref="JF983045:JF983068">
      <formula1>項目!A4:$IY$983042</formula1>
    </dataValidation>
    <dataValidation type="list" allowBlank="1" showInputMessage="1" showErrorMessage="1" sqref="TB983045:TB983068">
      <formula1>項目!A4:$SU$983042</formula1>
    </dataValidation>
    <dataValidation type="list" allowBlank="1" showInputMessage="1" showErrorMessage="1" sqref="ACX983045:ACX983068">
      <formula1>項目!A4:$ACQ$983042</formula1>
    </dataValidation>
    <dataValidation type="list" allowBlank="1" showInputMessage="1" showErrorMessage="1" sqref="AMT983045:AMT983068">
      <formula1>項目!A4:$AMM$983042</formula1>
    </dataValidation>
    <dataValidation type="list" allowBlank="1" showInputMessage="1" showErrorMessage="1" sqref="AWP983045:AWP983068">
      <formula1>項目!A4:$AWI$983042</formula1>
    </dataValidation>
    <dataValidation type="list" allowBlank="1" showInputMessage="1" showErrorMessage="1" sqref="BGL983045:BGL983068">
      <formula1>項目!A4:$BGE$983042</formula1>
    </dataValidation>
    <dataValidation type="list" allowBlank="1" showInputMessage="1" showErrorMessage="1" sqref="BQH983045:BQH983068">
      <formula1>項目!A4:$BQA$983042</formula1>
    </dataValidation>
    <dataValidation type="list" allowBlank="1" showInputMessage="1" showErrorMessage="1" sqref="CAD983045:CAD983068">
      <formula1>項目!A4:$BZW$983042</formula1>
    </dataValidation>
    <dataValidation type="list" allowBlank="1" showInputMessage="1" showErrorMessage="1" sqref="CJZ983045:CJZ983068">
      <formula1>項目!A4:$CJS$983042</formula1>
    </dataValidation>
    <dataValidation type="list" allowBlank="1" showInputMessage="1" showErrorMessage="1" sqref="CTV983045:CTV983068">
      <formula1>項目!A4:$CTO$983042</formula1>
    </dataValidation>
    <dataValidation type="list" allowBlank="1" showInputMessage="1" showErrorMessage="1" sqref="DDR983045:DDR983068">
      <formula1>項目!A4:$DDK$983042</formula1>
    </dataValidation>
    <dataValidation type="list" allowBlank="1" showInputMessage="1" showErrorMessage="1" sqref="DNN983045:DNN983068">
      <formula1>項目!A4:$DNG$983042</formula1>
    </dataValidation>
    <dataValidation type="list" allowBlank="1" showInputMessage="1" showErrorMessage="1" sqref="DXJ983045:DXJ983068">
      <formula1>項目!A4:$DXC$983042</formula1>
    </dataValidation>
    <dataValidation type="list" allowBlank="1" showInputMessage="1" showErrorMessage="1" sqref="EHF983045:EHF983068">
      <formula1>項目!A4:$EGY$983042</formula1>
    </dataValidation>
    <dataValidation type="list" allowBlank="1" showInputMessage="1" showErrorMessage="1" sqref="ERB983045:ERB983068">
      <formula1>項目!A4:$EQU$983042</formula1>
    </dataValidation>
    <dataValidation type="list" allowBlank="1" showInputMessage="1" showErrorMessage="1" sqref="FAX983045:FAX983068">
      <formula1>項目!A4:$FAQ$983042</formula1>
    </dataValidation>
    <dataValidation type="list" allowBlank="1" showInputMessage="1" showErrorMessage="1" sqref="FKT983045:FKT983068">
      <formula1>項目!A4:$FKM$983042</formula1>
    </dataValidation>
    <dataValidation type="list" allowBlank="1" showInputMessage="1" showErrorMessage="1" sqref="FUP983045:FUP983068">
      <formula1>項目!A4:$FUI$983042</formula1>
    </dataValidation>
    <dataValidation type="list" allowBlank="1" showInputMessage="1" showErrorMessage="1" sqref="GEL983045:GEL983068">
      <formula1>項目!A4:$GEE$983042</formula1>
    </dataValidation>
    <dataValidation type="list" allowBlank="1" showInputMessage="1" showErrorMessage="1" sqref="GOH983045:GOH983068">
      <formula1>項目!A4:$GOA$983042</formula1>
    </dataValidation>
    <dataValidation type="list" allowBlank="1" showInputMessage="1" showErrorMessage="1" sqref="GYD983045:GYD983068">
      <formula1>項目!A4:$GXW$983042</formula1>
    </dataValidation>
    <dataValidation type="list" allowBlank="1" showInputMessage="1" showErrorMessage="1" sqref="HHZ983045:HHZ983068">
      <formula1>項目!A4:$HHS$983042</formula1>
    </dataValidation>
    <dataValidation type="list" allowBlank="1" showInputMessage="1" showErrorMessage="1" sqref="HRV983045:HRV983068">
      <formula1>項目!A4:$HRO$983042</formula1>
    </dataValidation>
    <dataValidation type="list" allowBlank="1" showInputMessage="1" showErrorMessage="1" sqref="IBR983045:IBR983068">
      <formula1>項目!A4:$IBK$983042</formula1>
    </dataValidation>
    <dataValidation type="list" allowBlank="1" showInputMessage="1" showErrorMessage="1" sqref="ILN983045:ILN983068">
      <formula1>項目!A4:$ILG$983042</formula1>
    </dataValidation>
    <dataValidation type="list" allowBlank="1" showInputMessage="1" showErrorMessage="1" sqref="IVJ983045:IVJ983068">
      <formula1>項目!A4:$IVC$983042</formula1>
    </dataValidation>
    <dataValidation type="list" allowBlank="1" showInputMessage="1" showErrorMessage="1" sqref="JFF983045:JFF983068">
      <formula1>項目!A4:$JEY$983042</formula1>
    </dataValidation>
    <dataValidation type="list" allowBlank="1" showInputMessage="1" showErrorMessage="1" sqref="JPB983045:JPB983068">
      <formula1>項目!A4:$JOU$983042</formula1>
    </dataValidation>
    <dataValidation type="list" allowBlank="1" showInputMessage="1" showErrorMessage="1" sqref="JYX983045:JYX983068">
      <formula1>項目!A4:$JYQ$983042</formula1>
    </dataValidation>
    <dataValidation type="list" allowBlank="1" showInputMessage="1" showErrorMessage="1" sqref="KIT983045:KIT983068">
      <formula1>項目!A4:$KIM$983042</formula1>
    </dataValidation>
    <dataValidation type="list" allowBlank="1" showInputMessage="1" showErrorMessage="1" sqref="KSP983045:KSP983068">
      <formula1>項目!A4:$KSI$983042</formula1>
    </dataValidation>
    <dataValidation type="list" allowBlank="1" showInputMessage="1" showErrorMessage="1" sqref="LCL983045:LCL983068">
      <formula1>項目!A4:$LCE$983042</formula1>
    </dataValidation>
    <dataValidation type="list" allowBlank="1" showInputMessage="1" showErrorMessage="1" sqref="LMH983045:LMH983068">
      <formula1>項目!A4:$LMA$983042</formula1>
    </dataValidation>
    <dataValidation type="list" allowBlank="1" showInputMessage="1" showErrorMessage="1" sqref="LWD983045:LWD983068">
      <formula1>項目!A4:$LVW$983042</formula1>
    </dataValidation>
    <dataValidation type="list" allowBlank="1" showInputMessage="1" showErrorMessage="1" sqref="MFZ983045:MFZ983068">
      <formula1>項目!A4:$MFS$983042</formula1>
    </dataValidation>
    <dataValidation type="list" allowBlank="1" showInputMessage="1" showErrorMessage="1" sqref="MPV983045:MPV983068">
      <formula1>項目!A4:$MPO$983042</formula1>
    </dataValidation>
    <dataValidation type="list" allowBlank="1" showInputMessage="1" showErrorMessage="1" sqref="MZR983045:MZR983068">
      <formula1>項目!A4:$MZK$983042</formula1>
    </dataValidation>
    <dataValidation type="list" allowBlank="1" showInputMessage="1" showErrorMessage="1" sqref="NJN983045:NJN983068">
      <formula1>項目!A4:$NJG$983042</formula1>
    </dataValidation>
    <dataValidation type="list" allowBlank="1" showInputMessage="1" showErrorMessage="1" sqref="NTJ983045:NTJ983068">
      <formula1>項目!A4:$NTC$983042</formula1>
    </dataValidation>
    <dataValidation type="list" allowBlank="1" showInputMessage="1" showErrorMessage="1" sqref="ODF983045:ODF983068">
      <formula1>項目!A4:$OCY$983042</formula1>
    </dataValidation>
    <dataValidation type="list" allowBlank="1" showInputMessage="1" showErrorMessage="1" sqref="ONB983045:ONB983068">
      <formula1>項目!A4:$OMU$983042</formula1>
    </dataValidation>
    <dataValidation type="list" allowBlank="1" showInputMessage="1" showErrorMessage="1" sqref="OWX983045:OWX983068">
      <formula1>項目!A4:$OWQ$983042</formula1>
    </dataValidation>
    <dataValidation type="list" allowBlank="1" showInputMessage="1" showErrorMessage="1" sqref="PGT983045:PGT983068">
      <formula1>項目!A4:$PGM$983042</formula1>
    </dataValidation>
    <dataValidation type="list" allowBlank="1" showInputMessage="1" showErrorMessage="1" sqref="PQP983045:PQP983068">
      <formula1>項目!A4:$PQI$983042</formula1>
    </dataValidation>
    <dataValidation type="list" allowBlank="1" showInputMessage="1" showErrorMessage="1" sqref="QAL983045:QAL983068">
      <formula1>項目!A4:$QAE$983042</formula1>
    </dataValidation>
    <dataValidation type="list" allowBlank="1" showInputMessage="1" showErrorMessage="1" sqref="QKH983045:QKH983068">
      <formula1>項目!A4:$QKA$983042</formula1>
    </dataValidation>
    <dataValidation type="list" allowBlank="1" showInputMessage="1" showErrorMessage="1" sqref="QUD983045:QUD983068">
      <formula1>項目!A4:$QTW$983042</formula1>
    </dataValidation>
    <dataValidation type="list" allowBlank="1" showInputMessage="1" showErrorMessage="1" sqref="RDZ983045:RDZ983068">
      <formula1>項目!A4:$RDS$983042</formula1>
    </dataValidation>
    <dataValidation type="list" allowBlank="1" showInputMessage="1" showErrorMessage="1" sqref="RNV983045:RNV983068">
      <formula1>項目!A4:$RNO$983042</formula1>
    </dataValidation>
    <dataValidation type="list" allowBlank="1" showInputMessage="1" showErrorMessage="1" sqref="RXR983045:RXR983068">
      <formula1>項目!A4:$RXK$983042</formula1>
    </dataValidation>
    <dataValidation type="list" allowBlank="1" showInputMessage="1" showErrorMessage="1" sqref="SHN983045:SHN983068">
      <formula1>項目!A4:$SHG$983042</formula1>
    </dataValidation>
    <dataValidation type="list" allowBlank="1" showInputMessage="1" showErrorMessage="1" sqref="SRJ983045:SRJ983068">
      <formula1>項目!A4:$SRC$983042</formula1>
    </dataValidation>
    <dataValidation type="list" allowBlank="1" showInputMessage="1" showErrorMessage="1" sqref="TBF983045:TBF983068">
      <formula1>項目!A4:$TAY$983042</formula1>
    </dataValidation>
    <dataValidation type="list" allowBlank="1" showInputMessage="1" showErrorMessage="1" sqref="TLB983045:TLB983068">
      <formula1>項目!A4:$TKU$983042</formula1>
    </dataValidation>
    <dataValidation type="list" allowBlank="1" showInputMessage="1" showErrorMessage="1" sqref="TUX983045:TUX983068">
      <formula1>項目!A4:$TUQ$983042</formula1>
    </dataValidation>
    <dataValidation type="list" allowBlank="1" showInputMessage="1" showErrorMessage="1" sqref="UET983045:UET983068">
      <formula1>項目!A4:$UEM$983042</formula1>
    </dataValidation>
    <dataValidation type="list" allowBlank="1" showInputMessage="1" showErrorMessage="1" sqref="UOP983045:UOP983068">
      <formula1>項目!A4:$UOI$983042</formula1>
    </dataValidation>
    <dataValidation type="list" allowBlank="1" showInputMessage="1" showErrorMessage="1" sqref="UYL983045:UYL983068">
      <formula1>項目!A4:$UYE$983042</formula1>
    </dataValidation>
    <dataValidation type="list" allowBlank="1" showInputMessage="1" showErrorMessage="1" sqref="VIH983045:VIH983068">
      <formula1>項目!A4:$VIA$983042</formula1>
    </dataValidation>
    <dataValidation type="list" allowBlank="1" showInputMessage="1" showErrorMessage="1" sqref="VSD983045:VSD983068">
      <formula1>項目!A4:$VRW$983042</formula1>
    </dataValidation>
    <dataValidation type="list" allowBlank="1" showInputMessage="1" showErrorMessage="1" sqref="WBZ983045:WBZ983068">
      <formula1>項目!A4:$WBS$983042</formula1>
    </dataValidation>
    <dataValidation type="list" allowBlank="1" showInputMessage="1" showErrorMessage="1" sqref="WLV983045:WLV983068">
      <formula1>項目!A4:$WLO$983042</formula1>
    </dataValidation>
    <dataValidation type="list" allowBlank="1" showInputMessage="1" showErrorMessage="1" sqref="WVR983045:WVR983068">
      <formula1>項目!A4:$WVK$983042</formula1>
    </dataValidation>
    <dataValidation type="list" allowBlank="1" showInputMessage="1" showErrorMessage="1" sqref="JB5:JB28">
      <formula1>項目!A2:$IU$4</formula1>
    </dataValidation>
    <dataValidation type="list" allowBlank="1" showInputMessage="1" showErrorMessage="1" sqref="JJ5:JJ28">
      <formula1>項目!A2:$JC$4</formula1>
    </dataValidation>
    <dataValidation type="list" allowBlank="1" showInputMessage="1" showErrorMessage="1" sqref="TF5:TF28">
      <formula1>項目!A2:$SY$4</formula1>
    </dataValidation>
    <dataValidation type="list" allowBlank="1" showInputMessage="1" showErrorMessage="1" sqref="ADB5:ADB28">
      <formula1>項目!A2:$ACU$4</formula1>
    </dataValidation>
    <dataValidation type="list" allowBlank="1" showInputMessage="1" showErrorMessage="1" sqref="AMX5:AMX28">
      <formula1>項目!A2:$AMQ$4</formula1>
    </dataValidation>
    <dataValidation type="list" allowBlank="1" showInputMessage="1" showErrorMessage="1" sqref="AWT5:AWT28">
      <formula1>項目!A2:$AWM$4</formula1>
    </dataValidation>
    <dataValidation type="list" allowBlank="1" showInputMessage="1" showErrorMessage="1" sqref="BGP5:BGP28">
      <formula1>項目!A2:$BGI$4</formula1>
    </dataValidation>
    <dataValidation type="list" allowBlank="1" showInputMessage="1" showErrorMessage="1" sqref="BQL5:BQL28">
      <formula1>項目!A2:$BQE$4</formula1>
    </dataValidation>
    <dataValidation type="list" allowBlank="1" showInputMessage="1" showErrorMessage="1" sqref="CAH5:CAH28">
      <formula1>項目!A2:$CAA$4</formula1>
    </dataValidation>
    <dataValidation type="list" allowBlank="1" showInputMessage="1" showErrorMessage="1" sqref="CKD5:CKD28">
      <formula1>項目!A2:$CJW$4</formula1>
    </dataValidation>
    <dataValidation type="list" allowBlank="1" showInputMessage="1" showErrorMessage="1" sqref="CTZ5:CTZ28">
      <formula1>項目!A2:$CTS$4</formula1>
    </dataValidation>
    <dataValidation type="list" allowBlank="1" showInputMessage="1" showErrorMessage="1" sqref="DDV5:DDV28">
      <formula1>項目!A2:$DDO$4</formula1>
    </dataValidation>
    <dataValidation type="list" allowBlank="1" showInputMessage="1" showErrorMessage="1" sqref="DNR5:DNR28">
      <formula1>項目!A2:$DNK$4</formula1>
    </dataValidation>
    <dataValidation type="list" allowBlank="1" showInputMessage="1" showErrorMessage="1" sqref="DXN5:DXN28">
      <formula1>項目!A2:$DXG$4</formula1>
    </dataValidation>
    <dataValidation type="list" allowBlank="1" showInputMessage="1" showErrorMessage="1" sqref="EHJ5:EHJ28">
      <formula1>項目!A2:$EHC$4</formula1>
    </dataValidation>
    <dataValidation type="list" allowBlank="1" showInputMessage="1" showErrorMessage="1" sqref="ERF5:ERF28">
      <formula1>項目!A2:$EQY$4</formula1>
    </dataValidation>
    <dataValidation type="list" allowBlank="1" showInputMessage="1" showErrorMessage="1" sqref="FBB5:FBB28">
      <formula1>項目!A2:$FAU$4</formula1>
    </dataValidation>
    <dataValidation type="list" allowBlank="1" showInputMessage="1" showErrorMessage="1" sqref="FKX5:FKX28">
      <formula1>項目!A2:$FKQ$4</formula1>
    </dataValidation>
    <dataValidation type="list" allowBlank="1" showInputMessage="1" showErrorMessage="1" sqref="FUT5:FUT28">
      <formula1>項目!A2:$FUM$4</formula1>
    </dataValidation>
    <dataValidation type="list" allowBlank="1" showInputMessage="1" showErrorMessage="1" sqref="GEP5:GEP28">
      <formula1>項目!A2:$GEI$4</formula1>
    </dataValidation>
    <dataValidation type="list" allowBlank="1" showInputMessage="1" showErrorMessage="1" sqref="GOL5:GOL28">
      <formula1>項目!A2:$GOE$4</formula1>
    </dataValidation>
    <dataValidation type="list" allowBlank="1" showInputMessage="1" showErrorMessage="1" sqref="GYH5:GYH28">
      <formula1>項目!A2:$GYA$4</formula1>
    </dataValidation>
    <dataValidation type="list" allowBlank="1" showInputMessage="1" showErrorMessage="1" sqref="HID5:HID28">
      <formula1>項目!A2:$HHW$4</formula1>
    </dataValidation>
    <dataValidation type="list" allowBlank="1" showInputMessage="1" showErrorMessage="1" sqref="HRZ5:HRZ28">
      <formula1>項目!A2:$HRS$4</formula1>
    </dataValidation>
    <dataValidation type="list" allowBlank="1" showInputMessage="1" showErrorMessage="1" sqref="IBV5:IBV28">
      <formula1>項目!A2:$IBO$4</formula1>
    </dataValidation>
    <dataValidation type="list" allowBlank="1" showInputMessage="1" showErrorMessage="1" sqref="ILR5:ILR28">
      <formula1>項目!A2:$ILK$4</formula1>
    </dataValidation>
    <dataValidation type="list" allowBlank="1" showInputMessage="1" showErrorMessage="1" sqref="IVN5:IVN28">
      <formula1>項目!A2:$IVG$4</formula1>
    </dataValidation>
    <dataValidation type="list" allowBlank="1" showInputMessage="1" showErrorMessage="1" sqref="JFJ5:JFJ28">
      <formula1>項目!A2:$JFC$4</formula1>
    </dataValidation>
    <dataValidation type="list" allowBlank="1" showInputMessage="1" showErrorMessage="1" sqref="JPF5:JPF28">
      <formula1>項目!A2:$JOY$4</formula1>
    </dataValidation>
    <dataValidation type="list" allowBlank="1" showInputMessage="1" showErrorMessage="1" sqref="JZB5:JZB28">
      <formula1>項目!A2:$JYU$4</formula1>
    </dataValidation>
    <dataValidation type="list" allowBlank="1" showInputMessage="1" showErrorMessage="1" sqref="KIX5:KIX28">
      <formula1>項目!A2:$KIQ$4</formula1>
    </dataValidation>
    <dataValidation type="list" allowBlank="1" showInputMessage="1" showErrorMessage="1" sqref="KST5:KST28">
      <formula1>項目!A2:$KSM$4</formula1>
    </dataValidation>
    <dataValidation type="list" allowBlank="1" showInputMessage="1" showErrorMessage="1" sqref="LCP5:LCP28">
      <formula1>項目!A2:$LCI$4</formula1>
    </dataValidation>
    <dataValidation type="list" allowBlank="1" showInputMessage="1" showErrorMessage="1" sqref="LML5:LML28">
      <formula1>項目!A2:$LME$4</formula1>
    </dataValidation>
    <dataValidation type="list" allowBlank="1" showInputMessage="1" showErrorMessage="1" sqref="LWH5:LWH28">
      <formula1>項目!A2:$LWA$4</formula1>
    </dataValidation>
    <dataValidation type="list" allowBlank="1" showInputMessage="1" showErrorMessage="1" sqref="MGD5:MGD28">
      <formula1>項目!A2:$MFW$4</formula1>
    </dataValidation>
    <dataValidation type="list" allowBlank="1" showInputMessage="1" showErrorMessage="1" sqref="MPZ5:MPZ28">
      <formula1>項目!A2:$MPS$4</formula1>
    </dataValidation>
    <dataValidation type="list" allowBlank="1" showInputMessage="1" showErrorMessage="1" sqref="MZV5:MZV28">
      <formula1>項目!A2:$MZO$4</formula1>
    </dataValidation>
    <dataValidation type="list" allowBlank="1" showInputMessage="1" showErrorMessage="1" sqref="NJR5:NJR28">
      <formula1>項目!A2:$NJK$4</formula1>
    </dataValidation>
    <dataValidation type="list" allowBlank="1" showInputMessage="1" showErrorMessage="1" sqref="NTN5:NTN28">
      <formula1>項目!A2:$NTG$4</formula1>
    </dataValidation>
    <dataValidation type="list" allowBlank="1" showInputMessage="1" showErrorMessage="1" sqref="ODJ5:ODJ28">
      <formula1>項目!A2:$ODC$4</formula1>
    </dataValidation>
    <dataValidation type="list" allowBlank="1" showInputMessage="1" showErrorMessage="1" sqref="ONF5:ONF28">
      <formula1>項目!A2:$OMY$4</formula1>
    </dataValidation>
    <dataValidation type="list" allowBlank="1" showInputMessage="1" showErrorMessage="1" sqref="OXB5:OXB28">
      <formula1>項目!A2:$OWU$4</formula1>
    </dataValidation>
    <dataValidation type="list" allowBlank="1" showInputMessage="1" showErrorMessage="1" sqref="PGX5:PGX28">
      <formula1>項目!A2:$PGQ$4</formula1>
    </dataValidation>
    <dataValidation type="list" allowBlank="1" showInputMessage="1" showErrorMessage="1" sqref="PQT5:PQT28">
      <formula1>項目!A2:$PQM$4</formula1>
    </dataValidation>
    <dataValidation type="list" allowBlank="1" showInputMessage="1" showErrorMessage="1" sqref="QAP5:QAP28">
      <formula1>項目!A2:$QAI$4</formula1>
    </dataValidation>
    <dataValidation type="list" allowBlank="1" showInputMessage="1" showErrorMessage="1" sqref="QKL5:QKL28">
      <formula1>項目!A2:$QKE$4</formula1>
    </dataValidation>
    <dataValidation type="list" allowBlank="1" showInputMessage="1" showErrorMessage="1" sqref="QUH5:QUH28">
      <formula1>項目!A2:$QUA$4</formula1>
    </dataValidation>
    <dataValidation type="list" allowBlank="1" showInputMessage="1" showErrorMessage="1" sqref="RED5:RED28">
      <formula1>項目!A2:$RDW$4</formula1>
    </dataValidation>
    <dataValidation type="list" allowBlank="1" showInputMessage="1" showErrorMessage="1" sqref="RNZ5:RNZ28">
      <formula1>項目!A2:$RNS$4</formula1>
    </dataValidation>
    <dataValidation type="list" allowBlank="1" showInputMessage="1" showErrorMessage="1" sqref="RXV5:RXV28">
      <formula1>項目!A2:$RXO$4</formula1>
    </dataValidation>
    <dataValidation type="list" allowBlank="1" showInputMessage="1" showErrorMessage="1" sqref="SHR5:SHR28">
      <formula1>項目!A2:$SHK$4</formula1>
    </dataValidation>
    <dataValidation type="list" allowBlank="1" showInputMessage="1" showErrorMessage="1" sqref="SRN5:SRN28">
      <formula1>項目!A2:$SRG$4</formula1>
    </dataValidation>
    <dataValidation type="list" allowBlank="1" showInputMessage="1" showErrorMessage="1" sqref="TBJ5:TBJ28">
      <formula1>項目!A2:$TBC$4</formula1>
    </dataValidation>
    <dataValidation type="list" allowBlank="1" showInputMessage="1" showErrorMessage="1" sqref="TLF5:TLF28">
      <formula1>項目!A2:$TKY$4</formula1>
    </dataValidation>
    <dataValidation type="list" allowBlank="1" showInputMessage="1" showErrorMessage="1" sqref="TVB5:TVB28">
      <formula1>項目!A2:$TUU$4</formula1>
    </dataValidation>
    <dataValidation type="list" allowBlank="1" showInputMessage="1" showErrorMessage="1" sqref="UEX5:UEX28">
      <formula1>項目!A2:$UEQ$4</formula1>
    </dataValidation>
    <dataValidation type="list" allowBlank="1" showInputMessage="1" showErrorMessage="1" sqref="UOT5:UOT28">
      <formula1>項目!A2:$UOM$4</formula1>
    </dataValidation>
    <dataValidation type="list" allowBlank="1" showInputMessage="1" showErrorMessage="1" sqref="UYP5:UYP28">
      <formula1>項目!A2:$UYI$4</formula1>
    </dataValidation>
    <dataValidation type="list" allowBlank="1" showInputMessage="1" showErrorMessage="1" sqref="VIL5:VIL28">
      <formula1>項目!A2:$VIE$4</formula1>
    </dataValidation>
    <dataValidation type="list" allowBlank="1" showInputMessage="1" showErrorMessage="1" sqref="VSH5:VSH28">
      <formula1>項目!A2:$VSA$4</formula1>
    </dataValidation>
    <dataValidation type="list" allowBlank="1" showInputMessage="1" showErrorMessage="1" sqref="WCD5:WCD28">
      <formula1>項目!A2:$WBW$4</formula1>
    </dataValidation>
    <dataValidation type="list" allowBlank="1" showInputMessage="1" showErrorMessage="1" sqref="WLZ5:WLZ28">
      <formula1>項目!A2:$WLS$4</formula1>
    </dataValidation>
    <dataValidation type="list" allowBlank="1" showInputMessage="1" showErrorMessage="1" sqref="WVV5:WVV28">
      <formula1>項目!A2:$WVO$4</formula1>
    </dataValidation>
    <dataValidation type="list" allowBlank="1" showInputMessage="1" showErrorMessage="1" sqref="JJ65541:JJ65564">
      <formula1>項目!A4:$JC$65538</formula1>
    </dataValidation>
    <dataValidation type="list" allowBlank="1" showInputMessage="1" showErrorMessage="1" sqref="TF65541:TF65564">
      <formula1>項目!A4:$SY$65538</formula1>
    </dataValidation>
    <dataValidation type="list" allowBlank="1" showInputMessage="1" showErrorMessage="1" sqref="ADB65541:ADB65564">
      <formula1>項目!A4:$ACU$65538</formula1>
    </dataValidation>
    <dataValidation type="list" allowBlank="1" showInputMessage="1" showErrorMessage="1" sqref="AMX65541:AMX65564">
      <formula1>項目!A4:$AMQ$65538</formula1>
    </dataValidation>
    <dataValidation type="list" allowBlank="1" showInputMessage="1" showErrorMessage="1" sqref="AWT65541:AWT65564">
      <formula1>項目!A4:$AWM$65538</formula1>
    </dataValidation>
    <dataValidation type="list" allowBlank="1" showInputMessage="1" showErrorMessage="1" sqref="BGP65541:BGP65564">
      <formula1>項目!A4:$BGI$65538</formula1>
    </dataValidation>
    <dataValidation type="list" allowBlank="1" showInputMessage="1" showErrorMessage="1" sqref="BQL65541:BQL65564">
      <formula1>項目!A4:$BQE$65538</formula1>
    </dataValidation>
    <dataValidation type="list" allowBlank="1" showInputMessage="1" showErrorMessage="1" sqref="CAH65541:CAH65564">
      <formula1>項目!A4:$CAA$65538</formula1>
    </dataValidation>
    <dataValidation type="list" allowBlank="1" showInputMessage="1" showErrorMessage="1" sqref="CKD65541:CKD65564">
      <formula1>項目!A4:$CJW$65538</formula1>
    </dataValidation>
    <dataValidation type="list" allowBlank="1" showInputMessage="1" showErrorMessage="1" sqref="CTZ65541:CTZ65564">
      <formula1>項目!A4:$CTS$65538</formula1>
    </dataValidation>
    <dataValidation type="list" allowBlank="1" showInputMessage="1" showErrorMessage="1" sqref="DDV65541:DDV65564">
      <formula1>項目!A4:$DDO$65538</formula1>
    </dataValidation>
    <dataValidation type="list" allowBlank="1" showInputMessage="1" showErrorMessage="1" sqref="DNR65541:DNR65564">
      <formula1>項目!A4:$DNK$65538</formula1>
    </dataValidation>
    <dataValidation type="list" allowBlank="1" showInputMessage="1" showErrorMessage="1" sqref="DXN65541:DXN65564">
      <formula1>項目!A4:$DXG$65538</formula1>
    </dataValidation>
    <dataValidation type="list" allowBlank="1" showInputMessage="1" showErrorMessage="1" sqref="EHJ65541:EHJ65564">
      <formula1>項目!A4:$EHC$65538</formula1>
    </dataValidation>
    <dataValidation type="list" allowBlank="1" showInputMessage="1" showErrorMessage="1" sqref="ERF65541:ERF65564">
      <formula1>項目!A4:$EQY$65538</formula1>
    </dataValidation>
    <dataValidation type="list" allowBlank="1" showInputMessage="1" showErrorMessage="1" sqref="FBB65541:FBB65564">
      <formula1>項目!A4:$FAU$65538</formula1>
    </dataValidation>
    <dataValidation type="list" allowBlank="1" showInputMessage="1" showErrorMessage="1" sqref="FKX65541:FKX65564">
      <formula1>項目!A4:$FKQ$65538</formula1>
    </dataValidation>
    <dataValidation type="list" allowBlank="1" showInputMessage="1" showErrorMessage="1" sqref="FUT65541:FUT65564">
      <formula1>項目!A4:$FUM$65538</formula1>
    </dataValidation>
    <dataValidation type="list" allowBlank="1" showInputMessage="1" showErrorMessage="1" sqref="GEP65541:GEP65564">
      <formula1>項目!A4:$GEI$65538</formula1>
    </dataValidation>
    <dataValidation type="list" allowBlank="1" showInputMessage="1" showErrorMessage="1" sqref="GOL65541:GOL65564">
      <formula1>項目!A4:$GOE$65538</formula1>
    </dataValidation>
    <dataValidation type="list" allowBlank="1" showInputMessage="1" showErrorMessage="1" sqref="GYH65541:GYH65564">
      <formula1>項目!A4:$GYA$65538</formula1>
    </dataValidation>
    <dataValidation type="list" allowBlank="1" showInputMessage="1" showErrorMessage="1" sqref="HID65541:HID65564">
      <formula1>項目!A4:$HHW$65538</formula1>
    </dataValidation>
    <dataValidation type="list" allowBlank="1" showInputMessage="1" showErrorMessage="1" sqref="HRZ65541:HRZ65564">
      <formula1>項目!A4:$HRS$65538</formula1>
    </dataValidation>
    <dataValidation type="list" allowBlank="1" showInputMessage="1" showErrorMessage="1" sqref="IBV65541:IBV65564">
      <formula1>項目!A4:$IBO$65538</formula1>
    </dataValidation>
    <dataValidation type="list" allowBlank="1" showInputMessage="1" showErrorMessage="1" sqref="ILR65541:ILR65564">
      <formula1>項目!A4:$ILK$65538</formula1>
    </dataValidation>
    <dataValidation type="list" allowBlank="1" showInputMessage="1" showErrorMessage="1" sqref="IVN65541:IVN65564">
      <formula1>項目!A4:$IVG$65538</formula1>
    </dataValidation>
    <dataValidation type="list" allowBlank="1" showInputMessage="1" showErrorMessage="1" sqref="JFJ65541:JFJ65564">
      <formula1>項目!A4:$JFC$65538</formula1>
    </dataValidation>
    <dataValidation type="list" allowBlank="1" showInputMessage="1" showErrorMessage="1" sqref="JPF65541:JPF65564">
      <formula1>項目!A4:$JOY$65538</formula1>
    </dataValidation>
    <dataValidation type="list" allowBlank="1" showInputMessage="1" showErrorMessage="1" sqref="JZB65541:JZB65564">
      <formula1>項目!A4:$JYU$65538</formula1>
    </dataValidation>
    <dataValidation type="list" allowBlank="1" showInputMessage="1" showErrorMessage="1" sqref="KIX65541:KIX65564">
      <formula1>項目!A4:$KIQ$65538</formula1>
    </dataValidation>
    <dataValidation type="list" allowBlank="1" showInputMessage="1" showErrorMessage="1" sqref="KST65541:KST65564">
      <formula1>項目!A4:$KSM$65538</formula1>
    </dataValidation>
    <dataValidation type="list" allowBlank="1" showInputMessage="1" showErrorMessage="1" sqref="LCP65541:LCP65564">
      <formula1>項目!A4:$LCI$65538</formula1>
    </dataValidation>
    <dataValidation type="list" allowBlank="1" showInputMessage="1" showErrorMessage="1" sqref="LML65541:LML65564">
      <formula1>項目!A4:$LME$65538</formula1>
    </dataValidation>
    <dataValidation type="list" allowBlank="1" showInputMessage="1" showErrorMessage="1" sqref="LWH65541:LWH65564">
      <formula1>項目!A4:$LWA$65538</formula1>
    </dataValidation>
    <dataValidation type="list" allowBlank="1" showInputMessage="1" showErrorMessage="1" sqref="MGD65541:MGD65564">
      <formula1>項目!A4:$MFW$65538</formula1>
    </dataValidation>
    <dataValidation type="list" allowBlank="1" showInputMessage="1" showErrorMessage="1" sqref="MPZ65541:MPZ65564">
      <formula1>項目!A4:$MPS$65538</formula1>
    </dataValidation>
    <dataValidation type="list" allowBlank="1" showInputMessage="1" showErrorMessage="1" sqref="MZV65541:MZV65564">
      <formula1>項目!A4:$MZO$65538</formula1>
    </dataValidation>
    <dataValidation type="list" allowBlank="1" showInputMessage="1" showErrorMessage="1" sqref="NJR65541:NJR65564">
      <formula1>項目!A4:$NJK$65538</formula1>
    </dataValidation>
    <dataValidation type="list" allowBlank="1" showInputMessage="1" showErrorMessage="1" sqref="NTN65541:NTN65564">
      <formula1>項目!A4:$NTG$65538</formula1>
    </dataValidation>
    <dataValidation type="list" allowBlank="1" showInputMessage="1" showErrorMessage="1" sqref="ODJ65541:ODJ65564">
      <formula1>項目!A4:$ODC$65538</formula1>
    </dataValidation>
    <dataValidation type="list" allowBlank="1" showInputMessage="1" showErrorMessage="1" sqref="ONF65541:ONF65564">
      <formula1>項目!A4:$OMY$65538</formula1>
    </dataValidation>
    <dataValidation type="list" allowBlank="1" showInputMessage="1" showErrorMessage="1" sqref="OXB65541:OXB65564">
      <formula1>項目!A4:$OWU$65538</formula1>
    </dataValidation>
    <dataValidation type="list" allowBlank="1" showInputMessage="1" showErrorMessage="1" sqref="PGX65541:PGX65564">
      <formula1>項目!A4:$PGQ$65538</formula1>
    </dataValidation>
    <dataValidation type="list" allowBlank="1" showInputMessage="1" showErrorMessage="1" sqref="PQT65541:PQT65564">
      <formula1>項目!A4:$PQM$65538</formula1>
    </dataValidation>
    <dataValidation type="list" allowBlank="1" showInputMessage="1" showErrorMessage="1" sqref="QAP65541:QAP65564">
      <formula1>項目!A4:$QAI$65538</formula1>
    </dataValidation>
    <dataValidation type="list" allowBlank="1" showInputMessage="1" showErrorMessage="1" sqref="QKL65541:QKL65564">
      <formula1>項目!A4:$QKE$65538</formula1>
    </dataValidation>
    <dataValidation type="list" allowBlank="1" showInputMessage="1" showErrorMessage="1" sqref="QUH65541:QUH65564">
      <formula1>項目!A4:$QUA$65538</formula1>
    </dataValidation>
    <dataValidation type="list" allowBlank="1" showInputMessage="1" showErrorMessage="1" sqref="RED65541:RED65564">
      <formula1>項目!A4:$RDW$65538</formula1>
    </dataValidation>
    <dataValidation type="list" allowBlank="1" showInputMessage="1" showErrorMessage="1" sqref="RNZ65541:RNZ65564">
      <formula1>項目!A4:$RNS$65538</formula1>
    </dataValidation>
    <dataValidation type="list" allowBlank="1" showInputMessage="1" showErrorMessage="1" sqref="RXV65541:RXV65564">
      <formula1>項目!A4:$RXO$65538</formula1>
    </dataValidation>
    <dataValidation type="list" allowBlank="1" showInputMessage="1" showErrorMessage="1" sqref="SHR65541:SHR65564">
      <formula1>項目!A4:$SHK$65538</formula1>
    </dataValidation>
    <dataValidation type="list" allowBlank="1" showInputMessage="1" showErrorMessage="1" sqref="SRN65541:SRN65564">
      <formula1>項目!A4:$SRG$65538</formula1>
    </dataValidation>
    <dataValidation type="list" allowBlank="1" showInputMessage="1" showErrorMessage="1" sqref="TBJ65541:TBJ65564">
      <formula1>項目!A4:$TBC$65538</formula1>
    </dataValidation>
    <dataValidation type="list" allowBlank="1" showInputMessage="1" showErrorMessage="1" sqref="TLF65541:TLF65564">
      <formula1>項目!A4:$TKY$65538</formula1>
    </dataValidation>
    <dataValidation type="list" allowBlank="1" showInputMessage="1" showErrorMessage="1" sqref="TVB65541:TVB65564">
      <formula1>項目!A4:$TUU$65538</formula1>
    </dataValidation>
    <dataValidation type="list" allowBlank="1" showInputMessage="1" showErrorMessage="1" sqref="UEX65541:UEX65564">
      <formula1>項目!A4:$UEQ$65538</formula1>
    </dataValidation>
    <dataValidation type="list" allowBlank="1" showInputMessage="1" showErrorMessage="1" sqref="UOT65541:UOT65564">
      <formula1>項目!A4:$UOM$65538</formula1>
    </dataValidation>
    <dataValidation type="list" allowBlank="1" showInputMessage="1" showErrorMessage="1" sqref="UYP65541:UYP65564">
      <formula1>項目!A4:$UYI$65538</formula1>
    </dataValidation>
    <dataValidation type="list" allowBlank="1" showInputMessage="1" showErrorMessage="1" sqref="VIL65541:VIL65564">
      <formula1>項目!A4:$VIE$65538</formula1>
    </dataValidation>
    <dataValidation type="list" allowBlank="1" showInputMessage="1" showErrorMessage="1" sqref="VSH65541:VSH65564">
      <formula1>項目!A4:$VSA$65538</formula1>
    </dataValidation>
    <dataValidation type="list" allowBlank="1" showInputMessage="1" showErrorMessage="1" sqref="WCD65541:WCD65564">
      <formula1>項目!A4:$WBW$65538</formula1>
    </dataValidation>
    <dataValidation type="list" allowBlank="1" showInputMessage="1" showErrorMessage="1" sqref="WLZ65541:WLZ65564">
      <formula1>項目!A4:$WLS$65538</formula1>
    </dataValidation>
    <dataValidation type="list" allowBlank="1" showInputMessage="1" showErrorMessage="1" sqref="WVV65541:WVV65564">
      <formula1>項目!A4:$WVO$65538</formula1>
    </dataValidation>
    <dataValidation type="list" allowBlank="1" showInputMessage="1" showErrorMessage="1" sqref="JJ131077:JJ131100">
      <formula1>項目!A4:$JC$131074</formula1>
    </dataValidation>
    <dataValidation type="list" allowBlank="1" showInputMessage="1" showErrorMessage="1" sqref="TF131077:TF131100">
      <formula1>項目!A4:$SY$131074</formula1>
    </dataValidation>
    <dataValidation type="list" allowBlank="1" showInputMessage="1" showErrorMessage="1" sqref="ADB131077:ADB131100">
      <formula1>項目!A4:$ACU$131074</formula1>
    </dataValidation>
    <dataValidation type="list" allowBlank="1" showInputMessage="1" showErrorMessage="1" sqref="AMX131077:AMX131100">
      <formula1>項目!A4:$AMQ$131074</formula1>
    </dataValidation>
    <dataValidation type="list" allowBlank="1" showInputMessage="1" showErrorMessage="1" sqref="AWT131077:AWT131100">
      <formula1>項目!A4:$AWM$131074</formula1>
    </dataValidation>
    <dataValidation type="list" allowBlank="1" showInputMessage="1" showErrorMessage="1" sqref="BGP131077:BGP131100">
      <formula1>項目!A4:$BGI$131074</formula1>
    </dataValidation>
    <dataValidation type="list" allowBlank="1" showInputMessage="1" showErrorMessage="1" sqref="BQL131077:BQL131100">
      <formula1>項目!A4:$BQE$131074</formula1>
    </dataValidation>
    <dataValidation type="list" allowBlank="1" showInputMessage="1" showErrorMessage="1" sqref="CAH131077:CAH131100">
      <formula1>項目!A4:$CAA$131074</formula1>
    </dataValidation>
    <dataValidation type="list" allowBlank="1" showInputMessage="1" showErrorMessage="1" sqref="CKD131077:CKD131100">
      <formula1>項目!A4:$CJW$131074</formula1>
    </dataValidation>
    <dataValidation type="list" allowBlank="1" showInputMessage="1" showErrorMessage="1" sqref="CTZ131077:CTZ131100">
      <formula1>項目!A4:$CTS$131074</formula1>
    </dataValidation>
    <dataValidation type="list" allowBlank="1" showInputMessage="1" showErrorMessage="1" sqref="DDV131077:DDV131100">
      <formula1>項目!A4:$DDO$131074</formula1>
    </dataValidation>
    <dataValidation type="list" allowBlank="1" showInputMessage="1" showErrorMessage="1" sqref="DNR131077:DNR131100">
      <formula1>項目!A4:$DNK$131074</formula1>
    </dataValidation>
    <dataValidation type="list" allowBlank="1" showInputMessage="1" showErrorMessage="1" sqref="DXN131077:DXN131100">
      <formula1>項目!A4:$DXG$131074</formula1>
    </dataValidation>
    <dataValidation type="list" allowBlank="1" showInputMessage="1" showErrorMessage="1" sqref="EHJ131077:EHJ131100">
      <formula1>項目!A4:$EHC$131074</formula1>
    </dataValidation>
    <dataValidation type="list" allowBlank="1" showInputMessage="1" showErrorMessage="1" sqref="ERF131077:ERF131100">
      <formula1>項目!A4:$EQY$131074</formula1>
    </dataValidation>
    <dataValidation type="list" allowBlank="1" showInputMessage="1" showErrorMessage="1" sqref="FBB131077:FBB131100">
      <formula1>項目!A4:$FAU$131074</formula1>
    </dataValidation>
    <dataValidation type="list" allowBlank="1" showInputMessage="1" showErrorMessage="1" sqref="FKX131077:FKX131100">
      <formula1>項目!A4:$FKQ$131074</formula1>
    </dataValidation>
    <dataValidation type="list" allowBlank="1" showInputMessage="1" showErrorMessage="1" sqref="FUT131077:FUT131100">
      <formula1>項目!A4:$FUM$131074</formula1>
    </dataValidation>
    <dataValidation type="list" allowBlank="1" showInputMessage="1" showErrorMessage="1" sqref="GEP131077:GEP131100">
      <formula1>項目!A4:$GEI$131074</formula1>
    </dataValidation>
    <dataValidation type="list" allowBlank="1" showInputMessage="1" showErrorMessage="1" sqref="GOL131077:GOL131100">
      <formula1>項目!A4:$GOE$131074</formula1>
    </dataValidation>
    <dataValidation type="list" allowBlank="1" showInputMessage="1" showErrorMessage="1" sqref="GYH131077:GYH131100">
      <formula1>項目!A4:$GYA$131074</formula1>
    </dataValidation>
    <dataValidation type="list" allowBlank="1" showInputMessage="1" showErrorMessage="1" sqref="HID131077:HID131100">
      <formula1>項目!A4:$HHW$131074</formula1>
    </dataValidation>
    <dataValidation type="list" allowBlank="1" showInputMessage="1" showErrorMessage="1" sqref="HRZ131077:HRZ131100">
      <formula1>項目!A4:$HRS$131074</formula1>
    </dataValidation>
    <dataValidation type="list" allowBlank="1" showInputMessage="1" showErrorMessage="1" sqref="IBV131077:IBV131100">
      <formula1>項目!A4:$IBO$131074</formula1>
    </dataValidation>
    <dataValidation type="list" allowBlank="1" showInputMessage="1" showErrorMessage="1" sqref="ILR131077:ILR131100">
      <formula1>項目!A4:$ILK$131074</formula1>
    </dataValidation>
    <dataValidation type="list" allowBlank="1" showInputMessage="1" showErrorMessage="1" sqref="IVN131077:IVN131100">
      <formula1>項目!A4:$IVG$131074</formula1>
    </dataValidation>
    <dataValidation type="list" allowBlank="1" showInputMessage="1" showErrorMessage="1" sqref="JFJ131077:JFJ131100">
      <formula1>項目!A4:$JFC$131074</formula1>
    </dataValidation>
    <dataValidation type="list" allowBlank="1" showInputMessage="1" showErrorMessage="1" sqref="JPF131077:JPF131100">
      <formula1>項目!A4:$JOY$131074</formula1>
    </dataValidation>
    <dataValidation type="list" allowBlank="1" showInputMessage="1" showErrorMessage="1" sqref="JZB131077:JZB131100">
      <formula1>項目!A4:$JYU$131074</formula1>
    </dataValidation>
    <dataValidation type="list" allowBlank="1" showInputMessage="1" showErrorMessage="1" sqref="KIX131077:KIX131100">
      <formula1>項目!A4:$KIQ$131074</formula1>
    </dataValidation>
    <dataValidation type="list" allowBlank="1" showInputMessage="1" showErrorMessage="1" sqref="KST131077:KST131100">
      <formula1>項目!A4:$KSM$131074</formula1>
    </dataValidation>
    <dataValidation type="list" allowBlank="1" showInputMessage="1" showErrorMessage="1" sqref="LCP131077:LCP131100">
      <formula1>項目!A4:$LCI$131074</formula1>
    </dataValidation>
    <dataValidation type="list" allowBlank="1" showInputMessage="1" showErrorMessage="1" sqref="LML131077:LML131100">
      <formula1>項目!A4:$LME$131074</formula1>
    </dataValidation>
    <dataValidation type="list" allowBlank="1" showInputMessage="1" showErrorMessage="1" sqref="LWH131077:LWH131100">
      <formula1>項目!A4:$LWA$131074</formula1>
    </dataValidation>
    <dataValidation type="list" allowBlank="1" showInputMessage="1" showErrorMessage="1" sqref="MGD131077:MGD131100">
      <formula1>項目!A4:$MFW$131074</formula1>
    </dataValidation>
    <dataValidation type="list" allowBlank="1" showInputMessage="1" showErrorMessage="1" sqref="MPZ131077:MPZ131100">
      <formula1>項目!A4:$MPS$131074</formula1>
    </dataValidation>
    <dataValidation type="list" allowBlank="1" showInputMessage="1" showErrorMessage="1" sqref="MZV131077:MZV131100">
      <formula1>項目!A4:$MZO$131074</formula1>
    </dataValidation>
    <dataValidation type="list" allowBlank="1" showInputMessage="1" showErrorMessage="1" sqref="NJR131077:NJR131100">
      <formula1>項目!A4:$NJK$131074</formula1>
    </dataValidation>
    <dataValidation type="list" allowBlank="1" showInputMessage="1" showErrorMessage="1" sqref="NTN131077:NTN131100">
      <formula1>項目!A4:$NTG$131074</formula1>
    </dataValidation>
    <dataValidation type="list" allowBlank="1" showInputMessage="1" showErrorMessage="1" sqref="ODJ131077:ODJ131100">
      <formula1>項目!A4:$ODC$131074</formula1>
    </dataValidation>
    <dataValidation type="list" allowBlank="1" showInputMessage="1" showErrorMessage="1" sqref="ONF131077:ONF131100">
      <formula1>項目!A4:$OMY$131074</formula1>
    </dataValidation>
    <dataValidation type="list" allowBlank="1" showInputMessage="1" showErrorMessage="1" sqref="OXB131077:OXB131100">
      <formula1>項目!A4:$OWU$131074</formula1>
    </dataValidation>
    <dataValidation type="list" allowBlank="1" showInputMessage="1" showErrorMessage="1" sqref="PGX131077:PGX131100">
      <formula1>項目!A4:$PGQ$131074</formula1>
    </dataValidation>
    <dataValidation type="list" allowBlank="1" showInputMessage="1" showErrorMessage="1" sqref="PQT131077:PQT131100">
      <formula1>項目!A4:$PQM$131074</formula1>
    </dataValidation>
    <dataValidation type="list" allowBlank="1" showInputMessage="1" showErrorMessage="1" sqref="QAP131077:QAP131100">
      <formula1>項目!A4:$QAI$131074</formula1>
    </dataValidation>
    <dataValidation type="list" allowBlank="1" showInputMessage="1" showErrorMessage="1" sqref="QKL131077:QKL131100">
      <formula1>項目!A4:$QKE$131074</formula1>
    </dataValidation>
    <dataValidation type="list" allowBlank="1" showInputMessage="1" showErrorMessage="1" sqref="QUH131077:QUH131100">
      <formula1>項目!A4:$QUA$131074</formula1>
    </dataValidation>
    <dataValidation type="list" allowBlank="1" showInputMessage="1" showErrorMessage="1" sqref="RED131077:RED131100">
      <formula1>項目!A4:$RDW$131074</formula1>
    </dataValidation>
    <dataValidation type="list" allowBlank="1" showInputMessage="1" showErrorMessage="1" sqref="RNZ131077:RNZ131100">
      <formula1>項目!A4:$RNS$131074</formula1>
    </dataValidation>
    <dataValidation type="list" allowBlank="1" showInputMessage="1" showErrorMessage="1" sqref="RXV131077:RXV131100">
      <formula1>項目!A4:$RXO$131074</formula1>
    </dataValidation>
    <dataValidation type="list" allowBlank="1" showInputMessage="1" showErrorMessage="1" sqref="SHR131077:SHR131100">
      <formula1>項目!A4:$SHK$131074</formula1>
    </dataValidation>
    <dataValidation type="list" allowBlank="1" showInputMessage="1" showErrorMessage="1" sqref="SRN131077:SRN131100">
      <formula1>項目!A4:$SRG$131074</formula1>
    </dataValidation>
    <dataValidation type="list" allowBlank="1" showInputMessage="1" showErrorMessage="1" sqref="TBJ131077:TBJ131100">
      <formula1>項目!A4:$TBC$131074</formula1>
    </dataValidation>
    <dataValidation type="list" allowBlank="1" showInputMessage="1" showErrorMessage="1" sqref="TLF131077:TLF131100">
      <formula1>項目!A4:$TKY$131074</formula1>
    </dataValidation>
    <dataValidation type="list" allowBlank="1" showInputMessage="1" showErrorMessage="1" sqref="TVB131077:TVB131100">
      <formula1>項目!A4:$TUU$131074</formula1>
    </dataValidation>
    <dataValidation type="list" allowBlank="1" showInputMessage="1" showErrorMessage="1" sqref="UEX131077:UEX131100">
      <formula1>項目!A4:$UEQ$131074</formula1>
    </dataValidation>
    <dataValidation type="list" allowBlank="1" showInputMessage="1" showErrorMessage="1" sqref="UOT131077:UOT131100">
      <formula1>項目!A4:$UOM$131074</formula1>
    </dataValidation>
    <dataValidation type="list" allowBlank="1" showInputMessage="1" showErrorMessage="1" sqref="UYP131077:UYP131100">
      <formula1>項目!A4:$UYI$131074</formula1>
    </dataValidation>
    <dataValidation type="list" allowBlank="1" showInputMessage="1" showErrorMessage="1" sqref="VIL131077:VIL131100">
      <formula1>項目!A4:$VIE$131074</formula1>
    </dataValidation>
    <dataValidation type="list" allowBlank="1" showInputMessage="1" showErrorMessage="1" sqref="VSH131077:VSH131100">
      <formula1>項目!A4:$VSA$131074</formula1>
    </dataValidation>
    <dataValidation type="list" allowBlank="1" showInputMessage="1" showErrorMessage="1" sqref="WCD131077:WCD131100">
      <formula1>項目!A4:$WBW$131074</formula1>
    </dataValidation>
    <dataValidation type="list" allowBlank="1" showInputMessage="1" showErrorMessage="1" sqref="WLZ131077:WLZ131100">
      <formula1>項目!A4:$WLS$131074</formula1>
    </dataValidation>
    <dataValidation type="list" allowBlank="1" showInputMessage="1" showErrorMessage="1" sqref="WVV131077:WVV131100">
      <formula1>項目!A4:$WVO$131074</formula1>
    </dataValidation>
    <dataValidation type="list" allowBlank="1" showInputMessage="1" showErrorMessage="1" sqref="JJ196613:JJ196636">
      <formula1>項目!A4:$JC$196610</formula1>
    </dataValidation>
    <dataValidation type="list" allowBlank="1" showInputMessage="1" showErrorMessage="1" sqref="TF196613:TF196636">
      <formula1>項目!A4:$SY$196610</formula1>
    </dataValidation>
    <dataValidation type="list" allowBlank="1" showInputMessage="1" showErrorMessage="1" sqref="ADB196613:ADB196636">
      <formula1>項目!A4:$ACU$196610</formula1>
    </dataValidation>
    <dataValidation type="list" allowBlank="1" showInputMessage="1" showErrorMessage="1" sqref="AMX196613:AMX196636">
      <formula1>項目!A4:$AMQ$196610</formula1>
    </dataValidation>
    <dataValidation type="list" allowBlank="1" showInputMessage="1" showErrorMessage="1" sqref="AWT196613:AWT196636">
      <formula1>項目!A4:$AWM$196610</formula1>
    </dataValidation>
    <dataValidation type="list" allowBlank="1" showInputMessage="1" showErrorMessage="1" sqref="BGP196613:BGP196636">
      <formula1>項目!A4:$BGI$196610</formula1>
    </dataValidation>
    <dataValidation type="list" allowBlank="1" showInputMessage="1" showErrorMessage="1" sqref="BQL196613:BQL196636">
      <formula1>項目!A4:$BQE$196610</formula1>
    </dataValidation>
    <dataValidation type="list" allowBlank="1" showInputMessage="1" showErrorMessage="1" sqref="CAH196613:CAH196636">
      <formula1>項目!A4:$CAA$196610</formula1>
    </dataValidation>
    <dataValidation type="list" allowBlank="1" showInputMessage="1" showErrorMessage="1" sqref="CKD196613:CKD196636">
      <formula1>項目!A4:$CJW$196610</formula1>
    </dataValidation>
    <dataValidation type="list" allowBlank="1" showInputMessage="1" showErrorMessage="1" sqref="CTZ196613:CTZ196636">
      <formula1>項目!A4:$CTS$196610</formula1>
    </dataValidation>
    <dataValidation type="list" allowBlank="1" showInputMessage="1" showErrorMessage="1" sqref="DDV196613:DDV196636">
      <formula1>項目!A4:$DDO$196610</formula1>
    </dataValidation>
    <dataValidation type="list" allowBlank="1" showInputMessage="1" showErrorMessage="1" sqref="DNR196613:DNR196636">
      <formula1>項目!A4:$DNK$196610</formula1>
    </dataValidation>
    <dataValidation type="list" allowBlank="1" showInputMessage="1" showErrorMessage="1" sqref="DXN196613:DXN196636">
      <formula1>項目!A4:$DXG$196610</formula1>
    </dataValidation>
    <dataValidation type="list" allowBlank="1" showInputMessage="1" showErrorMessage="1" sqref="EHJ196613:EHJ196636">
      <formula1>項目!A4:$EHC$196610</formula1>
    </dataValidation>
    <dataValidation type="list" allowBlank="1" showInputMessage="1" showErrorMessage="1" sqref="ERF196613:ERF196636">
      <formula1>項目!A4:$EQY$196610</formula1>
    </dataValidation>
    <dataValidation type="list" allowBlank="1" showInputMessage="1" showErrorMessage="1" sqref="FBB196613:FBB196636">
      <formula1>項目!A4:$FAU$196610</formula1>
    </dataValidation>
    <dataValidation type="list" allowBlank="1" showInputMessage="1" showErrorMessage="1" sqref="FKX196613:FKX196636">
      <formula1>項目!A4:$FKQ$196610</formula1>
    </dataValidation>
    <dataValidation type="list" allowBlank="1" showInputMessage="1" showErrorMessage="1" sqref="FUT196613:FUT196636">
      <formula1>項目!A4:$FUM$196610</formula1>
    </dataValidation>
    <dataValidation type="list" allowBlank="1" showInputMessage="1" showErrorMessage="1" sqref="GEP196613:GEP196636">
      <formula1>項目!A4:$GEI$196610</formula1>
    </dataValidation>
    <dataValidation type="list" allowBlank="1" showInputMessage="1" showErrorMessage="1" sqref="GOL196613:GOL196636">
      <formula1>項目!A4:$GOE$196610</formula1>
    </dataValidation>
    <dataValidation type="list" allowBlank="1" showInputMessage="1" showErrorMessage="1" sqref="GYH196613:GYH196636">
      <formula1>項目!A4:$GYA$196610</formula1>
    </dataValidation>
    <dataValidation type="list" allowBlank="1" showInputMessage="1" showErrorMessage="1" sqref="HID196613:HID196636">
      <formula1>項目!A4:$HHW$196610</formula1>
    </dataValidation>
    <dataValidation type="list" allowBlank="1" showInputMessage="1" showErrorMessage="1" sqref="HRZ196613:HRZ196636">
      <formula1>項目!A4:$HRS$196610</formula1>
    </dataValidation>
    <dataValidation type="list" allowBlank="1" showInputMessage="1" showErrorMessage="1" sqref="IBV196613:IBV196636">
      <formula1>項目!A4:$IBO$196610</formula1>
    </dataValidation>
    <dataValidation type="list" allowBlank="1" showInputMessage="1" showErrorMessage="1" sqref="ILR196613:ILR196636">
      <formula1>項目!A4:$ILK$196610</formula1>
    </dataValidation>
    <dataValidation type="list" allowBlank="1" showInputMessage="1" showErrorMessage="1" sqref="IVN196613:IVN196636">
      <formula1>項目!A4:$IVG$196610</formula1>
    </dataValidation>
    <dataValidation type="list" allowBlank="1" showInputMessage="1" showErrorMessage="1" sqref="JFJ196613:JFJ196636">
      <formula1>項目!A4:$JFC$196610</formula1>
    </dataValidation>
    <dataValidation type="list" allowBlank="1" showInputMessage="1" showErrorMessage="1" sqref="JPF196613:JPF196636">
      <formula1>項目!A4:$JOY$196610</formula1>
    </dataValidation>
    <dataValidation type="list" allowBlank="1" showInputMessage="1" showErrorMessage="1" sqref="JZB196613:JZB196636">
      <formula1>項目!A4:$JYU$196610</formula1>
    </dataValidation>
    <dataValidation type="list" allowBlank="1" showInputMessage="1" showErrorMessage="1" sqref="KIX196613:KIX196636">
      <formula1>項目!A4:$KIQ$196610</formula1>
    </dataValidation>
    <dataValidation type="list" allowBlank="1" showInputMessage="1" showErrorMessage="1" sqref="KST196613:KST196636">
      <formula1>項目!A4:$KSM$196610</formula1>
    </dataValidation>
    <dataValidation type="list" allowBlank="1" showInputMessage="1" showErrorMessage="1" sqref="LCP196613:LCP196636">
      <formula1>項目!A4:$LCI$196610</formula1>
    </dataValidation>
    <dataValidation type="list" allowBlank="1" showInputMessage="1" showErrorMessage="1" sqref="LML196613:LML196636">
      <formula1>項目!A4:$LME$196610</formula1>
    </dataValidation>
    <dataValidation type="list" allowBlank="1" showInputMessage="1" showErrorMessage="1" sqref="LWH196613:LWH196636">
      <formula1>項目!A4:$LWA$196610</formula1>
    </dataValidation>
    <dataValidation type="list" allowBlank="1" showInputMessage="1" showErrorMessage="1" sqref="MGD196613:MGD196636">
      <formula1>項目!A4:$MFW$196610</formula1>
    </dataValidation>
    <dataValidation type="list" allowBlank="1" showInputMessage="1" showErrorMessage="1" sqref="MPZ196613:MPZ196636">
      <formula1>項目!A4:$MPS$196610</formula1>
    </dataValidation>
    <dataValidation type="list" allowBlank="1" showInputMessage="1" showErrorMessage="1" sqref="MZV196613:MZV196636">
      <formula1>項目!A4:$MZO$196610</formula1>
    </dataValidation>
    <dataValidation type="list" allowBlank="1" showInputMessage="1" showErrorMessage="1" sqref="NJR196613:NJR196636">
      <formula1>項目!A4:$NJK$196610</formula1>
    </dataValidation>
    <dataValidation type="list" allowBlank="1" showInputMessage="1" showErrorMessage="1" sqref="NTN196613:NTN196636">
      <formula1>項目!A4:$NTG$196610</formula1>
    </dataValidation>
    <dataValidation type="list" allowBlank="1" showInputMessage="1" showErrorMessage="1" sqref="ODJ196613:ODJ196636">
      <formula1>項目!A4:$ODC$196610</formula1>
    </dataValidation>
    <dataValidation type="list" allowBlank="1" showInputMessage="1" showErrorMessage="1" sqref="ONF196613:ONF196636">
      <formula1>項目!A4:$OMY$196610</formula1>
    </dataValidation>
    <dataValidation type="list" allowBlank="1" showInputMessage="1" showErrorMessage="1" sqref="OXB196613:OXB196636">
      <formula1>項目!A4:$OWU$196610</formula1>
    </dataValidation>
    <dataValidation type="list" allowBlank="1" showInputMessage="1" showErrorMessage="1" sqref="PGX196613:PGX196636">
      <formula1>項目!A4:$PGQ$196610</formula1>
    </dataValidation>
    <dataValidation type="list" allowBlank="1" showInputMessage="1" showErrorMessage="1" sqref="PQT196613:PQT196636">
      <formula1>項目!A4:$PQM$196610</formula1>
    </dataValidation>
    <dataValidation type="list" allowBlank="1" showInputMessage="1" showErrorMessage="1" sqref="QAP196613:QAP196636">
      <formula1>項目!A4:$QAI$196610</formula1>
    </dataValidation>
    <dataValidation type="list" allowBlank="1" showInputMessage="1" showErrorMessage="1" sqref="QKL196613:QKL196636">
      <formula1>項目!A4:$QKE$196610</formula1>
    </dataValidation>
    <dataValidation type="list" allowBlank="1" showInputMessage="1" showErrorMessage="1" sqref="QUH196613:QUH196636">
      <formula1>項目!A4:$QUA$196610</formula1>
    </dataValidation>
    <dataValidation type="list" allowBlank="1" showInputMessage="1" showErrorMessage="1" sqref="RED196613:RED196636">
      <formula1>項目!A4:$RDW$196610</formula1>
    </dataValidation>
    <dataValidation type="list" allowBlank="1" showInputMessage="1" showErrorMessage="1" sqref="RNZ196613:RNZ196636">
      <formula1>項目!A4:$RNS$196610</formula1>
    </dataValidation>
    <dataValidation type="list" allowBlank="1" showInputMessage="1" showErrorMessage="1" sqref="RXV196613:RXV196636">
      <formula1>項目!A4:$RXO$196610</formula1>
    </dataValidation>
    <dataValidation type="list" allowBlank="1" showInputMessage="1" showErrorMessage="1" sqref="SHR196613:SHR196636">
      <formula1>項目!A4:$SHK$196610</formula1>
    </dataValidation>
    <dataValidation type="list" allowBlank="1" showInputMessage="1" showErrorMessage="1" sqref="SRN196613:SRN196636">
      <formula1>項目!A4:$SRG$196610</formula1>
    </dataValidation>
    <dataValidation type="list" allowBlank="1" showInputMessage="1" showErrorMessage="1" sqref="TBJ196613:TBJ196636">
      <formula1>項目!A4:$TBC$196610</formula1>
    </dataValidation>
    <dataValidation type="list" allowBlank="1" showInputMessage="1" showErrorMessage="1" sqref="TLF196613:TLF196636">
      <formula1>項目!A4:$TKY$196610</formula1>
    </dataValidation>
    <dataValidation type="list" allowBlank="1" showInputMessage="1" showErrorMessage="1" sqref="TVB196613:TVB196636">
      <formula1>項目!A4:$TUU$196610</formula1>
    </dataValidation>
    <dataValidation type="list" allowBlank="1" showInputMessage="1" showErrorMessage="1" sqref="UEX196613:UEX196636">
      <formula1>項目!A4:$UEQ$196610</formula1>
    </dataValidation>
    <dataValidation type="list" allowBlank="1" showInputMessage="1" showErrorMessage="1" sqref="UOT196613:UOT196636">
      <formula1>項目!A4:$UOM$196610</formula1>
    </dataValidation>
    <dataValidation type="list" allowBlank="1" showInputMessage="1" showErrorMessage="1" sqref="UYP196613:UYP196636">
      <formula1>項目!A4:$UYI$196610</formula1>
    </dataValidation>
    <dataValidation type="list" allowBlank="1" showInputMessage="1" showErrorMessage="1" sqref="VIL196613:VIL196636">
      <formula1>項目!A4:$VIE$196610</formula1>
    </dataValidation>
    <dataValidation type="list" allowBlank="1" showInputMessage="1" showErrorMessage="1" sqref="VSH196613:VSH196636">
      <formula1>項目!A4:$VSA$196610</formula1>
    </dataValidation>
    <dataValidation type="list" allowBlank="1" showInputMessage="1" showErrorMessage="1" sqref="WCD196613:WCD196636">
      <formula1>項目!A4:$WBW$196610</formula1>
    </dataValidation>
    <dataValidation type="list" allowBlank="1" showInputMessage="1" showErrorMessage="1" sqref="WLZ196613:WLZ196636">
      <formula1>項目!A4:$WLS$196610</formula1>
    </dataValidation>
    <dataValidation type="list" allowBlank="1" showInputMessage="1" showErrorMessage="1" sqref="WVV196613:WVV196636">
      <formula1>項目!A4:$WVO$196610</formula1>
    </dataValidation>
    <dataValidation type="list" allowBlank="1" showInputMessage="1" showErrorMessage="1" sqref="JJ262149:JJ262172">
      <formula1>項目!A4:$JC$262146</formula1>
    </dataValidation>
    <dataValidation type="list" allowBlank="1" showInputMessage="1" showErrorMessage="1" sqref="TF262149:TF262172">
      <formula1>項目!A4:$SY$262146</formula1>
    </dataValidation>
    <dataValidation type="list" allowBlank="1" showInputMessage="1" showErrorMessage="1" sqref="ADB262149:ADB262172">
      <formula1>項目!A4:$ACU$262146</formula1>
    </dataValidation>
    <dataValidation type="list" allowBlank="1" showInputMessage="1" showErrorMessage="1" sqref="AMX262149:AMX262172">
      <formula1>項目!A4:$AMQ$262146</formula1>
    </dataValidation>
    <dataValidation type="list" allowBlank="1" showInputMessage="1" showErrorMessage="1" sqref="AWT262149:AWT262172">
      <formula1>項目!A4:$AWM$262146</formula1>
    </dataValidation>
    <dataValidation type="list" allowBlank="1" showInputMessage="1" showErrorMessage="1" sqref="BGP262149:BGP262172">
      <formula1>項目!A4:$BGI$262146</formula1>
    </dataValidation>
    <dataValidation type="list" allowBlank="1" showInputMessage="1" showErrorMessage="1" sqref="BQL262149:BQL262172">
      <formula1>項目!A4:$BQE$262146</formula1>
    </dataValidation>
    <dataValidation type="list" allowBlank="1" showInputMessage="1" showErrorMessage="1" sqref="CAH262149:CAH262172">
      <formula1>項目!A4:$CAA$262146</formula1>
    </dataValidation>
    <dataValidation type="list" allowBlank="1" showInputMessage="1" showErrorMessage="1" sqref="CKD262149:CKD262172">
      <formula1>項目!A4:$CJW$262146</formula1>
    </dataValidation>
    <dataValidation type="list" allowBlank="1" showInputMessage="1" showErrorMessage="1" sqref="CTZ262149:CTZ262172">
      <formula1>項目!A4:$CTS$262146</formula1>
    </dataValidation>
    <dataValidation type="list" allowBlank="1" showInputMessage="1" showErrorMessage="1" sqref="DDV262149:DDV262172">
      <formula1>項目!A4:$DDO$262146</formula1>
    </dataValidation>
    <dataValidation type="list" allowBlank="1" showInputMessage="1" showErrorMessage="1" sqref="DNR262149:DNR262172">
      <formula1>項目!A4:$DNK$262146</formula1>
    </dataValidation>
    <dataValidation type="list" allowBlank="1" showInputMessage="1" showErrorMessage="1" sqref="DXN262149:DXN262172">
      <formula1>項目!A4:$DXG$262146</formula1>
    </dataValidation>
    <dataValidation type="list" allowBlank="1" showInputMessage="1" showErrorMessage="1" sqref="EHJ262149:EHJ262172">
      <formula1>項目!A4:$EHC$262146</formula1>
    </dataValidation>
    <dataValidation type="list" allowBlank="1" showInputMessage="1" showErrorMessage="1" sqref="ERF262149:ERF262172">
      <formula1>項目!A4:$EQY$262146</formula1>
    </dataValidation>
    <dataValidation type="list" allowBlank="1" showInputMessage="1" showErrorMessage="1" sqref="FBB262149:FBB262172">
      <formula1>項目!A4:$FAU$262146</formula1>
    </dataValidation>
    <dataValidation type="list" allowBlank="1" showInputMessage="1" showErrorMessage="1" sqref="FKX262149:FKX262172">
      <formula1>項目!A4:$FKQ$262146</formula1>
    </dataValidation>
    <dataValidation type="list" allowBlank="1" showInputMessage="1" showErrorMessage="1" sqref="FUT262149:FUT262172">
      <formula1>項目!A4:$FUM$262146</formula1>
    </dataValidation>
    <dataValidation type="list" allowBlank="1" showInputMessage="1" showErrorMessage="1" sqref="GEP262149:GEP262172">
      <formula1>項目!A4:$GEI$262146</formula1>
    </dataValidation>
    <dataValidation type="list" allowBlank="1" showInputMessage="1" showErrorMessage="1" sqref="GOL262149:GOL262172">
      <formula1>項目!A4:$GOE$262146</formula1>
    </dataValidation>
    <dataValidation type="list" allowBlank="1" showInputMessage="1" showErrorMessage="1" sqref="GYH262149:GYH262172">
      <formula1>項目!A4:$GYA$262146</formula1>
    </dataValidation>
    <dataValidation type="list" allowBlank="1" showInputMessage="1" showErrorMessage="1" sqref="HID262149:HID262172">
      <formula1>項目!A4:$HHW$262146</formula1>
    </dataValidation>
    <dataValidation type="list" allowBlank="1" showInputMessage="1" showErrorMessage="1" sqref="HRZ262149:HRZ262172">
      <formula1>項目!A4:$HRS$262146</formula1>
    </dataValidation>
    <dataValidation type="list" allowBlank="1" showInputMessage="1" showErrorMessage="1" sqref="IBV262149:IBV262172">
      <formula1>項目!A4:$IBO$262146</formula1>
    </dataValidation>
    <dataValidation type="list" allowBlank="1" showInputMessage="1" showErrorMessage="1" sqref="ILR262149:ILR262172">
      <formula1>項目!A4:$ILK$262146</formula1>
    </dataValidation>
    <dataValidation type="list" allowBlank="1" showInputMessage="1" showErrorMessage="1" sqref="IVN262149:IVN262172">
      <formula1>項目!A4:$IVG$262146</formula1>
    </dataValidation>
    <dataValidation type="list" allowBlank="1" showInputMessage="1" showErrorMessage="1" sqref="JFJ262149:JFJ262172">
      <formula1>項目!A4:$JFC$262146</formula1>
    </dataValidation>
    <dataValidation type="list" allowBlank="1" showInputMessage="1" showErrorMessage="1" sqref="JPF262149:JPF262172">
      <formula1>項目!A4:$JOY$262146</formula1>
    </dataValidation>
    <dataValidation type="list" allowBlank="1" showInputMessage="1" showErrorMessage="1" sqref="JZB262149:JZB262172">
      <formula1>項目!A4:$JYU$262146</formula1>
    </dataValidation>
    <dataValidation type="list" allowBlank="1" showInputMessage="1" showErrorMessage="1" sqref="KIX262149:KIX262172">
      <formula1>項目!A4:$KIQ$262146</formula1>
    </dataValidation>
    <dataValidation type="list" allowBlank="1" showInputMessage="1" showErrorMessage="1" sqref="KST262149:KST262172">
      <formula1>項目!A4:$KSM$262146</formula1>
    </dataValidation>
    <dataValidation type="list" allowBlank="1" showInputMessage="1" showErrorMessage="1" sqref="LCP262149:LCP262172">
      <formula1>項目!A4:$LCI$262146</formula1>
    </dataValidation>
    <dataValidation type="list" allowBlank="1" showInputMessage="1" showErrorMessage="1" sqref="LML262149:LML262172">
      <formula1>項目!A4:$LME$262146</formula1>
    </dataValidation>
    <dataValidation type="list" allowBlank="1" showInputMessage="1" showErrorMessage="1" sqref="LWH262149:LWH262172">
      <formula1>項目!A4:$LWA$262146</formula1>
    </dataValidation>
    <dataValidation type="list" allowBlank="1" showInputMessage="1" showErrorMessage="1" sqref="MGD262149:MGD262172">
      <formula1>項目!A4:$MFW$262146</formula1>
    </dataValidation>
    <dataValidation type="list" allowBlank="1" showInputMessage="1" showErrorMessage="1" sqref="MPZ262149:MPZ262172">
      <formula1>項目!A4:$MPS$262146</formula1>
    </dataValidation>
    <dataValidation type="list" allowBlank="1" showInputMessage="1" showErrorMessage="1" sqref="MZV262149:MZV262172">
      <formula1>項目!A4:$MZO$262146</formula1>
    </dataValidation>
    <dataValidation type="list" allowBlank="1" showInputMessage="1" showErrorMessage="1" sqref="NJR262149:NJR262172">
      <formula1>項目!A4:$NJK$262146</formula1>
    </dataValidation>
    <dataValidation type="list" allowBlank="1" showInputMessage="1" showErrorMessage="1" sqref="NTN262149:NTN262172">
      <formula1>項目!A4:$NTG$262146</formula1>
    </dataValidation>
    <dataValidation type="list" allowBlank="1" showInputMessage="1" showErrorMessage="1" sqref="ODJ262149:ODJ262172">
      <formula1>項目!A4:$ODC$262146</formula1>
    </dataValidation>
    <dataValidation type="list" allowBlank="1" showInputMessage="1" showErrorMessage="1" sqref="ONF262149:ONF262172">
      <formula1>項目!A4:$OMY$262146</formula1>
    </dataValidation>
    <dataValidation type="list" allowBlank="1" showInputMessage="1" showErrorMessage="1" sqref="OXB262149:OXB262172">
      <formula1>項目!A4:$OWU$262146</formula1>
    </dataValidation>
    <dataValidation type="list" allowBlank="1" showInputMessage="1" showErrorMessage="1" sqref="PGX262149:PGX262172">
      <formula1>項目!A4:$PGQ$262146</formula1>
    </dataValidation>
    <dataValidation type="list" allowBlank="1" showInputMessage="1" showErrorMessage="1" sqref="PQT262149:PQT262172">
      <formula1>項目!A4:$PQM$262146</formula1>
    </dataValidation>
    <dataValidation type="list" allowBlank="1" showInputMessage="1" showErrorMessage="1" sqref="QAP262149:QAP262172">
      <formula1>項目!A4:$QAI$262146</formula1>
    </dataValidation>
    <dataValidation type="list" allowBlank="1" showInputMessage="1" showErrorMessage="1" sqref="QKL262149:QKL262172">
      <formula1>項目!A4:$QKE$262146</formula1>
    </dataValidation>
    <dataValidation type="list" allowBlank="1" showInputMessage="1" showErrorMessage="1" sqref="QUH262149:QUH262172">
      <formula1>項目!A4:$QUA$262146</formula1>
    </dataValidation>
    <dataValidation type="list" allowBlank="1" showInputMessage="1" showErrorMessage="1" sqref="RED262149:RED262172">
      <formula1>項目!A4:$RDW$262146</formula1>
    </dataValidation>
    <dataValidation type="list" allowBlank="1" showInputMessage="1" showErrorMessage="1" sqref="RNZ262149:RNZ262172">
      <formula1>項目!A4:$RNS$262146</formula1>
    </dataValidation>
    <dataValidation type="list" allowBlank="1" showInputMessage="1" showErrorMessage="1" sqref="RXV262149:RXV262172">
      <formula1>項目!A4:$RXO$262146</formula1>
    </dataValidation>
    <dataValidation type="list" allowBlank="1" showInputMessage="1" showErrorMessage="1" sqref="SHR262149:SHR262172">
      <formula1>項目!A4:$SHK$262146</formula1>
    </dataValidation>
    <dataValidation type="list" allowBlank="1" showInputMessage="1" showErrorMessage="1" sqref="SRN262149:SRN262172">
      <formula1>項目!A4:$SRG$262146</formula1>
    </dataValidation>
    <dataValidation type="list" allowBlank="1" showInputMessage="1" showErrorMessage="1" sqref="TBJ262149:TBJ262172">
      <formula1>項目!A4:$TBC$262146</formula1>
    </dataValidation>
    <dataValidation type="list" allowBlank="1" showInputMessage="1" showErrorMessage="1" sqref="TLF262149:TLF262172">
      <formula1>項目!A4:$TKY$262146</formula1>
    </dataValidation>
    <dataValidation type="list" allowBlank="1" showInputMessage="1" showErrorMessage="1" sqref="TVB262149:TVB262172">
      <formula1>項目!A4:$TUU$262146</formula1>
    </dataValidation>
    <dataValidation type="list" allowBlank="1" showInputMessage="1" showErrorMessage="1" sqref="UEX262149:UEX262172">
      <formula1>項目!A4:$UEQ$262146</formula1>
    </dataValidation>
    <dataValidation type="list" allowBlank="1" showInputMessage="1" showErrorMessage="1" sqref="UOT262149:UOT262172">
      <formula1>項目!A4:$UOM$262146</formula1>
    </dataValidation>
    <dataValidation type="list" allowBlank="1" showInputMessage="1" showErrorMessage="1" sqref="UYP262149:UYP262172">
      <formula1>項目!A4:$UYI$262146</formula1>
    </dataValidation>
    <dataValidation type="list" allowBlank="1" showInputMessage="1" showErrorMessage="1" sqref="VIL262149:VIL262172">
      <formula1>項目!A4:$VIE$262146</formula1>
    </dataValidation>
    <dataValidation type="list" allowBlank="1" showInputMessage="1" showErrorMessage="1" sqref="VSH262149:VSH262172">
      <formula1>項目!A4:$VSA$262146</formula1>
    </dataValidation>
    <dataValidation type="list" allowBlank="1" showInputMessage="1" showErrorMessage="1" sqref="WCD262149:WCD262172">
      <formula1>項目!A4:$WBW$262146</formula1>
    </dataValidation>
    <dataValidation type="list" allowBlank="1" showInputMessage="1" showErrorMessage="1" sqref="WLZ262149:WLZ262172">
      <formula1>項目!A4:$WLS$262146</formula1>
    </dataValidation>
    <dataValidation type="list" allowBlank="1" showInputMessage="1" showErrorMessage="1" sqref="WVV262149:WVV262172">
      <formula1>項目!A4:$WVO$262146</formula1>
    </dataValidation>
    <dataValidation type="list" allowBlank="1" showInputMessage="1" showErrorMessage="1" sqref="JJ327685:JJ327708">
      <formula1>項目!A4:$JC$327682</formula1>
    </dataValidation>
    <dataValidation type="list" allowBlank="1" showInputMessage="1" showErrorMessage="1" sqref="TF327685:TF327708">
      <formula1>項目!A4:$SY$327682</formula1>
    </dataValidation>
    <dataValidation type="list" allowBlank="1" showInputMessage="1" showErrorMessage="1" sqref="ADB327685:ADB327708">
      <formula1>項目!A4:$ACU$327682</formula1>
    </dataValidation>
    <dataValidation type="list" allowBlank="1" showInputMessage="1" showErrorMessage="1" sqref="AMX327685:AMX327708">
      <formula1>項目!A4:$AMQ$327682</formula1>
    </dataValidation>
    <dataValidation type="list" allowBlank="1" showInputMessage="1" showErrorMessage="1" sqref="AWT327685:AWT327708">
      <formula1>項目!A4:$AWM$327682</formula1>
    </dataValidation>
    <dataValidation type="list" allowBlank="1" showInputMessage="1" showErrorMessage="1" sqref="BGP327685:BGP327708">
      <formula1>項目!A4:$BGI$327682</formula1>
    </dataValidation>
    <dataValidation type="list" allowBlank="1" showInputMessage="1" showErrorMessage="1" sqref="BQL327685:BQL327708">
      <formula1>項目!A4:$BQE$327682</formula1>
    </dataValidation>
    <dataValidation type="list" allowBlank="1" showInputMessage="1" showErrorMessage="1" sqref="CAH327685:CAH327708">
      <formula1>項目!A4:$CAA$327682</formula1>
    </dataValidation>
    <dataValidation type="list" allowBlank="1" showInputMessage="1" showErrorMessage="1" sqref="CKD327685:CKD327708">
      <formula1>項目!A4:$CJW$327682</formula1>
    </dataValidation>
    <dataValidation type="list" allowBlank="1" showInputMessage="1" showErrorMessage="1" sqref="CTZ327685:CTZ327708">
      <formula1>項目!A4:$CTS$327682</formula1>
    </dataValidation>
    <dataValidation type="list" allowBlank="1" showInputMessage="1" showErrorMessage="1" sqref="DDV327685:DDV327708">
      <formula1>項目!A4:$DDO$327682</formula1>
    </dataValidation>
    <dataValidation type="list" allowBlank="1" showInputMessage="1" showErrorMessage="1" sqref="DNR327685:DNR327708">
      <formula1>項目!A4:$DNK$327682</formula1>
    </dataValidation>
    <dataValidation type="list" allowBlank="1" showInputMessage="1" showErrorMessage="1" sqref="DXN327685:DXN327708">
      <formula1>項目!A4:$DXG$327682</formula1>
    </dataValidation>
    <dataValidation type="list" allowBlank="1" showInputMessage="1" showErrorMessage="1" sqref="EHJ327685:EHJ327708">
      <formula1>項目!A4:$EHC$327682</formula1>
    </dataValidation>
    <dataValidation type="list" allowBlank="1" showInputMessage="1" showErrorMessage="1" sqref="ERF327685:ERF327708">
      <formula1>項目!A4:$EQY$327682</formula1>
    </dataValidation>
    <dataValidation type="list" allowBlank="1" showInputMessage="1" showErrorMessage="1" sqref="FBB327685:FBB327708">
      <formula1>項目!A4:$FAU$327682</formula1>
    </dataValidation>
    <dataValidation type="list" allowBlank="1" showInputMessage="1" showErrorMessage="1" sqref="FKX327685:FKX327708">
      <formula1>項目!A4:$FKQ$327682</formula1>
    </dataValidation>
    <dataValidation type="list" allowBlank="1" showInputMessage="1" showErrorMessage="1" sqref="FUT327685:FUT327708">
      <formula1>項目!A4:$FUM$327682</formula1>
    </dataValidation>
    <dataValidation type="list" allowBlank="1" showInputMessage="1" showErrorMessage="1" sqref="GEP327685:GEP327708">
      <formula1>項目!A4:$GEI$327682</formula1>
    </dataValidation>
    <dataValidation type="list" allowBlank="1" showInputMessage="1" showErrorMessage="1" sqref="GOL327685:GOL327708">
      <formula1>項目!A4:$GOE$327682</formula1>
    </dataValidation>
    <dataValidation type="list" allowBlank="1" showInputMessage="1" showErrorMessage="1" sqref="GYH327685:GYH327708">
      <formula1>項目!A4:$GYA$327682</formula1>
    </dataValidation>
    <dataValidation type="list" allowBlank="1" showInputMessage="1" showErrorMessage="1" sqref="HID327685:HID327708">
      <formula1>項目!A4:$HHW$327682</formula1>
    </dataValidation>
    <dataValidation type="list" allowBlank="1" showInputMessage="1" showErrorMessage="1" sqref="HRZ327685:HRZ327708">
      <formula1>項目!A4:$HRS$327682</formula1>
    </dataValidation>
    <dataValidation type="list" allowBlank="1" showInputMessage="1" showErrorMessage="1" sqref="IBV327685:IBV327708">
      <formula1>項目!A4:$IBO$327682</formula1>
    </dataValidation>
    <dataValidation type="list" allowBlank="1" showInputMessage="1" showErrorMessage="1" sqref="ILR327685:ILR327708">
      <formula1>項目!A4:$ILK$327682</formula1>
    </dataValidation>
    <dataValidation type="list" allowBlank="1" showInputMessage="1" showErrorMessage="1" sqref="IVN327685:IVN327708">
      <formula1>項目!A4:$IVG$327682</formula1>
    </dataValidation>
    <dataValidation type="list" allowBlank="1" showInputMessage="1" showErrorMessage="1" sqref="JFJ327685:JFJ327708">
      <formula1>項目!A4:$JFC$327682</formula1>
    </dataValidation>
    <dataValidation type="list" allowBlank="1" showInputMessage="1" showErrorMessage="1" sqref="JPF327685:JPF327708">
      <formula1>項目!A4:$JOY$327682</formula1>
    </dataValidation>
    <dataValidation type="list" allowBlank="1" showInputMessage="1" showErrorMessage="1" sqref="JZB327685:JZB327708">
      <formula1>項目!A4:$JYU$327682</formula1>
    </dataValidation>
    <dataValidation type="list" allowBlank="1" showInputMessage="1" showErrorMessage="1" sqref="KIX327685:KIX327708">
      <formula1>項目!A4:$KIQ$327682</formula1>
    </dataValidation>
    <dataValidation type="list" allowBlank="1" showInputMessage="1" showErrorMessage="1" sqref="KST327685:KST327708">
      <formula1>項目!A4:$KSM$327682</formula1>
    </dataValidation>
    <dataValidation type="list" allowBlank="1" showInputMessage="1" showErrorMessage="1" sqref="LCP327685:LCP327708">
      <formula1>項目!A4:$LCI$327682</formula1>
    </dataValidation>
    <dataValidation type="list" allowBlank="1" showInputMessage="1" showErrorMessage="1" sqref="LML327685:LML327708">
      <formula1>項目!A4:$LME$327682</formula1>
    </dataValidation>
    <dataValidation type="list" allowBlank="1" showInputMessage="1" showErrorMessage="1" sqref="LWH327685:LWH327708">
      <formula1>項目!A4:$LWA$327682</formula1>
    </dataValidation>
    <dataValidation type="list" allowBlank="1" showInputMessage="1" showErrorMessage="1" sqref="MGD327685:MGD327708">
      <formula1>項目!A4:$MFW$327682</formula1>
    </dataValidation>
    <dataValidation type="list" allowBlank="1" showInputMessage="1" showErrorMessage="1" sqref="MPZ327685:MPZ327708">
      <formula1>項目!A4:$MPS$327682</formula1>
    </dataValidation>
    <dataValidation type="list" allowBlank="1" showInputMessage="1" showErrorMessage="1" sqref="MZV327685:MZV327708">
      <formula1>項目!A4:$MZO$327682</formula1>
    </dataValidation>
    <dataValidation type="list" allowBlank="1" showInputMessage="1" showErrorMessage="1" sqref="NJR327685:NJR327708">
      <formula1>項目!A4:$NJK$327682</formula1>
    </dataValidation>
    <dataValidation type="list" allowBlank="1" showInputMessage="1" showErrorMessage="1" sqref="NTN327685:NTN327708">
      <formula1>項目!A4:$NTG$327682</formula1>
    </dataValidation>
    <dataValidation type="list" allowBlank="1" showInputMessage="1" showErrorMessage="1" sqref="ODJ327685:ODJ327708">
      <formula1>項目!A4:$ODC$327682</formula1>
    </dataValidation>
    <dataValidation type="list" allowBlank="1" showInputMessage="1" showErrorMessage="1" sqref="ONF327685:ONF327708">
      <formula1>項目!A4:$OMY$327682</formula1>
    </dataValidation>
    <dataValidation type="list" allowBlank="1" showInputMessage="1" showErrorMessage="1" sqref="OXB327685:OXB327708">
      <formula1>項目!A4:$OWU$327682</formula1>
    </dataValidation>
    <dataValidation type="list" allowBlank="1" showInputMessage="1" showErrorMessage="1" sqref="PGX327685:PGX327708">
      <formula1>項目!A4:$PGQ$327682</formula1>
    </dataValidation>
    <dataValidation type="list" allowBlank="1" showInputMessage="1" showErrorMessage="1" sqref="PQT327685:PQT327708">
      <formula1>項目!A4:$PQM$327682</formula1>
    </dataValidation>
    <dataValidation type="list" allowBlank="1" showInputMessage="1" showErrorMessage="1" sqref="QAP327685:QAP327708">
      <formula1>項目!A4:$QAI$327682</formula1>
    </dataValidation>
    <dataValidation type="list" allowBlank="1" showInputMessage="1" showErrorMessage="1" sqref="QKL327685:QKL327708">
      <formula1>項目!A4:$QKE$327682</formula1>
    </dataValidation>
    <dataValidation type="list" allowBlank="1" showInputMessage="1" showErrorMessage="1" sqref="QUH327685:QUH327708">
      <formula1>項目!A4:$QUA$327682</formula1>
    </dataValidation>
    <dataValidation type="list" allowBlank="1" showInputMessage="1" showErrorMessage="1" sqref="RED327685:RED327708">
      <formula1>項目!A4:$RDW$327682</formula1>
    </dataValidation>
    <dataValidation type="list" allowBlank="1" showInputMessage="1" showErrorMessage="1" sqref="RNZ327685:RNZ327708">
      <formula1>項目!A4:$RNS$327682</formula1>
    </dataValidation>
    <dataValidation type="list" allowBlank="1" showInputMessage="1" showErrorMessage="1" sqref="RXV327685:RXV327708">
      <formula1>項目!A4:$RXO$327682</formula1>
    </dataValidation>
    <dataValidation type="list" allowBlank="1" showInputMessage="1" showErrorMessage="1" sqref="SHR327685:SHR327708">
      <formula1>項目!A4:$SHK$327682</formula1>
    </dataValidation>
    <dataValidation type="list" allowBlank="1" showInputMessage="1" showErrorMessage="1" sqref="SRN327685:SRN327708">
      <formula1>項目!A4:$SRG$327682</formula1>
    </dataValidation>
    <dataValidation type="list" allowBlank="1" showInputMessage="1" showErrorMessage="1" sqref="TBJ327685:TBJ327708">
      <formula1>項目!A4:$TBC$327682</formula1>
    </dataValidation>
    <dataValidation type="list" allowBlank="1" showInputMessage="1" showErrorMessage="1" sqref="TLF327685:TLF327708">
      <formula1>項目!A4:$TKY$327682</formula1>
    </dataValidation>
    <dataValidation type="list" allowBlank="1" showInputMessage="1" showErrorMessage="1" sqref="TVB327685:TVB327708">
      <formula1>項目!A4:$TUU$327682</formula1>
    </dataValidation>
    <dataValidation type="list" allowBlank="1" showInputMessage="1" showErrorMessage="1" sqref="UEX327685:UEX327708">
      <formula1>項目!A4:$UEQ$327682</formula1>
    </dataValidation>
    <dataValidation type="list" allowBlank="1" showInputMessage="1" showErrorMessage="1" sqref="UOT327685:UOT327708">
      <formula1>項目!A4:$UOM$327682</formula1>
    </dataValidation>
    <dataValidation type="list" allowBlank="1" showInputMessage="1" showErrorMessage="1" sqref="UYP327685:UYP327708">
      <formula1>項目!A4:$UYI$327682</formula1>
    </dataValidation>
    <dataValidation type="list" allowBlank="1" showInputMessage="1" showErrorMessage="1" sqref="VIL327685:VIL327708">
      <formula1>項目!A4:$VIE$327682</formula1>
    </dataValidation>
    <dataValidation type="list" allowBlank="1" showInputMessage="1" showErrorMessage="1" sqref="VSH327685:VSH327708">
      <formula1>項目!A4:$VSA$327682</formula1>
    </dataValidation>
    <dataValidation type="list" allowBlank="1" showInputMessage="1" showErrorMessage="1" sqref="WCD327685:WCD327708">
      <formula1>項目!A4:$WBW$327682</formula1>
    </dataValidation>
    <dataValidation type="list" allowBlank="1" showInputMessage="1" showErrorMessage="1" sqref="WLZ327685:WLZ327708">
      <formula1>項目!A4:$WLS$327682</formula1>
    </dataValidation>
    <dataValidation type="list" allowBlank="1" showInputMessage="1" showErrorMessage="1" sqref="WVV327685:WVV327708">
      <formula1>項目!A4:$WVO$327682</formula1>
    </dataValidation>
    <dataValidation type="list" allowBlank="1" showInputMessage="1" showErrorMessage="1" sqref="JJ393221:JJ393244">
      <formula1>項目!A4:$JC$393218</formula1>
    </dataValidation>
    <dataValidation type="list" allowBlank="1" showInputMessage="1" showErrorMessage="1" sqref="TF393221:TF393244">
      <formula1>項目!A4:$SY$393218</formula1>
    </dataValidation>
    <dataValidation type="list" allowBlank="1" showInputMessage="1" showErrorMessage="1" sqref="ADB393221:ADB393244">
      <formula1>項目!A4:$ACU$393218</formula1>
    </dataValidation>
    <dataValidation type="list" allowBlank="1" showInputMessage="1" showErrorMessage="1" sqref="AMX393221:AMX393244">
      <formula1>項目!A4:$AMQ$393218</formula1>
    </dataValidation>
    <dataValidation type="list" allowBlank="1" showInputMessage="1" showErrorMessage="1" sqref="AWT393221:AWT393244">
      <formula1>項目!A4:$AWM$393218</formula1>
    </dataValidation>
    <dataValidation type="list" allowBlank="1" showInputMessage="1" showErrorMessage="1" sqref="BGP393221:BGP393244">
      <formula1>項目!A4:$BGI$393218</formula1>
    </dataValidation>
    <dataValidation type="list" allowBlank="1" showInputMessage="1" showErrorMessage="1" sqref="BQL393221:BQL393244">
      <formula1>項目!A4:$BQE$393218</formula1>
    </dataValidation>
    <dataValidation type="list" allowBlank="1" showInputMessage="1" showErrorMessage="1" sqref="CAH393221:CAH393244">
      <formula1>項目!A4:$CAA$393218</formula1>
    </dataValidation>
    <dataValidation type="list" allowBlank="1" showInputMessage="1" showErrorMessage="1" sqref="CKD393221:CKD393244">
      <formula1>項目!A4:$CJW$393218</formula1>
    </dataValidation>
    <dataValidation type="list" allowBlank="1" showInputMessage="1" showErrorMessage="1" sqref="CTZ393221:CTZ393244">
      <formula1>項目!A4:$CTS$393218</formula1>
    </dataValidation>
    <dataValidation type="list" allowBlank="1" showInputMessage="1" showErrorMessage="1" sqref="DDV393221:DDV393244">
      <formula1>項目!A4:$DDO$393218</formula1>
    </dataValidation>
    <dataValidation type="list" allowBlank="1" showInputMessage="1" showErrorMessage="1" sqref="DNR393221:DNR393244">
      <formula1>項目!A4:$DNK$393218</formula1>
    </dataValidation>
    <dataValidation type="list" allowBlank="1" showInputMessage="1" showErrorMessage="1" sqref="DXN393221:DXN393244">
      <formula1>項目!A4:$DXG$393218</formula1>
    </dataValidation>
    <dataValidation type="list" allowBlank="1" showInputMessage="1" showErrorMessage="1" sqref="EHJ393221:EHJ393244">
      <formula1>項目!A4:$EHC$393218</formula1>
    </dataValidation>
    <dataValidation type="list" allowBlank="1" showInputMessage="1" showErrorMessage="1" sqref="ERF393221:ERF393244">
      <formula1>項目!A4:$EQY$393218</formula1>
    </dataValidation>
    <dataValidation type="list" allowBlank="1" showInputMessage="1" showErrorMessage="1" sqref="FBB393221:FBB393244">
      <formula1>項目!A4:$FAU$393218</formula1>
    </dataValidation>
    <dataValidation type="list" allowBlank="1" showInputMessage="1" showErrorMessage="1" sqref="FKX393221:FKX393244">
      <formula1>項目!A4:$FKQ$393218</formula1>
    </dataValidation>
    <dataValidation type="list" allowBlank="1" showInputMessage="1" showErrorMessage="1" sqref="FUT393221:FUT393244">
      <formula1>項目!A4:$FUM$393218</formula1>
    </dataValidation>
    <dataValidation type="list" allowBlank="1" showInputMessage="1" showErrorMessage="1" sqref="GEP393221:GEP393244">
      <formula1>項目!A4:$GEI$393218</formula1>
    </dataValidation>
    <dataValidation type="list" allowBlank="1" showInputMessage="1" showErrorMessage="1" sqref="GOL393221:GOL393244">
      <formula1>項目!A4:$GOE$393218</formula1>
    </dataValidation>
    <dataValidation type="list" allowBlank="1" showInputMessage="1" showErrorMessage="1" sqref="GYH393221:GYH393244">
      <formula1>項目!A4:$GYA$393218</formula1>
    </dataValidation>
    <dataValidation type="list" allowBlank="1" showInputMessage="1" showErrorMessage="1" sqref="HID393221:HID393244">
      <formula1>項目!A4:$HHW$393218</formula1>
    </dataValidation>
    <dataValidation type="list" allowBlank="1" showInputMessage="1" showErrorMessage="1" sqref="HRZ393221:HRZ393244">
      <formula1>項目!A4:$HRS$393218</formula1>
    </dataValidation>
    <dataValidation type="list" allowBlank="1" showInputMessage="1" showErrorMessage="1" sqref="IBV393221:IBV393244">
      <formula1>項目!A4:$IBO$393218</formula1>
    </dataValidation>
    <dataValidation type="list" allowBlank="1" showInputMessage="1" showErrorMessage="1" sqref="ILR393221:ILR393244">
      <formula1>項目!A4:$ILK$393218</formula1>
    </dataValidation>
    <dataValidation type="list" allowBlank="1" showInputMessage="1" showErrorMessage="1" sqref="IVN393221:IVN393244">
      <formula1>項目!A4:$IVG$393218</formula1>
    </dataValidation>
    <dataValidation type="list" allowBlank="1" showInputMessage="1" showErrorMessage="1" sqref="JFJ393221:JFJ393244">
      <formula1>項目!A4:$JFC$393218</formula1>
    </dataValidation>
    <dataValidation type="list" allowBlank="1" showInputMessage="1" showErrorMessage="1" sqref="JPF393221:JPF393244">
      <formula1>項目!A4:$JOY$393218</formula1>
    </dataValidation>
    <dataValidation type="list" allowBlank="1" showInputMessage="1" showErrorMessage="1" sqref="JZB393221:JZB393244">
      <formula1>項目!A4:$JYU$393218</formula1>
    </dataValidation>
    <dataValidation type="list" allowBlank="1" showInputMessage="1" showErrorMessage="1" sqref="KIX393221:KIX393244">
      <formula1>項目!A4:$KIQ$393218</formula1>
    </dataValidation>
    <dataValidation type="list" allowBlank="1" showInputMessage="1" showErrorMessage="1" sqref="KST393221:KST393244">
      <formula1>項目!A4:$KSM$393218</formula1>
    </dataValidation>
    <dataValidation type="list" allowBlank="1" showInputMessage="1" showErrorMessage="1" sqref="LCP393221:LCP393244">
      <formula1>項目!A4:$LCI$393218</formula1>
    </dataValidation>
    <dataValidation type="list" allowBlank="1" showInputMessage="1" showErrorMessage="1" sqref="LML393221:LML393244">
      <formula1>項目!A4:$LME$393218</formula1>
    </dataValidation>
    <dataValidation type="list" allowBlank="1" showInputMessage="1" showErrorMessage="1" sqref="LWH393221:LWH393244">
      <formula1>項目!A4:$LWA$393218</formula1>
    </dataValidation>
    <dataValidation type="list" allowBlank="1" showInputMessage="1" showErrorMessage="1" sqref="MGD393221:MGD393244">
      <formula1>項目!A4:$MFW$393218</formula1>
    </dataValidation>
    <dataValidation type="list" allowBlank="1" showInputMessage="1" showErrorMessage="1" sqref="MPZ393221:MPZ393244">
      <formula1>項目!A4:$MPS$393218</formula1>
    </dataValidation>
    <dataValidation type="list" allowBlank="1" showInputMessage="1" showErrorMessage="1" sqref="MZV393221:MZV393244">
      <formula1>項目!A4:$MZO$393218</formula1>
    </dataValidation>
    <dataValidation type="list" allowBlank="1" showInputMessage="1" showErrorMessage="1" sqref="NJR393221:NJR393244">
      <formula1>項目!A4:$NJK$393218</formula1>
    </dataValidation>
    <dataValidation type="list" allowBlank="1" showInputMessage="1" showErrorMessage="1" sqref="NTN393221:NTN393244">
      <formula1>項目!A4:$NTG$393218</formula1>
    </dataValidation>
    <dataValidation type="list" allowBlank="1" showInputMessage="1" showErrorMessage="1" sqref="ODJ393221:ODJ393244">
      <formula1>項目!A4:$ODC$393218</formula1>
    </dataValidation>
    <dataValidation type="list" allowBlank="1" showInputMessage="1" showErrorMessage="1" sqref="ONF393221:ONF393244">
      <formula1>項目!A4:$OMY$393218</formula1>
    </dataValidation>
    <dataValidation type="list" allowBlank="1" showInputMessage="1" showErrorMessage="1" sqref="OXB393221:OXB393244">
      <formula1>項目!A4:$OWU$393218</formula1>
    </dataValidation>
    <dataValidation type="list" allowBlank="1" showInputMessage="1" showErrorMessage="1" sqref="PGX393221:PGX393244">
      <formula1>項目!A4:$PGQ$393218</formula1>
    </dataValidation>
    <dataValidation type="list" allowBlank="1" showInputMessage="1" showErrorMessage="1" sqref="PQT393221:PQT393244">
      <formula1>項目!A4:$PQM$393218</formula1>
    </dataValidation>
    <dataValidation type="list" allowBlank="1" showInputMessage="1" showErrorMessage="1" sqref="QAP393221:QAP393244">
      <formula1>項目!A4:$QAI$393218</formula1>
    </dataValidation>
    <dataValidation type="list" allowBlank="1" showInputMessage="1" showErrorMessage="1" sqref="QKL393221:QKL393244">
      <formula1>項目!A4:$QKE$393218</formula1>
    </dataValidation>
    <dataValidation type="list" allowBlank="1" showInputMessage="1" showErrorMessage="1" sqref="QUH393221:QUH393244">
      <formula1>項目!A4:$QUA$393218</formula1>
    </dataValidation>
    <dataValidation type="list" allowBlank="1" showInputMessage="1" showErrorMessage="1" sqref="RED393221:RED393244">
      <formula1>項目!A4:$RDW$393218</formula1>
    </dataValidation>
    <dataValidation type="list" allowBlank="1" showInputMessage="1" showErrorMessage="1" sqref="RNZ393221:RNZ393244">
      <formula1>項目!A4:$RNS$393218</formula1>
    </dataValidation>
    <dataValidation type="list" allowBlank="1" showInputMessage="1" showErrorMessage="1" sqref="RXV393221:RXV393244">
      <formula1>項目!A4:$RXO$393218</formula1>
    </dataValidation>
    <dataValidation type="list" allowBlank="1" showInputMessage="1" showErrorMessage="1" sqref="SHR393221:SHR393244">
      <formula1>項目!A4:$SHK$393218</formula1>
    </dataValidation>
    <dataValidation type="list" allowBlank="1" showInputMessage="1" showErrorMessage="1" sqref="SRN393221:SRN393244">
      <formula1>項目!A4:$SRG$393218</formula1>
    </dataValidation>
    <dataValidation type="list" allowBlank="1" showInputMessage="1" showErrorMessage="1" sqref="TBJ393221:TBJ393244">
      <formula1>項目!A4:$TBC$393218</formula1>
    </dataValidation>
    <dataValidation type="list" allowBlank="1" showInputMessage="1" showErrorMessage="1" sqref="TLF393221:TLF393244">
      <formula1>項目!A4:$TKY$393218</formula1>
    </dataValidation>
    <dataValidation type="list" allowBlank="1" showInputMessage="1" showErrorMessage="1" sqref="TVB393221:TVB393244">
      <formula1>項目!A4:$TUU$393218</formula1>
    </dataValidation>
    <dataValidation type="list" allowBlank="1" showInputMessage="1" showErrorMessage="1" sqref="UEX393221:UEX393244">
      <formula1>項目!A4:$UEQ$393218</formula1>
    </dataValidation>
    <dataValidation type="list" allowBlank="1" showInputMessage="1" showErrorMessage="1" sqref="UOT393221:UOT393244">
      <formula1>項目!A4:$UOM$393218</formula1>
    </dataValidation>
    <dataValidation type="list" allowBlank="1" showInputMessage="1" showErrorMessage="1" sqref="UYP393221:UYP393244">
      <formula1>項目!A4:$UYI$393218</formula1>
    </dataValidation>
    <dataValidation type="list" allowBlank="1" showInputMessage="1" showErrorMessage="1" sqref="VIL393221:VIL393244">
      <formula1>項目!A4:$VIE$393218</formula1>
    </dataValidation>
    <dataValidation type="list" allowBlank="1" showInputMessage="1" showErrorMessage="1" sqref="VSH393221:VSH393244">
      <formula1>項目!A4:$VSA$393218</formula1>
    </dataValidation>
    <dataValidation type="list" allowBlank="1" showInputMessage="1" showErrorMessage="1" sqref="WCD393221:WCD393244">
      <formula1>項目!A4:$WBW$393218</formula1>
    </dataValidation>
    <dataValidation type="list" allowBlank="1" showInputMessage="1" showErrorMessage="1" sqref="WLZ393221:WLZ393244">
      <formula1>項目!A4:$WLS$393218</formula1>
    </dataValidation>
    <dataValidation type="list" allowBlank="1" showInputMessage="1" showErrorMessage="1" sqref="WVV393221:WVV393244">
      <formula1>項目!A4:$WVO$393218</formula1>
    </dataValidation>
    <dataValidation type="list" allowBlank="1" showInputMessage="1" showErrorMessage="1" sqref="JJ458757:JJ458780">
      <formula1>項目!A4:$JC$458754</formula1>
    </dataValidation>
    <dataValidation type="list" allowBlank="1" showInputMessage="1" showErrorMessage="1" sqref="TF458757:TF458780">
      <formula1>項目!A4:$SY$458754</formula1>
    </dataValidation>
    <dataValidation type="list" allowBlank="1" showInputMessage="1" showErrorMessage="1" sqref="ADB458757:ADB458780">
      <formula1>項目!A4:$ACU$458754</formula1>
    </dataValidation>
    <dataValidation type="list" allowBlank="1" showInputMessage="1" showErrorMessage="1" sqref="AMX458757:AMX458780">
      <formula1>項目!A4:$AMQ$458754</formula1>
    </dataValidation>
    <dataValidation type="list" allowBlank="1" showInputMessage="1" showErrorMessage="1" sqref="AWT458757:AWT458780">
      <formula1>項目!A4:$AWM$458754</formula1>
    </dataValidation>
    <dataValidation type="list" allowBlank="1" showInputMessage="1" showErrorMessage="1" sqref="BGP458757:BGP458780">
      <formula1>項目!A4:$BGI$458754</formula1>
    </dataValidation>
    <dataValidation type="list" allowBlank="1" showInputMessage="1" showErrorMessage="1" sqref="BQL458757:BQL458780">
      <formula1>項目!A4:$BQE$458754</formula1>
    </dataValidation>
    <dataValidation type="list" allowBlank="1" showInputMessage="1" showErrorMessage="1" sqref="CAH458757:CAH458780">
      <formula1>項目!A4:$CAA$458754</formula1>
    </dataValidation>
    <dataValidation type="list" allowBlank="1" showInputMessage="1" showErrorMessage="1" sqref="CKD458757:CKD458780">
      <formula1>項目!A4:$CJW$458754</formula1>
    </dataValidation>
    <dataValidation type="list" allowBlank="1" showInputMessage="1" showErrorMessage="1" sqref="CTZ458757:CTZ458780">
      <formula1>項目!A4:$CTS$458754</formula1>
    </dataValidation>
    <dataValidation type="list" allowBlank="1" showInputMessage="1" showErrorMessage="1" sqref="DDV458757:DDV458780">
      <formula1>項目!A4:$DDO$458754</formula1>
    </dataValidation>
    <dataValidation type="list" allowBlank="1" showInputMessage="1" showErrorMessage="1" sqref="DNR458757:DNR458780">
      <formula1>項目!A4:$DNK$458754</formula1>
    </dataValidation>
    <dataValidation type="list" allowBlank="1" showInputMessage="1" showErrorMessage="1" sqref="DXN458757:DXN458780">
      <formula1>項目!A4:$DXG$458754</formula1>
    </dataValidation>
    <dataValidation type="list" allowBlank="1" showInputMessage="1" showErrorMessage="1" sqref="EHJ458757:EHJ458780">
      <formula1>項目!A4:$EHC$458754</formula1>
    </dataValidation>
    <dataValidation type="list" allowBlank="1" showInputMessage="1" showErrorMessage="1" sqref="ERF458757:ERF458780">
      <formula1>項目!A4:$EQY$458754</formula1>
    </dataValidation>
    <dataValidation type="list" allowBlank="1" showInputMessage="1" showErrorMessage="1" sqref="FBB458757:FBB458780">
      <formula1>項目!A4:$FAU$458754</formula1>
    </dataValidation>
    <dataValidation type="list" allowBlank="1" showInputMessage="1" showErrorMessage="1" sqref="FKX458757:FKX458780">
      <formula1>項目!A4:$FKQ$458754</formula1>
    </dataValidation>
    <dataValidation type="list" allowBlank="1" showInputMessage="1" showErrorMessage="1" sqref="FUT458757:FUT458780">
      <formula1>項目!A4:$FUM$458754</formula1>
    </dataValidation>
    <dataValidation type="list" allowBlank="1" showInputMessage="1" showErrorMessage="1" sqref="GEP458757:GEP458780">
      <formula1>項目!A4:$GEI$458754</formula1>
    </dataValidation>
    <dataValidation type="list" allowBlank="1" showInputMessage="1" showErrorMessage="1" sqref="GOL458757:GOL458780">
      <formula1>項目!A4:$GOE$458754</formula1>
    </dataValidation>
    <dataValidation type="list" allowBlank="1" showInputMessage="1" showErrorMessage="1" sqref="GYH458757:GYH458780">
      <formula1>項目!A4:$GYA$458754</formula1>
    </dataValidation>
    <dataValidation type="list" allowBlank="1" showInputMessage="1" showErrorMessage="1" sqref="HID458757:HID458780">
      <formula1>項目!A4:$HHW$458754</formula1>
    </dataValidation>
    <dataValidation type="list" allowBlank="1" showInputMessage="1" showErrorMessage="1" sqref="HRZ458757:HRZ458780">
      <formula1>項目!A4:$HRS$458754</formula1>
    </dataValidation>
    <dataValidation type="list" allowBlank="1" showInputMessage="1" showErrorMessage="1" sqref="IBV458757:IBV458780">
      <formula1>項目!A4:$IBO$458754</formula1>
    </dataValidation>
    <dataValidation type="list" allowBlank="1" showInputMessage="1" showErrorMessage="1" sqref="ILR458757:ILR458780">
      <formula1>項目!A4:$ILK$458754</formula1>
    </dataValidation>
    <dataValidation type="list" allowBlank="1" showInputMessage="1" showErrorMessage="1" sqref="IVN458757:IVN458780">
      <formula1>項目!A4:$IVG$458754</formula1>
    </dataValidation>
    <dataValidation type="list" allowBlank="1" showInputMessage="1" showErrorMessage="1" sqref="JFJ458757:JFJ458780">
      <formula1>項目!A4:$JFC$458754</formula1>
    </dataValidation>
    <dataValidation type="list" allowBlank="1" showInputMessage="1" showErrorMessage="1" sqref="JPF458757:JPF458780">
      <formula1>項目!A4:$JOY$458754</formula1>
    </dataValidation>
    <dataValidation type="list" allowBlank="1" showInputMessage="1" showErrorMessage="1" sqref="JZB458757:JZB458780">
      <formula1>項目!A4:$JYU$458754</formula1>
    </dataValidation>
    <dataValidation type="list" allowBlank="1" showInputMessage="1" showErrorMessage="1" sqref="KIX458757:KIX458780">
      <formula1>項目!A4:$KIQ$458754</formula1>
    </dataValidation>
    <dataValidation type="list" allowBlank="1" showInputMessage="1" showErrorMessage="1" sqref="KST458757:KST458780">
      <formula1>項目!A4:$KSM$458754</formula1>
    </dataValidation>
    <dataValidation type="list" allowBlank="1" showInputMessage="1" showErrorMessage="1" sqref="LCP458757:LCP458780">
      <formula1>項目!A4:$LCI$458754</formula1>
    </dataValidation>
    <dataValidation type="list" allowBlank="1" showInputMessage="1" showErrorMessage="1" sqref="LML458757:LML458780">
      <formula1>項目!A4:$LME$458754</formula1>
    </dataValidation>
    <dataValidation type="list" allowBlank="1" showInputMessage="1" showErrorMessage="1" sqref="LWH458757:LWH458780">
      <formula1>項目!A4:$LWA$458754</formula1>
    </dataValidation>
    <dataValidation type="list" allowBlank="1" showInputMessage="1" showErrorMessage="1" sqref="MGD458757:MGD458780">
      <formula1>項目!A4:$MFW$458754</formula1>
    </dataValidation>
    <dataValidation type="list" allowBlank="1" showInputMessage="1" showErrorMessage="1" sqref="MPZ458757:MPZ458780">
      <formula1>項目!A4:$MPS$458754</formula1>
    </dataValidation>
    <dataValidation type="list" allowBlank="1" showInputMessage="1" showErrorMessage="1" sqref="MZV458757:MZV458780">
      <formula1>項目!A4:$MZO$458754</formula1>
    </dataValidation>
    <dataValidation type="list" allowBlank="1" showInputMessage="1" showErrorMessage="1" sqref="NJR458757:NJR458780">
      <formula1>項目!A4:$NJK$458754</formula1>
    </dataValidation>
    <dataValidation type="list" allowBlank="1" showInputMessage="1" showErrorMessage="1" sqref="NTN458757:NTN458780">
      <formula1>項目!A4:$NTG$458754</formula1>
    </dataValidation>
    <dataValidation type="list" allowBlank="1" showInputMessage="1" showErrorMessage="1" sqref="ODJ458757:ODJ458780">
      <formula1>項目!A4:$ODC$458754</formula1>
    </dataValidation>
    <dataValidation type="list" allowBlank="1" showInputMessage="1" showErrorMessage="1" sqref="ONF458757:ONF458780">
      <formula1>項目!A4:$OMY$458754</formula1>
    </dataValidation>
    <dataValidation type="list" allowBlank="1" showInputMessage="1" showErrorMessage="1" sqref="OXB458757:OXB458780">
      <formula1>項目!A4:$OWU$458754</formula1>
    </dataValidation>
    <dataValidation type="list" allowBlank="1" showInputMessage="1" showErrorMessage="1" sqref="PGX458757:PGX458780">
      <formula1>項目!A4:$PGQ$458754</formula1>
    </dataValidation>
    <dataValidation type="list" allowBlank="1" showInputMessage="1" showErrorMessage="1" sqref="PQT458757:PQT458780">
      <formula1>項目!A4:$PQM$458754</formula1>
    </dataValidation>
    <dataValidation type="list" allowBlank="1" showInputMessage="1" showErrorMessage="1" sqref="QAP458757:QAP458780">
      <formula1>項目!A4:$QAI$458754</formula1>
    </dataValidation>
    <dataValidation type="list" allowBlank="1" showInputMessage="1" showErrorMessage="1" sqref="QKL458757:QKL458780">
      <formula1>項目!A4:$QKE$458754</formula1>
    </dataValidation>
    <dataValidation type="list" allowBlank="1" showInputMessage="1" showErrorMessage="1" sqref="QUH458757:QUH458780">
      <formula1>項目!A4:$QUA$458754</formula1>
    </dataValidation>
    <dataValidation type="list" allowBlank="1" showInputMessage="1" showErrorMessage="1" sqref="RED458757:RED458780">
      <formula1>項目!A4:$RDW$458754</formula1>
    </dataValidation>
    <dataValidation type="list" allowBlank="1" showInputMessage="1" showErrorMessage="1" sqref="RNZ458757:RNZ458780">
      <formula1>項目!A4:$RNS$458754</formula1>
    </dataValidation>
    <dataValidation type="list" allowBlank="1" showInputMessage="1" showErrorMessage="1" sqref="RXV458757:RXV458780">
      <formula1>項目!A4:$RXO$458754</formula1>
    </dataValidation>
    <dataValidation type="list" allowBlank="1" showInputMessage="1" showErrorMessage="1" sqref="SHR458757:SHR458780">
      <formula1>項目!A4:$SHK$458754</formula1>
    </dataValidation>
    <dataValidation type="list" allowBlank="1" showInputMessage="1" showErrorMessage="1" sqref="SRN458757:SRN458780">
      <formula1>項目!A4:$SRG$458754</formula1>
    </dataValidation>
    <dataValidation type="list" allowBlank="1" showInputMessage="1" showErrorMessage="1" sqref="TBJ458757:TBJ458780">
      <formula1>項目!A4:$TBC$458754</formula1>
    </dataValidation>
    <dataValidation type="list" allowBlank="1" showInputMessage="1" showErrorMessage="1" sqref="TLF458757:TLF458780">
      <formula1>項目!A4:$TKY$458754</formula1>
    </dataValidation>
    <dataValidation type="list" allowBlank="1" showInputMessage="1" showErrorMessage="1" sqref="TVB458757:TVB458780">
      <formula1>項目!A4:$TUU$458754</formula1>
    </dataValidation>
    <dataValidation type="list" allowBlank="1" showInputMessage="1" showErrorMessage="1" sqref="UEX458757:UEX458780">
      <formula1>項目!A4:$UEQ$458754</formula1>
    </dataValidation>
    <dataValidation type="list" allowBlank="1" showInputMessage="1" showErrorMessage="1" sqref="UOT458757:UOT458780">
      <formula1>項目!A4:$UOM$458754</formula1>
    </dataValidation>
    <dataValidation type="list" allowBlank="1" showInputMessage="1" showErrorMessage="1" sqref="UYP458757:UYP458780">
      <formula1>項目!A4:$UYI$458754</formula1>
    </dataValidation>
    <dataValidation type="list" allowBlank="1" showInputMessage="1" showErrorMessage="1" sqref="VIL458757:VIL458780">
      <formula1>項目!A4:$VIE$458754</formula1>
    </dataValidation>
    <dataValidation type="list" allowBlank="1" showInputMessage="1" showErrorMessage="1" sqref="VSH458757:VSH458780">
      <formula1>項目!A4:$VSA$458754</formula1>
    </dataValidation>
    <dataValidation type="list" allowBlank="1" showInputMessage="1" showErrorMessage="1" sqref="WCD458757:WCD458780">
      <formula1>項目!A4:$WBW$458754</formula1>
    </dataValidation>
    <dataValidation type="list" allowBlank="1" showInputMessage="1" showErrorMessage="1" sqref="WLZ458757:WLZ458780">
      <formula1>項目!A4:$WLS$458754</formula1>
    </dataValidation>
    <dataValidation type="list" allowBlank="1" showInputMessage="1" showErrorMessage="1" sqref="WVV458757:WVV458780">
      <formula1>項目!A4:$WVO$458754</formula1>
    </dataValidation>
    <dataValidation type="list" allowBlank="1" showInputMessage="1" showErrorMessage="1" sqref="JJ524293:JJ524316">
      <formula1>項目!A4:$JC$524290</formula1>
    </dataValidation>
    <dataValidation type="list" allowBlank="1" showInputMessage="1" showErrorMessage="1" sqref="TF524293:TF524316">
      <formula1>項目!A4:$SY$524290</formula1>
    </dataValidation>
    <dataValidation type="list" allowBlank="1" showInputMessage="1" showErrorMessage="1" sqref="ADB524293:ADB524316">
      <formula1>項目!A4:$ACU$524290</formula1>
    </dataValidation>
    <dataValidation type="list" allowBlank="1" showInputMessage="1" showErrorMessage="1" sqref="AMX524293:AMX524316">
      <formula1>項目!A4:$AMQ$524290</formula1>
    </dataValidation>
    <dataValidation type="list" allowBlank="1" showInputMessage="1" showErrorMessage="1" sqref="AWT524293:AWT524316">
      <formula1>項目!A4:$AWM$524290</formula1>
    </dataValidation>
    <dataValidation type="list" allowBlank="1" showInputMessage="1" showErrorMessage="1" sqref="BGP524293:BGP524316">
      <formula1>項目!A4:$BGI$524290</formula1>
    </dataValidation>
    <dataValidation type="list" allowBlank="1" showInputMessage="1" showErrorMessage="1" sqref="BQL524293:BQL524316">
      <formula1>項目!A4:$BQE$524290</formula1>
    </dataValidation>
    <dataValidation type="list" allowBlank="1" showInputMessage="1" showErrorMessage="1" sqref="CAH524293:CAH524316">
      <formula1>項目!A4:$CAA$524290</formula1>
    </dataValidation>
    <dataValidation type="list" allowBlank="1" showInputMessage="1" showErrorMessage="1" sqref="CKD524293:CKD524316">
      <formula1>項目!A4:$CJW$524290</formula1>
    </dataValidation>
    <dataValidation type="list" allowBlank="1" showInputMessage="1" showErrorMessage="1" sqref="CTZ524293:CTZ524316">
      <formula1>項目!A4:$CTS$524290</formula1>
    </dataValidation>
    <dataValidation type="list" allowBlank="1" showInputMessage="1" showErrorMessage="1" sqref="DDV524293:DDV524316">
      <formula1>項目!A4:$DDO$524290</formula1>
    </dataValidation>
    <dataValidation type="list" allowBlank="1" showInputMessage="1" showErrorMessage="1" sqref="DNR524293:DNR524316">
      <formula1>項目!A4:$DNK$524290</formula1>
    </dataValidation>
    <dataValidation type="list" allowBlank="1" showInputMessage="1" showErrorMessage="1" sqref="DXN524293:DXN524316">
      <formula1>項目!A4:$DXG$524290</formula1>
    </dataValidation>
    <dataValidation type="list" allowBlank="1" showInputMessage="1" showErrorMessage="1" sqref="EHJ524293:EHJ524316">
      <formula1>項目!A4:$EHC$524290</formula1>
    </dataValidation>
    <dataValidation type="list" allowBlank="1" showInputMessage="1" showErrorMessage="1" sqref="ERF524293:ERF524316">
      <formula1>項目!A4:$EQY$524290</formula1>
    </dataValidation>
    <dataValidation type="list" allowBlank="1" showInputMessage="1" showErrorMessage="1" sqref="FBB524293:FBB524316">
      <formula1>項目!A4:$FAU$524290</formula1>
    </dataValidation>
    <dataValidation type="list" allowBlank="1" showInputMessage="1" showErrorMessage="1" sqref="FKX524293:FKX524316">
      <formula1>項目!A4:$FKQ$524290</formula1>
    </dataValidation>
    <dataValidation type="list" allowBlank="1" showInputMessage="1" showErrorMessage="1" sqref="FUT524293:FUT524316">
      <formula1>項目!A4:$FUM$524290</formula1>
    </dataValidation>
    <dataValidation type="list" allowBlank="1" showInputMessage="1" showErrorMessage="1" sqref="GEP524293:GEP524316">
      <formula1>項目!A4:$GEI$524290</formula1>
    </dataValidation>
    <dataValidation type="list" allowBlank="1" showInputMessage="1" showErrorMessage="1" sqref="GOL524293:GOL524316">
      <formula1>項目!A4:$GOE$524290</formula1>
    </dataValidation>
    <dataValidation type="list" allowBlank="1" showInputMessage="1" showErrorMessage="1" sqref="GYH524293:GYH524316">
      <formula1>項目!A4:$GYA$524290</formula1>
    </dataValidation>
    <dataValidation type="list" allowBlank="1" showInputMessage="1" showErrorMessage="1" sqref="HID524293:HID524316">
      <formula1>項目!A4:$HHW$524290</formula1>
    </dataValidation>
    <dataValidation type="list" allowBlank="1" showInputMessage="1" showErrorMessage="1" sqref="HRZ524293:HRZ524316">
      <formula1>項目!A4:$HRS$524290</formula1>
    </dataValidation>
    <dataValidation type="list" allowBlank="1" showInputMessage="1" showErrorMessage="1" sqref="IBV524293:IBV524316">
      <formula1>項目!A4:$IBO$524290</formula1>
    </dataValidation>
    <dataValidation type="list" allowBlank="1" showInputMessage="1" showErrorMessage="1" sqref="ILR524293:ILR524316">
      <formula1>項目!A4:$ILK$524290</formula1>
    </dataValidation>
    <dataValidation type="list" allowBlank="1" showInputMessage="1" showErrorMessage="1" sqref="IVN524293:IVN524316">
      <formula1>項目!A4:$IVG$524290</formula1>
    </dataValidation>
    <dataValidation type="list" allowBlank="1" showInputMessage="1" showErrorMessage="1" sqref="JFJ524293:JFJ524316">
      <formula1>項目!A4:$JFC$524290</formula1>
    </dataValidation>
    <dataValidation type="list" allowBlank="1" showInputMessage="1" showErrorMessage="1" sqref="JPF524293:JPF524316">
      <formula1>項目!A4:$JOY$524290</formula1>
    </dataValidation>
    <dataValidation type="list" allowBlank="1" showInputMessage="1" showErrorMessage="1" sqref="JZB524293:JZB524316">
      <formula1>項目!A4:$JYU$524290</formula1>
    </dataValidation>
    <dataValidation type="list" allowBlank="1" showInputMessage="1" showErrorMessage="1" sqref="KIX524293:KIX524316">
      <formula1>項目!A4:$KIQ$524290</formula1>
    </dataValidation>
    <dataValidation type="list" allowBlank="1" showInputMessage="1" showErrorMessage="1" sqref="KST524293:KST524316">
      <formula1>項目!A4:$KSM$524290</formula1>
    </dataValidation>
    <dataValidation type="list" allowBlank="1" showInputMessage="1" showErrorMessage="1" sqref="LCP524293:LCP524316">
      <formula1>項目!A4:$LCI$524290</formula1>
    </dataValidation>
    <dataValidation type="list" allowBlank="1" showInputMessage="1" showErrorMessage="1" sqref="LML524293:LML524316">
      <formula1>項目!A4:$LME$524290</formula1>
    </dataValidation>
    <dataValidation type="list" allowBlank="1" showInputMessage="1" showErrorMessage="1" sqref="LWH524293:LWH524316">
      <formula1>項目!A4:$LWA$524290</formula1>
    </dataValidation>
    <dataValidation type="list" allowBlank="1" showInputMessage="1" showErrorMessage="1" sqref="MGD524293:MGD524316">
      <formula1>項目!A4:$MFW$524290</formula1>
    </dataValidation>
    <dataValidation type="list" allowBlank="1" showInputMessage="1" showErrorMessage="1" sqref="MPZ524293:MPZ524316">
      <formula1>項目!A4:$MPS$524290</formula1>
    </dataValidation>
    <dataValidation type="list" allowBlank="1" showInputMessage="1" showErrorMessage="1" sqref="MZV524293:MZV524316">
      <formula1>項目!A4:$MZO$524290</formula1>
    </dataValidation>
    <dataValidation type="list" allowBlank="1" showInputMessage="1" showErrorMessage="1" sqref="NJR524293:NJR524316">
      <formula1>項目!A4:$NJK$524290</formula1>
    </dataValidation>
    <dataValidation type="list" allowBlank="1" showInputMessage="1" showErrorMessage="1" sqref="NTN524293:NTN524316">
      <formula1>項目!A4:$NTG$524290</formula1>
    </dataValidation>
    <dataValidation type="list" allowBlank="1" showInputMessage="1" showErrorMessage="1" sqref="ODJ524293:ODJ524316">
      <formula1>項目!A4:$ODC$524290</formula1>
    </dataValidation>
    <dataValidation type="list" allowBlank="1" showInputMessage="1" showErrorMessage="1" sqref="ONF524293:ONF524316">
      <formula1>項目!A4:$OMY$524290</formula1>
    </dataValidation>
    <dataValidation type="list" allowBlank="1" showInputMessage="1" showErrorMessage="1" sqref="OXB524293:OXB524316">
      <formula1>項目!A4:$OWU$524290</formula1>
    </dataValidation>
    <dataValidation type="list" allowBlank="1" showInputMessage="1" showErrorMessage="1" sqref="PGX524293:PGX524316">
      <formula1>項目!A4:$PGQ$524290</formula1>
    </dataValidation>
    <dataValidation type="list" allowBlank="1" showInputMessage="1" showErrorMessage="1" sqref="PQT524293:PQT524316">
      <formula1>項目!A4:$PQM$524290</formula1>
    </dataValidation>
    <dataValidation type="list" allowBlank="1" showInputMessage="1" showErrorMessage="1" sqref="QAP524293:QAP524316">
      <formula1>項目!A4:$QAI$524290</formula1>
    </dataValidation>
    <dataValidation type="list" allowBlank="1" showInputMessage="1" showErrorMessage="1" sqref="QKL524293:QKL524316">
      <formula1>項目!A4:$QKE$524290</formula1>
    </dataValidation>
    <dataValidation type="list" allowBlank="1" showInputMessage="1" showErrorMessage="1" sqref="QUH524293:QUH524316">
      <formula1>項目!A4:$QUA$524290</formula1>
    </dataValidation>
    <dataValidation type="list" allowBlank="1" showInputMessage="1" showErrorMessage="1" sqref="RED524293:RED524316">
      <formula1>項目!A4:$RDW$524290</formula1>
    </dataValidation>
    <dataValidation type="list" allowBlank="1" showInputMessage="1" showErrorMessage="1" sqref="RNZ524293:RNZ524316">
      <formula1>項目!A4:$RNS$524290</formula1>
    </dataValidation>
    <dataValidation type="list" allowBlank="1" showInputMessage="1" showErrorMessage="1" sqref="RXV524293:RXV524316">
      <formula1>項目!A4:$RXO$524290</formula1>
    </dataValidation>
    <dataValidation type="list" allowBlank="1" showInputMessage="1" showErrorMessage="1" sqref="SHR524293:SHR524316">
      <formula1>項目!A4:$SHK$524290</formula1>
    </dataValidation>
    <dataValidation type="list" allowBlank="1" showInputMessage="1" showErrorMessage="1" sqref="SRN524293:SRN524316">
      <formula1>項目!A4:$SRG$524290</formula1>
    </dataValidation>
    <dataValidation type="list" allowBlank="1" showInputMessage="1" showErrorMessage="1" sqref="TBJ524293:TBJ524316">
      <formula1>項目!A4:$TBC$524290</formula1>
    </dataValidation>
    <dataValidation type="list" allowBlank="1" showInputMessage="1" showErrorMessage="1" sqref="TLF524293:TLF524316">
      <formula1>項目!A4:$TKY$524290</formula1>
    </dataValidation>
    <dataValidation type="list" allowBlank="1" showInputMessage="1" showErrorMessage="1" sqref="TVB524293:TVB524316">
      <formula1>項目!A4:$TUU$524290</formula1>
    </dataValidation>
    <dataValidation type="list" allowBlank="1" showInputMessage="1" showErrorMessage="1" sqref="UEX524293:UEX524316">
      <formula1>項目!A4:$UEQ$524290</formula1>
    </dataValidation>
    <dataValidation type="list" allowBlank="1" showInputMessage="1" showErrorMessage="1" sqref="UOT524293:UOT524316">
      <formula1>項目!A4:$UOM$524290</formula1>
    </dataValidation>
    <dataValidation type="list" allowBlank="1" showInputMessage="1" showErrorMessage="1" sqref="UYP524293:UYP524316">
      <formula1>項目!A4:$UYI$524290</formula1>
    </dataValidation>
    <dataValidation type="list" allowBlank="1" showInputMessage="1" showErrorMessage="1" sqref="VIL524293:VIL524316">
      <formula1>項目!A4:$VIE$524290</formula1>
    </dataValidation>
    <dataValidation type="list" allowBlank="1" showInputMessage="1" showErrorMessage="1" sqref="VSH524293:VSH524316">
      <formula1>項目!A4:$VSA$524290</formula1>
    </dataValidation>
    <dataValidation type="list" allowBlank="1" showInputMessage="1" showErrorMessage="1" sqref="WCD524293:WCD524316">
      <formula1>項目!A4:$WBW$524290</formula1>
    </dataValidation>
    <dataValidation type="list" allowBlank="1" showInputMessage="1" showErrorMessage="1" sqref="WLZ524293:WLZ524316">
      <formula1>項目!A4:$WLS$524290</formula1>
    </dataValidation>
    <dataValidation type="list" allowBlank="1" showInputMessage="1" showErrorMessage="1" sqref="WVV524293:WVV524316">
      <formula1>項目!A4:$WVO$524290</formula1>
    </dataValidation>
    <dataValidation type="list" allowBlank="1" showInputMessage="1" showErrorMessage="1" sqref="JJ589829:JJ589852">
      <formula1>項目!A4:$JC$589826</formula1>
    </dataValidation>
    <dataValidation type="list" allowBlank="1" showInputMessage="1" showErrorMessage="1" sqref="TF589829:TF589852">
      <formula1>項目!A4:$SY$589826</formula1>
    </dataValidation>
    <dataValidation type="list" allowBlank="1" showInputMessage="1" showErrorMessage="1" sqref="ADB589829:ADB589852">
      <formula1>項目!A4:$ACU$589826</formula1>
    </dataValidation>
    <dataValidation type="list" allowBlank="1" showInputMessage="1" showErrorMessage="1" sqref="AMX589829:AMX589852">
      <formula1>項目!A4:$AMQ$589826</formula1>
    </dataValidation>
    <dataValidation type="list" allowBlank="1" showInputMessage="1" showErrorMessage="1" sqref="AWT589829:AWT589852">
      <formula1>項目!A4:$AWM$589826</formula1>
    </dataValidation>
    <dataValidation type="list" allowBlank="1" showInputMessage="1" showErrorMessage="1" sqref="BGP589829:BGP589852">
      <formula1>項目!A4:$BGI$589826</formula1>
    </dataValidation>
    <dataValidation type="list" allowBlank="1" showInputMessage="1" showErrorMessage="1" sqref="BQL589829:BQL589852">
      <formula1>項目!A4:$BQE$589826</formula1>
    </dataValidation>
    <dataValidation type="list" allowBlank="1" showInputMessage="1" showErrorMessage="1" sqref="CAH589829:CAH589852">
      <formula1>項目!A4:$CAA$589826</formula1>
    </dataValidation>
    <dataValidation type="list" allowBlank="1" showInputMessage="1" showErrorMessage="1" sqref="CKD589829:CKD589852">
      <formula1>項目!A4:$CJW$589826</formula1>
    </dataValidation>
    <dataValidation type="list" allowBlank="1" showInputMessage="1" showErrorMessage="1" sqref="CTZ589829:CTZ589852">
      <formula1>項目!A4:$CTS$589826</formula1>
    </dataValidation>
    <dataValidation type="list" allowBlank="1" showInputMessage="1" showErrorMessage="1" sqref="DDV589829:DDV589852">
      <formula1>項目!A4:$DDO$589826</formula1>
    </dataValidation>
    <dataValidation type="list" allowBlank="1" showInputMessage="1" showErrorMessage="1" sqref="DNR589829:DNR589852">
      <formula1>項目!A4:$DNK$589826</formula1>
    </dataValidation>
    <dataValidation type="list" allowBlank="1" showInputMessage="1" showErrorMessage="1" sqref="DXN589829:DXN589852">
      <formula1>項目!A4:$DXG$589826</formula1>
    </dataValidation>
    <dataValidation type="list" allowBlank="1" showInputMessage="1" showErrorMessage="1" sqref="EHJ589829:EHJ589852">
      <formula1>項目!A4:$EHC$589826</formula1>
    </dataValidation>
    <dataValidation type="list" allowBlank="1" showInputMessage="1" showErrorMessage="1" sqref="ERF589829:ERF589852">
      <formula1>項目!A4:$EQY$589826</formula1>
    </dataValidation>
    <dataValidation type="list" allowBlank="1" showInputMessage="1" showErrorMessage="1" sqref="FBB589829:FBB589852">
      <formula1>項目!A4:$FAU$589826</formula1>
    </dataValidation>
    <dataValidation type="list" allowBlank="1" showInputMessage="1" showErrorMessage="1" sqref="FKX589829:FKX589852">
      <formula1>項目!A4:$FKQ$589826</formula1>
    </dataValidation>
    <dataValidation type="list" allowBlank="1" showInputMessage="1" showErrorMessage="1" sqref="FUT589829:FUT589852">
      <formula1>項目!A4:$FUM$589826</formula1>
    </dataValidation>
    <dataValidation type="list" allowBlank="1" showInputMessage="1" showErrorMessage="1" sqref="GEP589829:GEP589852">
      <formula1>項目!A4:$GEI$589826</formula1>
    </dataValidation>
    <dataValidation type="list" allowBlank="1" showInputMessage="1" showErrorMessage="1" sqref="GOL589829:GOL589852">
      <formula1>項目!A4:$GOE$589826</formula1>
    </dataValidation>
    <dataValidation type="list" allowBlank="1" showInputMessage="1" showErrorMessage="1" sqref="GYH589829:GYH589852">
      <formula1>項目!A4:$GYA$589826</formula1>
    </dataValidation>
    <dataValidation type="list" allowBlank="1" showInputMessage="1" showErrorMessage="1" sqref="HID589829:HID589852">
      <formula1>項目!A4:$HHW$589826</formula1>
    </dataValidation>
    <dataValidation type="list" allowBlank="1" showInputMessage="1" showErrorMessage="1" sqref="HRZ589829:HRZ589852">
      <formula1>項目!A4:$HRS$589826</formula1>
    </dataValidation>
    <dataValidation type="list" allowBlank="1" showInputMessage="1" showErrorMessage="1" sqref="IBV589829:IBV589852">
      <formula1>項目!A4:$IBO$589826</formula1>
    </dataValidation>
    <dataValidation type="list" allowBlank="1" showInputMessage="1" showErrorMessage="1" sqref="ILR589829:ILR589852">
      <formula1>項目!A4:$ILK$589826</formula1>
    </dataValidation>
    <dataValidation type="list" allowBlank="1" showInputMessage="1" showErrorMessage="1" sqref="IVN589829:IVN589852">
      <formula1>項目!A4:$IVG$589826</formula1>
    </dataValidation>
    <dataValidation type="list" allowBlank="1" showInputMessage="1" showErrorMessage="1" sqref="JFJ589829:JFJ589852">
      <formula1>項目!A4:$JFC$589826</formula1>
    </dataValidation>
    <dataValidation type="list" allowBlank="1" showInputMessage="1" showErrorMessage="1" sqref="JPF589829:JPF589852">
      <formula1>項目!A4:$JOY$589826</formula1>
    </dataValidation>
    <dataValidation type="list" allowBlank="1" showInputMessage="1" showErrorMessage="1" sqref="JZB589829:JZB589852">
      <formula1>項目!A4:$JYU$589826</formula1>
    </dataValidation>
    <dataValidation type="list" allowBlank="1" showInputMessage="1" showErrorMessage="1" sqref="KIX589829:KIX589852">
      <formula1>項目!A4:$KIQ$589826</formula1>
    </dataValidation>
    <dataValidation type="list" allowBlank="1" showInputMessage="1" showErrorMessage="1" sqref="KST589829:KST589852">
      <formula1>項目!A4:$KSM$589826</formula1>
    </dataValidation>
    <dataValidation type="list" allowBlank="1" showInputMessage="1" showErrorMessage="1" sqref="LCP589829:LCP589852">
      <formula1>項目!A4:$LCI$589826</formula1>
    </dataValidation>
    <dataValidation type="list" allowBlank="1" showInputMessage="1" showErrorMessage="1" sqref="LML589829:LML589852">
      <formula1>項目!A4:$LME$589826</formula1>
    </dataValidation>
    <dataValidation type="list" allowBlank="1" showInputMessage="1" showErrorMessage="1" sqref="LWH589829:LWH589852">
      <formula1>項目!A4:$LWA$589826</formula1>
    </dataValidation>
    <dataValidation type="list" allowBlank="1" showInputMessage="1" showErrorMessage="1" sqref="MGD589829:MGD589852">
      <formula1>項目!A4:$MFW$589826</formula1>
    </dataValidation>
    <dataValidation type="list" allowBlank="1" showInputMessage="1" showErrorMessage="1" sqref="MPZ589829:MPZ589852">
      <formula1>項目!A4:$MPS$589826</formula1>
    </dataValidation>
    <dataValidation type="list" allowBlank="1" showInputMessage="1" showErrorMessage="1" sqref="MZV589829:MZV589852">
      <formula1>項目!A4:$MZO$589826</formula1>
    </dataValidation>
    <dataValidation type="list" allowBlank="1" showInputMessage="1" showErrorMessage="1" sqref="NJR589829:NJR589852">
      <formula1>項目!A4:$NJK$589826</formula1>
    </dataValidation>
    <dataValidation type="list" allowBlank="1" showInputMessage="1" showErrorMessage="1" sqref="NTN589829:NTN589852">
      <formula1>項目!A4:$NTG$589826</formula1>
    </dataValidation>
    <dataValidation type="list" allowBlank="1" showInputMessage="1" showErrorMessage="1" sqref="ODJ589829:ODJ589852">
      <formula1>項目!A4:$ODC$589826</formula1>
    </dataValidation>
    <dataValidation type="list" allowBlank="1" showInputMessage="1" showErrorMessage="1" sqref="ONF589829:ONF589852">
      <formula1>項目!A4:$OMY$589826</formula1>
    </dataValidation>
    <dataValidation type="list" allowBlank="1" showInputMessage="1" showErrorMessage="1" sqref="OXB589829:OXB589852">
      <formula1>項目!A4:$OWU$589826</formula1>
    </dataValidation>
    <dataValidation type="list" allowBlank="1" showInputMessage="1" showErrorMessage="1" sqref="PGX589829:PGX589852">
      <formula1>項目!A4:$PGQ$589826</formula1>
    </dataValidation>
    <dataValidation type="list" allowBlank="1" showInputMessage="1" showErrorMessage="1" sqref="PQT589829:PQT589852">
      <formula1>項目!A4:$PQM$589826</formula1>
    </dataValidation>
    <dataValidation type="list" allowBlank="1" showInputMessage="1" showErrorMessage="1" sqref="QAP589829:QAP589852">
      <formula1>項目!A4:$QAI$589826</formula1>
    </dataValidation>
    <dataValidation type="list" allowBlank="1" showInputMessage="1" showErrorMessage="1" sqref="QKL589829:QKL589852">
      <formula1>項目!A4:$QKE$589826</formula1>
    </dataValidation>
    <dataValidation type="list" allowBlank="1" showInputMessage="1" showErrorMessage="1" sqref="QUH589829:QUH589852">
      <formula1>項目!A4:$QUA$589826</formula1>
    </dataValidation>
    <dataValidation type="list" allowBlank="1" showInputMessage="1" showErrorMessage="1" sqref="RED589829:RED589852">
      <formula1>項目!A4:$RDW$589826</formula1>
    </dataValidation>
    <dataValidation type="list" allowBlank="1" showInputMessage="1" showErrorMessage="1" sqref="RNZ589829:RNZ589852">
      <formula1>項目!A4:$RNS$589826</formula1>
    </dataValidation>
    <dataValidation type="list" allowBlank="1" showInputMessage="1" showErrorMessage="1" sqref="RXV589829:RXV589852">
      <formula1>項目!A4:$RXO$589826</formula1>
    </dataValidation>
    <dataValidation type="list" allowBlank="1" showInputMessage="1" showErrorMessage="1" sqref="SHR589829:SHR589852">
      <formula1>項目!A4:$SHK$589826</formula1>
    </dataValidation>
    <dataValidation type="list" allowBlank="1" showInputMessage="1" showErrorMessage="1" sqref="SRN589829:SRN589852">
      <formula1>項目!A4:$SRG$589826</formula1>
    </dataValidation>
    <dataValidation type="list" allowBlank="1" showInputMessage="1" showErrorMessage="1" sqref="TBJ589829:TBJ589852">
      <formula1>項目!A4:$TBC$589826</formula1>
    </dataValidation>
    <dataValidation type="list" allowBlank="1" showInputMessage="1" showErrorMessage="1" sqref="TLF589829:TLF589852">
      <formula1>項目!A4:$TKY$589826</formula1>
    </dataValidation>
    <dataValidation type="list" allowBlank="1" showInputMessage="1" showErrorMessage="1" sqref="TVB589829:TVB589852">
      <formula1>項目!A4:$TUU$589826</formula1>
    </dataValidation>
    <dataValidation type="list" allowBlank="1" showInputMessage="1" showErrorMessage="1" sqref="UEX589829:UEX589852">
      <formula1>項目!A4:$UEQ$589826</formula1>
    </dataValidation>
    <dataValidation type="list" allowBlank="1" showInputMessage="1" showErrorMessage="1" sqref="UOT589829:UOT589852">
      <formula1>項目!A4:$UOM$589826</formula1>
    </dataValidation>
    <dataValidation type="list" allowBlank="1" showInputMessage="1" showErrorMessage="1" sqref="UYP589829:UYP589852">
      <formula1>項目!A4:$UYI$589826</formula1>
    </dataValidation>
    <dataValidation type="list" allowBlank="1" showInputMessage="1" showErrorMessage="1" sqref="VIL589829:VIL589852">
      <formula1>項目!A4:$VIE$589826</formula1>
    </dataValidation>
    <dataValidation type="list" allowBlank="1" showInputMessage="1" showErrorMessage="1" sqref="VSH589829:VSH589852">
      <formula1>項目!A4:$VSA$589826</formula1>
    </dataValidation>
    <dataValidation type="list" allowBlank="1" showInputMessage="1" showErrorMessage="1" sqref="WCD589829:WCD589852">
      <formula1>項目!A4:$WBW$589826</formula1>
    </dataValidation>
    <dataValidation type="list" allowBlank="1" showInputMessage="1" showErrorMessage="1" sqref="WLZ589829:WLZ589852">
      <formula1>項目!A4:$WLS$589826</formula1>
    </dataValidation>
    <dataValidation type="list" allowBlank="1" showInputMessage="1" showErrorMessage="1" sqref="WVV589829:WVV589852">
      <formula1>項目!A4:$WVO$589826</formula1>
    </dataValidation>
    <dataValidation type="list" allowBlank="1" showInputMessage="1" showErrorMessage="1" sqref="JJ655365:JJ655388">
      <formula1>項目!A4:$JC$655362</formula1>
    </dataValidation>
    <dataValidation type="list" allowBlank="1" showInputMessage="1" showErrorMessage="1" sqref="TF655365:TF655388">
      <formula1>項目!A4:$SY$655362</formula1>
    </dataValidation>
    <dataValidation type="list" allowBlank="1" showInputMessage="1" showErrorMessage="1" sqref="ADB655365:ADB655388">
      <formula1>項目!A4:$ACU$655362</formula1>
    </dataValidation>
    <dataValidation type="list" allowBlank="1" showInputMessage="1" showErrorMessage="1" sqref="AMX655365:AMX655388">
      <formula1>項目!A4:$AMQ$655362</formula1>
    </dataValidation>
    <dataValidation type="list" allowBlank="1" showInputMessage="1" showErrorMessage="1" sqref="AWT655365:AWT655388">
      <formula1>項目!A4:$AWM$655362</formula1>
    </dataValidation>
    <dataValidation type="list" allowBlank="1" showInputMessage="1" showErrorMessage="1" sqref="BGP655365:BGP655388">
      <formula1>項目!A4:$BGI$655362</formula1>
    </dataValidation>
    <dataValidation type="list" allowBlank="1" showInputMessage="1" showErrorMessage="1" sqref="BQL655365:BQL655388">
      <formula1>項目!A4:$BQE$655362</formula1>
    </dataValidation>
    <dataValidation type="list" allowBlank="1" showInputMessage="1" showErrorMessage="1" sqref="CAH655365:CAH655388">
      <formula1>項目!A4:$CAA$655362</formula1>
    </dataValidation>
    <dataValidation type="list" allowBlank="1" showInputMessage="1" showErrorMessage="1" sqref="CKD655365:CKD655388">
      <formula1>項目!A4:$CJW$655362</formula1>
    </dataValidation>
    <dataValidation type="list" allowBlank="1" showInputMessage="1" showErrorMessage="1" sqref="CTZ655365:CTZ655388">
      <formula1>項目!A4:$CTS$655362</formula1>
    </dataValidation>
    <dataValidation type="list" allowBlank="1" showInputMessage="1" showErrorMessage="1" sqref="DDV655365:DDV655388">
      <formula1>項目!A4:$DDO$655362</formula1>
    </dataValidation>
    <dataValidation type="list" allowBlank="1" showInputMessage="1" showErrorMessage="1" sqref="DNR655365:DNR655388">
      <formula1>項目!A4:$DNK$655362</formula1>
    </dataValidation>
    <dataValidation type="list" allowBlank="1" showInputMessage="1" showErrorMessage="1" sqref="DXN655365:DXN655388">
      <formula1>項目!A4:$DXG$655362</formula1>
    </dataValidation>
    <dataValidation type="list" allowBlank="1" showInputMessage="1" showErrorMessage="1" sqref="EHJ655365:EHJ655388">
      <formula1>項目!A4:$EHC$655362</formula1>
    </dataValidation>
    <dataValidation type="list" allowBlank="1" showInputMessage="1" showErrorMessage="1" sqref="ERF655365:ERF655388">
      <formula1>項目!A4:$EQY$655362</formula1>
    </dataValidation>
    <dataValidation type="list" allowBlank="1" showInputMessage="1" showErrorMessage="1" sqref="FBB655365:FBB655388">
      <formula1>項目!A4:$FAU$655362</formula1>
    </dataValidation>
    <dataValidation type="list" allowBlank="1" showInputMessage="1" showErrorMessage="1" sqref="FKX655365:FKX655388">
      <formula1>項目!A4:$FKQ$655362</formula1>
    </dataValidation>
    <dataValidation type="list" allowBlank="1" showInputMessage="1" showErrorMessage="1" sqref="FUT655365:FUT655388">
      <formula1>項目!A4:$FUM$655362</formula1>
    </dataValidation>
    <dataValidation type="list" allowBlank="1" showInputMessage="1" showErrorMessage="1" sqref="GEP655365:GEP655388">
      <formula1>項目!A4:$GEI$655362</formula1>
    </dataValidation>
    <dataValidation type="list" allowBlank="1" showInputMessage="1" showErrorMessage="1" sqref="GOL655365:GOL655388">
      <formula1>項目!A4:$GOE$655362</formula1>
    </dataValidation>
    <dataValidation type="list" allowBlank="1" showInputMessage="1" showErrorMessage="1" sqref="GYH655365:GYH655388">
      <formula1>項目!A4:$GYA$655362</formula1>
    </dataValidation>
    <dataValidation type="list" allowBlank="1" showInputMessage="1" showErrorMessage="1" sqref="HID655365:HID655388">
      <formula1>項目!A4:$HHW$655362</formula1>
    </dataValidation>
    <dataValidation type="list" allowBlank="1" showInputMessage="1" showErrorMessage="1" sqref="HRZ655365:HRZ655388">
      <formula1>項目!A4:$HRS$655362</formula1>
    </dataValidation>
    <dataValidation type="list" allowBlank="1" showInputMessage="1" showErrorMessage="1" sqref="IBV655365:IBV655388">
      <formula1>項目!A4:$IBO$655362</formula1>
    </dataValidation>
    <dataValidation type="list" allowBlank="1" showInputMessage="1" showErrorMessage="1" sqref="ILR655365:ILR655388">
      <formula1>項目!A4:$ILK$655362</formula1>
    </dataValidation>
    <dataValidation type="list" allowBlank="1" showInputMessage="1" showErrorMessage="1" sqref="IVN655365:IVN655388">
      <formula1>項目!A4:$IVG$655362</formula1>
    </dataValidation>
    <dataValidation type="list" allowBlank="1" showInputMessage="1" showErrorMessage="1" sqref="JFJ655365:JFJ655388">
      <formula1>項目!A4:$JFC$655362</formula1>
    </dataValidation>
    <dataValidation type="list" allowBlank="1" showInputMessage="1" showErrorMessage="1" sqref="JPF655365:JPF655388">
      <formula1>項目!A4:$JOY$655362</formula1>
    </dataValidation>
    <dataValidation type="list" allowBlank="1" showInputMessage="1" showErrorMessage="1" sqref="JZB655365:JZB655388">
      <formula1>項目!A4:$JYU$655362</formula1>
    </dataValidation>
    <dataValidation type="list" allowBlank="1" showInputMessage="1" showErrorMessage="1" sqref="KIX655365:KIX655388">
      <formula1>項目!A4:$KIQ$655362</formula1>
    </dataValidation>
    <dataValidation type="list" allowBlank="1" showInputMessage="1" showErrorMessage="1" sqref="KST655365:KST655388">
      <formula1>項目!A4:$KSM$655362</formula1>
    </dataValidation>
    <dataValidation type="list" allowBlank="1" showInputMessage="1" showErrorMessage="1" sqref="LCP655365:LCP655388">
      <formula1>項目!A4:$LCI$655362</formula1>
    </dataValidation>
    <dataValidation type="list" allowBlank="1" showInputMessage="1" showErrorMessage="1" sqref="LML655365:LML655388">
      <formula1>項目!A4:$LME$655362</formula1>
    </dataValidation>
    <dataValidation type="list" allowBlank="1" showInputMessage="1" showErrorMessage="1" sqref="LWH655365:LWH655388">
      <formula1>項目!A4:$LWA$655362</formula1>
    </dataValidation>
    <dataValidation type="list" allowBlank="1" showInputMessage="1" showErrorMessage="1" sqref="MGD655365:MGD655388">
      <formula1>項目!A4:$MFW$655362</formula1>
    </dataValidation>
    <dataValidation type="list" allowBlank="1" showInputMessage="1" showErrorMessage="1" sqref="MPZ655365:MPZ655388">
      <formula1>項目!A4:$MPS$655362</formula1>
    </dataValidation>
    <dataValidation type="list" allowBlank="1" showInputMessage="1" showErrorMessage="1" sqref="MZV655365:MZV655388">
      <formula1>項目!A4:$MZO$655362</formula1>
    </dataValidation>
    <dataValidation type="list" allowBlank="1" showInputMessage="1" showErrorMessage="1" sqref="NJR655365:NJR655388">
      <formula1>項目!A4:$NJK$655362</formula1>
    </dataValidation>
    <dataValidation type="list" allowBlank="1" showInputMessage="1" showErrorMessage="1" sqref="NTN655365:NTN655388">
      <formula1>項目!A4:$NTG$655362</formula1>
    </dataValidation>
    <dataValidation type="list" allowBlank="1" showInputMessage="1" showErrorMessage="1" sqref="ODJ655365:ODJ655388">
      <formula1>項目!A4:$ODC$655362</formula1>
    </dataValidation>
    <dataValidation type="list" allowBlank="1" showInputMessage="1" showErrorMessage="1" sqref="ONF655365:ONF655388">
      <formula1>項目!A4:$OMY$655362</formula1>
    </dataValidation>
    <dataValidation type="list" allowBlank="1" showInputMessage="1" showErrorMessage="1" sqref="OXB655365:OXB655388">
      <formula1>項目!A4:$OWU$655362</formula1>
    </dataValidation>
    <dataValidation type="list" allowBlank="1" showInputMessage="1" showErrorMessage="1" sqref="PGX655365:PGX655388">
      <formula1>項目!A4:$PGQ$655362</formula1>
    </dataValidation>
    <dataValidation type="list" allowBlank="1" showInputMessage="1" showErrorMessage="1" sqref="PQT655365:PQT655388">
      <formula1>項目!A4:$PQM$655362</formula1>
    </dataValidation>
    <dataValidation type="list" allowBlank="1" showInputMessage="1" showErrorMessage="1" sqref="QAP655365:QAP655388">
      <formula1>項目!A4:$QAI$655362</formula1>
    </dataValidation>
    <dataValidation type="list" allowBlank="1" showInputMessage="1" showErrorMessage="1" sqref="QKL655365:QKL655388">
      <formula1>項目!A4:$QKE$655362</formula1>
    </dataValidation>
    <dataValidation type="list" allowBlank="1" showInputMessage="1" showErrorMessage="1" sqref="QUH655365:QUH655388">
      <formula1>項目!A4:$QUA$655362</formula1>
    </dataValidation>
    <dataValidation type="list" allowBlank="1" showInputMessage="1" showErrorMessage="1" sqref="RED655365:RED655388">
      <formula1>項目!A4:$RDW$655362</formula1>
    </dataValidation>
    <dataValidation type="list" allowBlank="1" showInputMessage="1" showErrorMessage="1" sqref="RNZ655365:RNZ655388">
      <formula1>項目!A4:$RNS$655362</formula1>
    </dataValidation>
    <dataValidation type="list" allowBlank="1" showInputMessage="1" showErrorMessage="1" sqref="RXV655365:RXV655388">
      <formula1>項目!A4:$RXO$655362</formula1>
    </dataValidation>
    <dataValidation type="list" allowBlank="1" showInputMessage="1" showErrorMessage="1" sqref="SHR655365:SHR655388">
      <formula1>項目!A4:$SHK$655362</formula1>
    </dataValidation>
    <dataValidation type="list" allowBlank="1" showInputMessage="1" showErrorMessage="1" sqref="SRN655365:SRN655388">
      <formula1>項目!A4:$SRG$655362</formula1>
    </dataValidation>
    <dataValidation type="list" allowBlank="1" showInputMessage="1" showErrorMessage="1" sqref="TBJ655365:TBJ655388">
      <formula1>項目!A4:$TBC$655362</formula1>
    </dataValidation>
    <dataValidation type="list" allowBlank="1" showInputMessage="1" showErrorMessage="1" sqref="TLF655365:TLF655388">
      <formula1>項目!A4:$TKY$655362</formula1>
    </dataValidation>
    <dataValidation type="list" allowBlank="1" showInputMessage="1" showErrorMessage="1" sqref="TVB655365:TVB655388">
      <formula1>項目!A4:$TUU$655362</formula1>
    </dataValidation>
    <dataValidation type="list" allowBlank="1" showInputMessage="1" showErrorMessage="1" sqref="UEX655365:UEX655388">
      <formula1>項目!A4:$UEQ$655362</formula1>
    </dataValidation>
    <dataValidation type="list" allowBlank="1" showInputMessage="1" showErrorMessage="1" sqref="UOT655365:UOT655388">
      <formula1>項目!A4:$UOM$655362</formula1>
    </dataValidation>
    <dataValidation type="list" allowBlank="1" showInputMessage="1" showErrorMessage="1" sqref="UYP655365:UYP655388">
      <formula1>項目!A4:$UYI$655362</formula1>
    </dataValidation>
    <dataValidation type="list" allowBlank="1" showInputMessage="1" showErrorMessage="1" sqref="VIL655365:VIL655388">
      <formula1>項目!A4:$VIE$655362</formula1>
    </dataValidation>
    <dataValidation type="list" allowBlank="1" showInputMessage="1" showErrorMessage="1" sqref="VSH655365:VSH655388">
      <formula1>項目!A4:$VSA$655362</formula1>
    </dataValidation>
    <dataValidation type="list" allowBlank="1" showInputMessage="1" showErrorMessage="1" sqref="WCD655365:WCD655388">
      <formula1>項目!A4:$WBW$655362</formula1>
    </dataValidation>
    <dataValidation type="list" allowBlank="1" showInputMessage="1" showErrorMessage="1" sqref="WLZ655365:WLZ655388">
      <formula1>項目!A4:$WLS$655362</formula1>
    </dataValidation>
    <dataValidation type="list" allowBlank="1" showInputMessage="1" showErrorMessage="1" sqref="WVV655365:WVV655388">
      <formula1>項目!A4:$WVO$655362</formula1>
    </dataValidation>
    <dataValidation type="list" allowBlank="1" showInputMessage="1" showErrorMessage="1" sqref="JJ720901:JJ720924">
      <formula1>項目!A4:$JC$720898</formula1>
    </dataValidation>
    <dataValidation type="list" allowBlank="1" showInputMessage="1" showErrorMessage="1" sqref="TF720901:TF720924">
      <formula1>項目!A4:$SY$720898</formula1>
    </dataValidation>
    <dataValidation type="list" allowBlank="1" showInputMessage="1" showErrorMessage="1" sqref="ADB720901:ADB720924">
      <formula1>項目!A4:$ACU$720898</formula1>
    </dataValidation>
    <dataValidation type="list" allowBlank="1" showInputMessage="1" showErrorMessage="1" sqref="AMX720901:AMX720924">
      <formula1>項目!A4:$AMQ$720898</formula1>
    </dataValidation>
    <dataValidation type="list" allowBlank="1" showInputMessage="1" showErrorMessage="1" sqref="AWT720901:AWT720924">
      <formula1>項目!A4:$AWM$720898</formula1>
    </dataValidation>
    <dataValidation type="list" allowBlank="1" showInputMessage="1" showErrorMessage="1" sqref="BGP720901:BGP720924">
      <formula1>項目!A4:$BGI$720898</formula1>
    </dataValidation>
    <dataValidation type="list" allowBlank="1" showInputMessage="1" showErrorMessage="1" sqref="BQL720901:BQL720924">
      <formula1>項目!A4:$BQE$720898</formula1>
    </dataValidation>
    <dataValidation type="list" allowBlank="1" showInputMessage="1" showErrorMessage="1" sqref="CAH720901:CAH720924">
      <formula1>項目!A4:$CAA$720898</formula1>
    </dataValidation>
    <dataValidation type="list" allowBlank="1" showInputMessage="1" showErrorMessage="1" sqref="CKD720901:CKD720924">
      <formula1>項目!A4:$CJW$720898</formula1>
    </dataValidation>
    <dataValidation type="list" allowBlank="1" showInputMessage="1" showErrorMessage="1" sqref="CTZ720901:CTZ720924">
      <formula1>項目!A4:$CTS$720898</formula1>
    </dataValidation>
    <dataValidation type="list" allowBlank="1" showInputMessage="1" showErrorMessage="1" sqref="DDV720901:DDV720924">
      <formula1>項目!A4:$DDO$720898</formula1>
    </dataValidation>
    <dataValidation type="list" allowBlank="1" showInputMessage="1" showErrorMessage="1" sqref="DNR720901:DNR720924">
      <formula1>項目!A4:$DNK$720898</formula1>
    </dataValidation>
    <dataValidation type="list" allowBlank="1" showInputMessage="1" showErrorMessage="1" sqref="DXN720901:DXN720924">
      <formula1>項目!A4:$DXG$720898</formula1>
    </dataValidation>
    <dataValidation type="list" allowBlank="1" showInputMessage="1" showErrorMessage="1" sqref="EHJ720901:EHJ720924">
      <formula1>項目!A4:$EHC$720898</formula1>
    </dataValidation>
    <dataValidation type="list" allowBlank="1" showInputMessage="1" showErrorMessage="1" sqref="ERF720901:ERF720924">
      <formula1>項目!A4:$EQY$720898</formula1>
    </dataValidation>
    <dataValidation type="list" allowBlank="1" showInputMessage="1" showErrorMessage="1" sqref="FBB720901:FBB720924">
      <formula1>項目!A4:$FAU$720898</formula1>
    </dataValidation>
    <dataValidation type="list" allowBlank="1" showInputMessage="1" showErrorMessage="1" sqref="FKX720901:FKX720924">
      <formula1>項目!A4:$FKQ$720898</formula1>
    </dataValidation>
    <dataValidation type="list" allowBlank="1" showInputMessage="1" showErrorMessage="1" sqref="FUT720901:FUT720924">
      <formula1>項目!A4:$FUM$720898</formula1>
    </dataValidation>
    <dataValidation type="list" allowBlank="1" showInputMessage="1" showErrorMessage="1" sqref="GEP720901:GEP720924">
      <formula1>項目!A4:$GEI$720898</formula1>
    </dataValidation>
    <dataValidation type="list" allowBlank="1" showInputMessage="1" showErrorMessage="1" sqref="GOL720901:GOL720924">
      <formula1>項目!A4:$GOE$720898</formula1>
    </dataValidation>
    <dataValidation type="list" allowBlank="1" showInputMessage="1" showErrorMessage="1" sqref="GYH720901:GYH720924">
      <formula1>項目!A4:$GYA$720898</formula1>
    </dataValidation>
    <dataValidation type="list" allowBlank="1" showInputMessage="1" showErrorMessage="1" sqref="HID720901:HID720924">
      <formula1>項目!A4:$HHW$720898</formula1>
    </dataValidation>
    <dataValidation type="list" allowBlank="1" showInputMessage="1" showErrorMessage="1" sqref="HRZ720901:HRZ720924">
      <formula1>項目!A4:$HRS$720898</formula1>
    </dataValidation>
    <dataValidation type="list" allowBlank="1" showInputMessage="1" showErrorMessage="1" sqref="IBV720901:IBV720924">
      <formula1>項目!A4:$IBO$720898</formula1>
    </dataValidation>
    <dataValidation type="list" allowBlank="1" showInputMessage="1" showErrorMessage="1" sqref="ILR720901:ILR720924">
      <formula1>項目!A4:$ILK$720898</formula1>
    </dataValidation>
    <dataValidation type="list" allowBlank="1" showInputMessage="1" showErrorMessage="1" sqref="IVN720901:IVN720924">
      <formula1>項目!A4:$IVG$720898</formula1>
    </dataValidation>
    <dataValidation type="list" allowBlank="1" showInputMessage="1" showErrorMessage="1" sqref="JFJ720901:JFJ720924">
      <formula1>項目!A4:$JFC$720898</formula1>
    </dataValidation>
    <dataValidation type="list" allowBlank="1" showInputMessage="1" showErrorMessage="1" sqref="JPF720901:JPF720924">
      <formula1>項目!A4:$JOY$720898</formula1>
    </dataValidation>
    <dataValidation type="list" allowBlank="1" showInputMessage="1" showErrorMessage="1" sqref="JZB720901:JZB720924">
      <formula1>項目!A4:$JYU$720898</formula1>
    </dataValidation>
    <dataValidation type="list" allowBlank="1" showInputMessage="1" showErrorMessage="1" sqref="KIX720901:KIX720924">
      <formula1>項目!A4:$KIQ$720898</formula1>
    </dataValidation>
    <dataValidation type="list" allowBlank="1" showInputMessage="1" showErrorMessage="1" sqref="KST720901:KST720924">
      <formula1>項目!A4:$KSM$720898</formula1>
    </dataValidation>
    <dataValidation type="list" allowBlank="1" showInputMessage="1" showErrorMessage="1" sqref="LCP720901:LCP720924">
      <formula1>項目!A4:$LCI$720898</formula1>
    </dataValidation>
    <dataValidation type="list" allowBlank="1" showInputMessage="1" showErrorMessage="1" sqref="LML720901:LML720924">
      <formula1>項目!A4:$LME$720898</formula1>
    </dataValidation>
    <dataValidation type="list" allowBlank="1" showInputMessage="1" showErrorMessage="1" sqref="LWH720901:LWH720924">
      <formula1>項目!A4:$LWA$720898</formula1>
    </dataValidation>
    <dataValidation type="list" allowBlank="1" showInputMessage="1" showErrorMessage="1" sqref="MGD720901:MGD720924">
      <formula1>項目!A4:$MFW$720898</formula1>
    </dataValidation>
    <dataValidation type="list" allowBlank="1" showInputMessage="1" showErrorMessage="1" sqref="MPZ720901:MPZ720924">
      <formula1>項目!A4:$MPS$720898</formula1>
    </dataValidation>
    <dataValidation type="list" allowBlank="1" showInputMessage="1" showErrorMessage="1" sqref="MZV720901:MZV720924">
      <formula1>項目!A4:$MZO$720898</formula1>
    </dataValidation>
    <dataValidation type="list" allowBlank="1" showInputMessage="1" showErrorMessage="1" sqref="NJR720901:NJR720924">
      <formula1>項目!A4:$NJK$720898</formula1>
    </dataValidation>
    <dataValidation type="list" allowBlank="1" showInputMessage="1" showErrorMessage="1" sqref="NTN720901:NTN720924">
      <formula1>項目!A4:$NTG$720898</formula1>
    </dataValidation>
    <dataValidation type="list" allowBlank="1" showInputMessage="1" showErrorMessage="1" sqref="ODJ720901:ODJ720924">
      <formula1>項目!A4:$ODC$720898</formula1>
    </dataValidation>
    <dataValidation type="list" allowBlank="1" showInputMessage="1" showErrorMessage="1" sqref="ONF720901:ONF720924">
      <formula1>項目!A4:$OMY$720898</formula1>
    </dataValidation>
    <dataValidation type="list" allowBlank="1" showInputMessage="1" showErrorMessage="1" sqref="OXB720901:OXB720924">
      <formula1>項目!A4:$OWU$720898</formula1>
    </dataValidation>
    <dataValidation type="list" allowBlank="1" showInputMessage="1" showErrorMessage="1" sqref="PGX720901:PGX720924">
      <formula1>項目!A4:$PGQ$720898</formula1>
    </dataValidation>
    <dataValidation type="list" allowBlank="1" showInputMessage="1" showErrorMessage="1" sqref="PQT720901:PQT720924">
      <formula1>項目!A4:$PQM$720898</formula1>
    </dataValidation>
    <dataValidation type="list" allowBlank="1" showInputMessage="1" showErrorMessage="1" sqref="QAP720901:QAP720924">
      <formula1>項目!A4:$QAI$720898</formula1>
    </dataValidation>
    <dataValidation type="list" allowBlank="1" showInputMessage="1" showErrorMessage="1" sqref="QKL720901:QKL720924">
      <formula1>項目!A4:$QKE$720898</formula1>
    </dataValidation>
    <dataValidation type="list" allowBlank="1" showInputMessage="1" showErrorMessage="1" sqref="QUH720901:QUH720924">
      <formula1>項目!A4:$QUA$720898</formula1>
    </dataValidation>
    <dataValidation type="list" allowBlank="1" showInputMessage="1" showErrorMessage="1" sqref="RED720901:RED720924">
      <formula1>項目!A4:$RDW$720898</formula1>
    </dataValidation>
    <dataValidation type="list" allowBlank="1" showInputMessage="1" showErrorMessage="1" sqref="RNZ720901:RNZ720924">
      <formula1>項目!A4:$RNS$720898</formula1>
    </dataValidation>
    <dataValidation type="list" allowBlank="1" showInputMessage="1" showErrorMessage="1" sqref="RXV720901:RXV720924">
      <formula1>項目!A4:$RXO$720898</formula1>
    </dataValidation>
    <dataValidation type="list" allowBlank="1" showInputMessage="1" showErrorMessage="1" sqref="SHR720901:SHR720924">
      <formula1>項目!A4:$SHK$720898</formula1>
    </dataValidation>
    <dataValidation type="list" allowBlank="1" showInputMessage="1" showErrorMessage="1" sqref="SRN720901:SRN720924">
      <formula1>項目!A4:$SRG$720898</formula1>
    </dataValidation>
    <dataValidation type="list" allowBlank="1" showInputMessage="1" showErrorMessage="1" sqref="TBJ720901:TBJ720924">
      <formula1>項目!A4:$TBC$720898</formula1>
    </dataValidation>
    <dataValidation type="list" allowBlank="1" showInputMessage="1" showErrorMessage="1" sqref="TLF720901:TLF720924">
      <formula1>項目!A4:$TKY$720898</formula1>
    </dataValidation>
    <dataValidation type="list" allowBlank="1" showInputMessage="1" showErrorMessage="1" sqref="TVB720901:TVB720924">
      <formula1>項目!A4:$TUU$720898</formula1>
    </dataValidation>
    <dataValidation type="list" allowBlank="1" showInputMessage="1" showErrorMessage="1" sqref="UEX720901:UEX720924">
      <formula1>項目!A4:$UEQ$720898</formula1>
    </dataValidation>
    <dataValidation type="list" allowBlank="1" showInputMessage="1" showErrorMessage="1" sqref="UOT720901:UOT720924">
      <formula1>項目!A4:$UOM$720898</formula1>
    </dataValidation>
    <dataValidation type="list" allowBlank="1" showInputMessage="1" showErrorMessage="1" sqref="UYP720901:UYP720924">
      <formula1>項目!A4:$UYI$720898</formula1>
    </dataValidation>
    <dataValidation type="list" allowBlank="1" showInputMessage="1" showErrorMessage="1" sqref="VIL720901:VIL720924">
      <formula1>項目!A4:$VIE$720898</formula1>
    </dataValidation>
    <dataValidation type="list" allowBlank="1" showInputMessage="1" showErrorMessage="1" sqref="VSH720901:VSH720924">
      <formula1>項目!A4:$VSA$720898</formula1>
    </dataValidation>
    <dataValidation type="list" allowBlank="1" showInputMessage="1" showErrorMessage="1" sqref="WCD720901:WCD720924">
      <formula1>項目!A4:$WBW$720898</formula1>
    </dataValidation>
    <dataValidation type="list" allowBlank="1" showInputMessage="1" showErrorMessage="1" sqref="WLZ720901:WLZ720924">
      <formula1>項目!A4:$WLS$720898</formula1>
    </dataValidation>
    <dataValidation type="list" allowBlank="1" showInputMessage="1" showErrorMessage="1" sqref="WVV720901:WVV720924">
      <formula1>項目!A4:$WVO$720898</formula1>
    </dataValidation>
    <dataValidation type="list" allowBlank="1" showInputMessage="1" showErrorMessage="1" sqref="JJ786437:JJ786460">
      <formula1>項目!A4:$JC$786434</formula1>
    </dataValidation>
    <dataValidation type="list" allowBlank="1" showInputMessage="1" showErrorMessage="1" sqref="TF786437:TF786460">
      <formula1>項目!A4:$SY$786434</formula1>
    </dataValidation>
    <dataValidation type="list" allowBlank="1" showInputMessage="1" showErrorMessage="1" sqref="ADB786437:ADB786460">
      <formula1>項目!A4:$ACU$786434</formula1>
    </dataValidation>
    <dataValidation type="list" allowBlank="1" showInputMessage="1" showErrorMessage="1" sqref="AMX786437:AMX786460">
      <formula1>項目!A4:$AMQ$786434</formula1>
    </dataValidation>
    <dataValidation type="list" allowBlank="1" showInputMessage="1" showErrorMessage="1" sqref="AWT786437:AWT786460">
      <formula1>項目!A4:$AWM$786434</formula1>
    </dataValidation>
    <dataValidation type="list" allowBlank="1" showInputMessage="1" showErrorMessage="1" sqref="BGP786437:BGP786460">
      <formula1>項目!A4:$BGI$786434</formula1>
    </dataValidation>
    <dataValidation type="list" allowBlank="1" showInputMessage="1" showErrorMessage="1" sqref="BQL786437:BQL786460">
      <formula1>項目!A4:$BQE$786434</formula1>
    </dataValidation>
    <dataValidation type="list" allowBlank="1" showInputMessage="1" showErrorMessage="1" sqref="CAH786437:CAH786460">
      <formula1>項目!A4:$CAA$786434</formula1>
    </dataValidation>
    <dataValidation type="list" allowBlank="1" showInputMessage="1" showErrorMessage="1" sqref="CKD786437:CKD786460">
      <formula1>項目!A4:$CJW$786434</formula1>
    </dataValidation>
    <dataValidation type="list" allowBlank="1" showInputMessage="1" showErrorMessage="1" sqref="CTZ786437:CTZ786460">
      <formula1>項目!A4:$CTS$786434</formula1>
    </dataValidation>
    <dataValidation type="list" allowBlank="1" showInputMessage="1" showErrorMessage="1" sqref="DDV786437:DDV786460">
      <formula1>項目!A4:$DDO$786434</formula1>
    </dataValidation>
    <dataValidation type="list" allowBlank="1" showInputMessage="1" showErrorMessage="1" sqref="DNR786437:DNR786460">
      <formula1>項目!A4:$DNK$786434</formula1>
    </dataValidation>
    <dataValidation type="list" allowBlank="1" showInputMessage="1" showErrorMessage="1" sqref="DXN786437:DXN786460">
      <formula1>項目!A4:$DXG$786434</formula1>
    </dataValidation>
    <dataValidation type="list" allowBlank="1" showInputMessage="1" showErrorMessage="1" sqref="EHJ786437:EHJ786460">
      <formula1>項目!A4:$EHC$786434</formula1>
    </dataValidation>
    <dataValidation type="list" allowBlank="1" showInputMessage="1" showErrorMessage="1" sqref="ERF786437:ERF786460">
      <formula1>項目!A4:$EQY$786434</formula1>
    </dataValidation>
    <dataValidation type="list" allowBlank="1" showInputMessage="1" showErrorMessage="1" sqref="FBB786437:FBB786460">
      <formula1>項目!A4:$FAU$786434</formula1>
    </dataValidation>
    <dataValidation type="list" allowBlank="1" showInputMessage="1" showErrorMessage="1" sqref="FKX786437:FKX786460">
      <formula1>項目!A4:$FKQ$786434</formula1>
    </dataValidation>
    <dataValidation type="list" allowBlank="1" showInputMessage="1" showErrorMessage="1" sqref="FUT786437:FUT786460">
      <formula1>項目!A4:$FUM$786434</formula1>
    </dataValidation>
    <dataValidation type="list" allowBlank="1" showInputMessage="1" showErrorMessage="1" sqref="GEP786437:GEP786460">
      <formula1>項目!A4:$GEI$786434</formula1>
    </dataValidation>
    <dataValidation type="list" allowBlank="1" showInputMessage="1" showErrorMessage="1" sqref="GOL786437:GOL786460">
      <formula1>項目!A4:$GOE$786434</formula1>
    </dataValidation>
    <dataValidation type="list" allowBlank="1" showInputMessage="1" showErrorMessage="1" sqref="GYH786437:GYH786460">
      <formula1>項目!A4:$GYA$786434</formula1>
    </dataValidation>
    <dataValidation type="list" allowBlank="1" showInputMessage="1" showErrorMessage="1" sqref="HID786437:HID786460">
      <formula1>項目!A4:$HHW$786434</formula1>
    </dataValidation>
    <dataValidation type="list" allowBlank="1" showInputMessage="1" showErrorMessage="1" sqref="HRZ786437:HRZ786460">
      <formula1>項目!A4:$HRS$786434</formula1>
    </dataValidation>
    <dataValidation type="list" allowBlank="1" showInputMessage="1" showErrorMessage="1" sqref="IBV786437:IBV786460">
      <formula1>項目!A4:$IBO$786434</formula1>
    </dataValidation>
    <dataValidation type="list" allowBlank="1" showInputMessage="1" showErrorMessage="1" sqref="ILR786437:ILR786460">
      <formula1>項目!A4:$ILK$786434</formula1>
    </dataValidation>
    <dataValidation type="list" allowBlank="1" showInputMessage="1" showErrorMessage="1" sqref="IVN786437:IVN786460">
      <formula1>項目!A4:$IVG$786434</formula1>
    </dataValidation>
    <dataValidation type="list" allowBlank="1" showInputMessage="1" showErrorMessage="1" sqref="JFJ786437:JFJ786460">
      <formula1>項目!A4:$JFC$786434</formula1>
    </dataValidation>
    <dataValidation type="list" allowBlank="1" showInputMessage="1" showErrorMessage="1" sqref="JPF786437:JPF786460">
      <formula1>項目!A4:$JOY$786434</formula1>
    </dataValidation>
    <dataValidation type="list" allowBlank="1" showInputMessage="1" showErrorMessage="1" sqref="JZB786437:JZB786460">
      <formula1>項目!A4:$JYU$786434</formula1>
    </dataValidation>
    <dataValidation type="list" allowBlank="1" showInputMessage="1" showErrorMessage="1" sqref="KIX786437:KIX786460">
      <formula1>項目!A4:$KIQ$786434</formula1>
    </dataValidation>
    <dataValidation type="list" allowBlank="1" showInputMessage="1" showErrorMessage="1" sqref="KST786437:KST786460">
      <formula1>項目!A4:$KSM$786434</formula1>
    </dataValidation>
    <dataValidation type="list" allowBlank="1" showInputMessage="1" showErrorMessage="1" sqref="LCP786437:LCP786460">
      <formula1>項目!A4:$LCI$786434</formula1>
    </dataValidation>
    <dataValidation type="list" allowBlank="1" showInputMessage="1" showErrorMessage="1" sqref="LML786437:LML786460">
      <formula1>項目!A4:$LME$786434</formula1>
    </dataValidation>
    <dataValidation type="list" allowBlank="1" showInputMessage="1" showErrorMessage="1" sqref="LWH786437:LWH786460">
      <formula1>項目!A4:$LWA$786434</formula1>
    </dataValidation>
    <dataValidation type="list" allowBlank="1" showInputMessage="1" showErrorMessage="1" sqref="MGD786437:MGD786460">
      <formula1>項目!A4:$MFW$786434</formula1>
    </dataValidation>
    <dataValidation type="list" allowBlank="1" showInputMessage="1" showErrorMessage="1" sqref="MPZ786437:MPZ786460">
      <formula1>項目!A4:$MPS$786434</formula1>
    </dataValidation>
    <dataValidation type="list" allowBlank="1" showInputMessage="1" showErrorMessage="1" sqref="MZV786437:MZV786460">
      <formula1>項目!A4:$MZO$786434</formula1>
    </dataValidation>
    <dataValidation type="list" allowBlank="1" showInputMessage="1" showErrorMessage="1" sqref="NJR786437:NJR786460">
      <formula1>項目!A4:$NJK$786434</formula1>
    </dataValidation>
    <dataValidation type="list" allowBlank="1" showInputMessage="1" showErrorMessage="1" sqref="NTN786437:NTN786460">
      <formula1>項目!A4:$NTG$786434</formula1>
    </dataValidation>
    <dataValidation type="list" allowBlank="1" showInputMessage="1" showErrorMessage="1" sqref="ODJ786437:ODJ786460">
      <formula1>項目!A4:$ODC$786434</formula1>
    </dataValidation>
    <dataValidation type="list" allowBlank="1" showInputMessage="1" showErrorMessage="1" sqref="ONF786437:ONF786460">
      <formula1>項目!A4:$OMY$786434</formula1>
    </dataValidation>
    <dataValidation type="list" allowBlank="1" showInputMessage="1" showErrorMessage="1" sqref="OXB786437:OXB786460">
      <formula1>項目!A4:$OWU$786434</formula1>
    </dataValidation>
    <dataValidation type="list" allowBlank="1" showInputMessage="1" showErrorMessage="1" sqref="PGX786437:PGX786460">
      <formula1>項目!A4:$PGQ$786434</formula1>
    </dataValidation>
    <dataValidation type="list" allowBlank="1" showInputMessage="1" showErrorMessage="1" sqref="PQT786437:PQT786460">
      <formula1>項目!A4:$PQM$786434</formula1>
    </dataValidation>
    <dataValidation type="list" allowBlank="1" showInputMessage="1" showErrorMessage="1" sqref="QAP786437:QAP786460">
      <formula1>項目!A4:$QAI$786434</formula1>
    </dataValidation>
    <dataValidation type="list" allowBlank="1" showInputMessage="1" showErrorMessage="1" sqref="QKL786437:QKL786460">
      <formula1>項目!A4:$QKE$786434</formula1>
    </dataValidation>
    <dataValidation type="list" allowBlank="1" showInputMessage="1" showErrorMessage="1" sqref="QUH786437:QUH786460">
      <formula1>項目!A4:$QUA$786434</formula1>
    </dataValidation>
    <dataValidation type="list" allowBlank="1" showInputMessage="1" showErrorMessage="1" sqref="RED786437:RED786460">
      <formula1>項目!A4:$RDW$786434</formula1>
    </dataValidation>
    <dataValidation type="list" allowBlank="1" showInputMessage="1" showErrorMessage="1" sqref="RNZ786437:RNZ786460">
      <formula1>項目!A4:$RNS$786434</formula1>
    </dataValidation>
    <dataValidation type="list" allowBlank="1" showInputMessage="1" showErrorMessage="1" sqref="RXV786437:RXV786460">
      <formula1>項目!A4:$RXO$786434</formula1>
    </dataValidation>
    <dataValidation type="list" allowBlank="1" showInputMessage="1" showErrorMessage="1" sqref="SHR786437:SHR786460">
      <formula1>項目!A4:$SHK$786434</formula1>
    </dataValidation>
    <dataValidation type="list" allowBlank="1" showInputMessage="1" showErrorMessage="1" sqref="SRN786437:SRN786460">
      <formula1>項目!A4:$SRG$786434</formula1>
    </dataValidation>
    <dataValidation type="list" allowBlank="1" showInputMessage="1" showErrorMessage="1" sqref="TBJ786437:TBJ786460">
      <formula1>項目!A4:$TBC$786434</formula1>
    </dataValidation>
    <dataValidation type="list" allowBlank="1" showInputMessage="1" showErrorMessage="1" sqref="TLF786437:TLF786460">
      <formula1>項目!A4:$TKY$786434</formula1>
    </dataValidation>
    <dataValidation type="list" allowBlank="1" showInputMessage="1" showErrorMessage="1" sqref="TVB786437:TVB786460">
      <formula1>項目!A4:$TUU$786434</formula1>
    </dataValidation>
    <dataValidation type="list" allowBlank="1" showInputMessage="1" showErrorMessage="1" sqref="UEX786437:UEX786460">
      <formula1>項目!A4:$UEQ$786434</formula1>
    </dataValidation>
    <dataValidation type="list" allowBlank="1" showInputMessage="1" showErrorMessage="1" sqref="UOT786437:UOT786460">
      <formula1>項目!A4:$UOM$786434</formula1>
    </dataValidation>
    <dataValidation type="list" allowBlank="1" showInputMessage="1" showErrorMessage="1" sqref="UYP786437:UYP786460">
      <formula1>項目!A4:$UYI$786434</formula1>
    </dataValidation>
    <dataValidation type="list" allowBlank="1" showInputMessage="1" showErrorMessage="1" sqref="VIL786437:VIL786460">
      <formula1>項目!A4:$VIE$786434</formula1>
    </dataValidation>
    <dataValidation type="list" allowBlank="1" showInputMessage="1" showErrorMessage="1" sqref="VSH786437:VSH786460">
      <formula1>項目!A4:$VSA$786434</formula1>
    </dataValidation>
    <dataValidation type="list" allowBlank="1" showInputMessage="1" showErrorMessage="1" sqref="WCD786437:WCD786460">
      <formula1>項目!A4:$WBW$786434</formula1>
    </dataValidation>
    <dataValidation type="list" allowBlank="1" showInputMessage="1" showErrorMessage="1" sqref="WLZ786437:WLZ786460">
      <formula1>項目!A4:$WLS$786434</formula1>
    </dataValidation>
    <dataValidation type="list" allowBlank="1" showInputMessage="1" showErrorMessage="1" sqref="WVV786437:WVV786460">
      <formula1>項目!A4:$WVO$786434</formula1>
    </dataValidation>
    <dataValidation type="list" allowBlank="1" showInputMessage="1" showErrorMessage="1" sqref="JJ851973:JJ851996">
      <formula1>項目!A4:$JC$851970</formula1>
    </dataValidation>
    <dataValidation type="list" allowBlank="1" showInputMessage="1" showErrorMessage="1" sqref="TF851973:TF851996">
      <formula1>項目!A4:$SY$851970</formula1>
    </dataValidation>
    <dataValidation type="list" allowBlank="1" showInputMessage="1" showErrorMessage="1" sqref="ADB851973:ADB851996">
      <formula1>項目!A4:$ACU$851970</formula1>
    </dataValidation>
    <dataValidation type="list" allowBlank="1" showInputMessage="1" showErrorMessage="1" sqref="AMX851973:AMX851996">
      <formula1>項目!A4:$AMQ$851970</formula1>
    </dataValidation>
    <dataValidation type="list" allowBlank="1" showInputMessage="1" showErrorMessage="1" sqref="AWT851973:AWT851996">
      <formula1>項目!A4:$AWM$851970</formula1>
    </dataValidation>
    <dataValidation type="list" allowBlank="1" showInputMessage="1" showErrorMessage="1" sqref="BGP851973:BGP851996">
      <formula1>項目!A4:$BGI$851970</formula1>
    </dataValidation>
    <dataValidation type="list" allowBlank="1" showInputMessage="1" showErrorMessage="1" sqref="BQL851973:BQL851996">
      <formula1>項目!A4:$BQE$851970</formula1>
    </dataValidation>
    <dataValidation type="list" allowBlank="1" showInputMessage="1" showErrorMessage="1" sqref="CAH851973:CAH851996">
      <formula1>項目!A4:$CAA$851970</formula1>
    </dataValidation>
    <dataValidation type="list" allowBlank="1" showInputMessage="1" showErrorMessage="1" sqref="CKD851973:CKD851996">
      <formula1>項目!A4:$CJW$851970</formula1>
    </dataValidation>
    <dataValidation type="list" allowBlank="1" showInputMessage="1" showErrorMessage="1" sqref="CTZ851973:CTZ851996">
      <formula1>項目!A4:$CTS$851970</formula1>
    </dataValidation>
    <dataValidation type="list" allowBlank="1" showInputMessage="1" showErrorMessage="1" sqref="DDV851973:DDV851996">
      <formula1>項目!A4:$DDO$851970</formula1>
    </dataValidation>
    <dataValidation type="list" allowBlank="1" showInputMessage="1" showErrorMessage="1" sqref="DNR851973:DNR851996">
      <formula1>項目!A4:$DNK$851970</formula1>
    </dataValidation>
    <dataValidation type="list" allowBlank="1" showInputMessage="1" showErrorMessage="1" sqref="DXN851973:DXN851996">
      <formula1>項目!A4:$DXG$851970</formula1>
    </dataValidation>
    <dataValidation type="list" allowBlank="1" showInputMessage="1" showErrorMessage="1" sqref="EHJ851973:EHJ851996">
      <formula1>項目!A4:$EHC$851970</formula1>
    </dataValidation>
    <dataValidation type="list" allowBlank="1" showInputMessage="1" showErrorMessage="1" sqref="ERF851973:ERF851996">
      <formula1>項目!A4:$EQY$851970</formula1>
    </dataValidation>
    <dataValidation type="list" allowBlank="1" showInputMessage="1" showErrorMessage="1" sqref="FBB851973:FBB851996">
      <formula1>項目!A4:$FAU$851970</formula1>
    </dataValidation>
    <dataValidation type="list" allowBlank="1" showInputMessage="1" showErrorMessage="1" sqref="FKX851973:FKX851996">
      <formula1>項目!A4:$FKQ$851970</formula1>
    </dataValidation>
    <dataValidation type="list" allowBlank="1" showInputMessage="1" showErrorMessage="1" sqref="FUT851973:FUT851996">
      <formula1>項目!A4:$FUM$851970</formula1>
    </dataValidation>
    <dataValidation type="list" allowBlank="1" showInputMessage="1" showErrorMessage="1" sqref="GEP851973:GEP851996">
      <formula1>項目!A4:$GEI$851970</formula1>
    </dataValidation>
    <dataValidation type="list" allowBlank="1" showInputMessage="1" showErrorMessage="1" sqref="GOL851973:GOL851996">
      <formula1>項目!A4:$GOE$851970</formula1>
    </dataValidation>
    <dataValidation type="list" allowBlank="1" showInputMessage="1" showErrorMessage="1" sqref="GYH851973:GYH851996">
      <formula1>項目!A4:$GYA$851970</formula1>
    </dataValidation>
    <dataValidation type="list" allowBlank="1" showInputMessage="1" showErrorMessage="1" sqref="HID851973:HID851996">
      <formula1>項目!A4:$HHW$851970</formula1>
    </dataValidation>
    <dataValidation type="list" allowBlank="1" showInputMessage="1" showErrorMessage="1" sqref="HRZ851973:HRZ851996">
      <formula1>項目!A4:$HRS$851970</formula1>
    </dataValidation>
    <dataValidation type="list" allowBlank="1" showInputMessage="1" showErrorMessage="1" sqref="IBV851973:IBV851996">
      <formula1>項目!A4:$IBO$851970</formula1>
    </dataValidation>
    <dataValidation type="list" allowBlank="1" showInputMessage="1" showErrorMessage="1" sqref="ILR851973:ILR851996">
      <formula1>項目!A4:$ILK$851970</formula1>
    </dataValidation>
    <dataValidation type="list" allowBlank="1" showInputMessage="1" showErrorMessage="1" sqref="IVN851973:IVN851996">
      <formula1>項目!A4:$IVG$851970</formula1>
    </dataValidation>
    <dataValidation type="list" allowBlank="1" showInputMessage="1" showErrorMessage="1" sqref="JFJ851973:JFJ851996">
      <formula1>項目!A4:$JFC$851970</formula1>
    </dataValidation>
    <dataValidation type="list" allowBlank="1" showInputMessage="1" showErrorMessage="1" sqref="JPF851973:JPF851996">
      <formula1>項目!A4:$JOY$851970</formula1>
    </dataValidation>
    <dataValidation type="list" allowBlank="1" showInputMessage="1" showErrorMessage="1" sqref="JZB851973:JZB851996">
      <formula1>項目!A4:$JYU$851970</formula1>
    </dataValidation>
    <dataValidation type="list" allowBlank="1" showInputMessage="1" showErrorMessage="1" sqref="KIX851973:KIX851996">
      <formula1>項目!A4:$KIQ$851970</formula1>
    </dataValidation>
    <dataValidation type="list" allowBlank="1" showInputMessage="1" showErrorMessage="1" sqref="KST851973:KST851996">
      <formula1>項目!A4:$KSM$851970</formula1>
    </dataValidation>
    <dataValidation type="list" allowBlank="1" showInputMessage="1" showErrorMessage="1" sqref="LCP851973:LCP851996">
      <formula1>項目!A4:$LCI$851970</formula1>
    </dataValidation>
    <dataValidation type="list" allowBlank="1" showInputMessage="1" showErrorMessage="1" sqref="LML851973:LML851996">
      <formula1>項目!A4:$LME$851970</formula1>
    </dataValidation>
    <dataValidation type="list" allowBlank="1" showInputMessage="1" showErrorMessage="1" sqref="LWH851973:LWH851996">
      <formula1>項目!A4:$LWA$851970</formula1>
    </dataValidation>
    <dataValidation type="list" allowBlank="1" showInputMessage="1" showErrorMessage="1" sqref="MGD851973:MGD851996">
      <formula1>項目!A4:$MFW$851970</formula1>
    </dataValidation>
    <dataValidation type="list" allowBlank="1" showInputMessage="1" showErrorMessage="1" sqref="MPZ851973:MPZ851996">
      <formula1>項目!A4:$MPS$851970</formula1>
    </dataValidation>
    <dataValidation type="list" allowBlank="1" showInputMessage="1" showErrorMessage="1" sqref="MZV851973:MZV851996">
      <formula1>項目!A4:$MZO$851970</formula1>
    </dataValidation>
    <dataValidation type="list" allowBlank="1" showInputMessage="1" showErrorMessage="1" sqref="NJR851973:NJR851996">
      <formula1>項目!A4:$NJK$851970</formula1>
    </dataValidation>
    <dataValidation type="list" allowBlank="1" showInputMessage="1" showErrorMessage="1" sqref="NTN851973:NTN851996">
      <formula1>項目!A4:$NTG$851970</formula1>
    </dataValidation>
    <dataValidation type="list" allowBlank="1" showInputMessage="1" showErrorMessage="1" sqref="ODJ851973:ODJ851996">
      <formula1>項目!A4:$ODC$851970</formula1>
    </dataValidation>
    <dataValidation type="list" allowBlank="1" showInputMessage="1" showErrorMessage="1" sqref="ONF851973:ONF851996">
      <formula1>項目!A4:$OMY$851970</formula1>
    </dataValidation>
    <dataValidation type="list" allowBlank="1" showInputMessage="1" showErrorMessage="1" sqref="OXB851973:OXB851996">
      <formula1>項目!A4:$OWU$851970</formula1>
    </dataValidation>
    <dataValidation type="list" allowBlank="1" showInputMessage="1" showErrorMessage="1" sqref="PGX851973:PGX851996">
      <formula1>項目!A4:$PGQ$851970</formula1>
    </dataValidation>
    <dataValidation type="list" allowBlank="1" showInputMessage="1" showErrorMessage="1" sqref="PQT851973:PQT851996">
      <formula1>項目!A4:$PQM$851970</formula1>
    </dataValidation>
    <dataValidation type="list" allowBlank="1" showInputMessage="1" showErrorMessage="1" sqref="QAP851973:QAP851996">
      <formula1>項目!A4:$QAI$851970</formula1>
    </dataValidation>
    <dataValidation type="list" allowBlank="1" showInputMessage="1" showErrorMessage="1" sqref="QKL851973:QKL851996">
      <formula1>項目!A4:$QKE$851970</formula1>
    </dataValidation>
    <dataValidation type="list" allowBlank="1" showInputMessage="1" showErrorMessage="1" sqref="QUH851973:QUH851996">
      <formula1>項目!A4:$QUA$851970</formula1>
    </dataValidation>
    <dataValidation type="list" allowBlank="1" showInputMessage="1" showErrorMessage="1" sqref="RED851973:RED851996">
      <formula1>項目!A4:$RDW$851970</formula1>
    </dataValidation>
    <dataValidation type="list" allowBlank="1" showInputMessage="1" showErrorMessage="1" sqref="RNZ851973:RNZ851996">
      <formula1>項目!A4:$RNS$851970</formula1>
    </dataValidation>
    <dataValidation type="list" allowBlank="1" showInputMessage="1" showErrorMessage="1" sqref="RXV851973:RXV851996">
      <formula1>項目!A4:$RXO$851970</formula1>
    </dataValidation>
    <dataValidation type="list" allowBlank="1" showInputMessage="1" showErrorMessage="1" sqref="SHR851973:SHR851996">
      <formula1>項目!A4:$SHK$851970</formula1>
    </dataValidation>
    <dataValidation type="list" allowBlank="1" showInputMessage="1" showErrorMessage="1" sqref="SRN851973:SRN851996">
      <formula1>項目!A4:$SRG$851970</formula1>
    </dataValidation>
    <dataValidation type="list" allowBlank="1" showInputMessage="1" showErrorMessage="1" sqref="TBJ851973:TBJ851996">
      <formula1>項目!A4:$TBC$851970</formula1>
    </dataValidation>
    <dataValidation type="list" allowBlank="1" showInputMessage="1" showErrorMessage="1" sqref="TLF851973:TLF851996">
      <formula1>項目!A4:$TKY$851970</formula1>
    </dataValidation>
    <dataValidation type="list" allowBlank="1" showInputMessage="1" showErrorMessage="1" sqref="TVB851973:TVB851996">
      <formula1>項目!A4:$TUU$851970</formula1>
    </dataValidation>
    <dataValidation type="list" allowBlank="1" showInputMessage="1" showErrorMessage="1" sqref="UEX851973:UEX851996">
      <formula1>項目!A4:$UEQ$851970</formula1>
    </dataValidation>
    <dataValidation type="list" allowBlank="1" showInputMessage="1" showErrorMessage="1" sqref="UOT851973:UOT851996">
      <formula1>項目!A4:$UOM$851970</formula1>
    </dataValidation>
    <dataValidation type="list" allowBlank="1" showInputMessage="1" showErrorMessage="1" sqref="UYP851973:UYP851996">
      <formula1>項目!A4:$UYI$851970</formula1>
    </dataValidation>
    <dataValidation type="list" allowBlank="1" showInputMessage="1" showErrorMessage="1" sqref="VIL851973:VIL851996">
      <formula1>項目!A4:$VIE$851970</formula1>
    </dataValidation>
    <dataValidation type="list" allowBlank="1" showInputMessage="1" showErrorMessage="1" sqref="VSH851973:VSH851996">
      <formula1>項目!A4:$VSA$851970</formula1>
    </dataValidation>
    <dataValidation type="list" allowBlank="1" showInputMessage="1" showErrorMessage="1" sqref="WCD851973:WCD851996">
      <formula1>項目!A4:$WBW$851970</formula1>
    </dataValidation>
    <dataValidation type="list" allowBlank="1" showInputMessage="1" showErrorMessage="1" sqref="WLZ851973:WLZ851996">
      <formula1>項目!A4:$WLS$851970</formula1>
    </dataValidation>
    <dataValidation type="list" allowBlank="1" showInputMessage="1" showErrorMessage="1" sqref="WVV851973:WVV851996">
      <formula1>項目!A4:$WVO$851970</formula1>
    </dataValidation>
    <dataValidation type="list" allowBlank="1" showInputMessage="1" showErrorMessage="1" sqref="JJ917509:JJ917532">
      <formula1>項目!A4:$JC$917506</formula1>
    </dataValidation>
    <dataValidation type="list" allowBlank="1" showInputMessage="1" showErrorMessage="1" sqref="TF917509:TF917532">
      <formula1>項目!A4:$SY$917506</formula1>
    </dataValidation>
    <dataValidation type="list" allowBlank="1" showInputMessage="1" showErrorMessage="1" sqref="ADB917509:ADB917532">
      <formula1>項目!A4:$ACU$917506</formula1>
    </dataValidation>
    <dataValidation type="list" allowBlank="1" showInputMessage="1" showErrorMessage="1" sqref="AMX917509:AMX917532">
      <formula1>項目!A4:$AMQ$917506</formula1>
    </dataValidation>
    <dataValidation type="list" allowBlank="1" showInputMessage="1" showErrorMessage="1" sqref="AWT917509:AWT917532">
      <formula1>項目!A4:$AWM$917506</formula1>
    </dataValidation>
    <dataValidation type="list" allowBlank="1" showInputMessage="1" showErrorMessage="1" sqref="BGP917509:BGP917532">
      <formula1>項目!A4:$BGI$917506</formula1>
    </dataValidation>
    <dataValidation type="list" allowBlank="1" showInputMessage="1" showErrorMessage="1" sqref="BQL917509:BQL917532">
      <formula1>項目!A4:$BQE$917506</formula1>
    </dataValidation>
    <dataValidation type="list" allowBlank="1" showInputMessage="1" showErrorMessage="1" sqref="CAH917509:CAH917532">
      <formula1>項目!A4:$CAA$917506</formula1>
    </dataValidation>
    <dataValidation type="list" allowBlank="1" showInputMessage="1" showErrorMessage="1" sqref="CKD917509:CKD917532">
      <formula1>項目!A4:$CJW$917506</formula1>
    </dataValidation>
    <dataValidation type="list" allowBlank="1" showInputMessage="1" showErrorMessage="1" sqref="CTZ917509:CTZ917532">
      <formula1>項目!A4:$CTS$917506</formula1>
    </dataValidation>
    <dataValidation type="list" allowBlank="1" showInputMessage="1" showErrorMessage="1" sqref="DDV917509:DDV917532">
      <formula1>項目!A4:$DDO$917506</formula1>
    </dataValidation>
    <dataValidation type="list" allowBlank="1" showInputMessage="1" showErrorMessage="1" sqref="DNR917509:DNR917532">
      <formula1>項目!A4:$DNK$917506</formula1>
    </dataValidation>
    <dataValidation type="list" allowBlank="1" showInputMessage="1" showErrorMessage="1" sqref="DXN917509:DXN917532">
      <formula1>項目!A4:$DXG$917506</formula1>
    </dataValidation>
    <dataValidation type="list" allowBlank="1" showInputMessage="1" showErrorMessage="1" sqref="EHJ917509:EHJ917532">
      <formula1>項目!A4:$EHC$917506</formula1>
    </dataValidation>
    <dataValidation type="list" allowBlank="1" showInputMessage="1" showErrorMessage="1" sqref="ERF917509:ERF917532">
      <formula1>項目!A4:$EQY$917506</formula1>
    </dataValidation>
    <dataValidation type="list" allowBlank="1" showInputMessage="1" showErrorMessage="1" sqref="FBB917509:FBB917532">
      <formula1>項目!A4:$FAU$917506</formula1>
    </dataValidation>
    <dataValidation type="list" allowBlank="1" showInputMessage="1" showErrorMessage="1" sqref="FKX917509:FKX917532">
      <formula1>項目!A4:$FKQ$917506</formula1>
    </dataValidation>
    <dataValidation type="list" allowBlank="1" showInputMessage="1" showErrorMessage="1" sqref="FUT917509:FUT917532">
      <formula1>項目!A4:$FUM$917506</formula1>
    </dataValidation>
    <dataValidation type="list" allowBlank="1" showInputMessage="1" showErrorMessage="1" sqref="GEP917509:GEP917532">
      <formula1>項目!A4:$GEI$917506</formula1>
    </dataValidation>
    <dataValidation type="list" allowBlank="1" showInputMessage="1" showErrorMessage="1" sqref="GOL917509:GOL917532">
      <formula1>項目!A4:$GOE$917506</formula1>
    </dataValidation>
    <dataValidation type="list" allowBlank="1" showInputMessage="1" showErrorMessage="1" sqref="GYH917509:GYH917532">
      <formula1>項目!A4:$GYA$917506</formula1>
    </dataValidation>
    <dataValidation type="list" allowBlank="1" showInputMessage="1" showErrorMessage="1" sqref="HID917509:HID917532">
      <formula1>項目!A4:$HHW$917506</formula1>
    </dataValidation>
    <dataValidation type="list" allowBlank="1" showInputMessage="1" showErrorMessage="1" sqref="HRZ917509:HRZ917532">
      <formula1>項目!A4:$HRS$917506</formula1>
    </dataValidation>
    <dataValidation type="list" allowBlank="1" showInputMessage="1" showErrorMessage="1" sqref="IBV917509:IBV917532">
      <formula1>項目!A4:$IBO$917506</formula1>
    </dataValidation>
    <dataValidation type="list" allowBlank="1" showInputMessage="1" showErrorMessage="1" sqref="ILR917509:ILR917532">
      <formula1>項目!A4:$ILK$917506</formula1>
    </dataValidation>
    <dataValidation type="list" allowBlank="1" showInputMessage="1" showErrorMessage="1" sqref="IVN917509:IVN917532">
      <formula1>項目!A4:$IVG$917506</formula1>
    </dataValidation>
    <dataValidation type="list" allowBlank="1" showInputMessage="1" showErrorMessage="1" sqref="JFJ917509:JFJ917532">
      <formula1>項目!A4:$JFC$917506</formula1>
    </dataValidation>
    <dataValidation type="list" allowBlank="1" showInputMessage="1" showErrorMessage="1" sqref="JPF917509:JPF917532">
      <formula1>項目!A4:$JOY$917506</formula1>
    </dataValidation>
    <dataValidation type="list" allowBlank="1" showInputMessage="1" showErrorMessage="1" sqref="JZB917509:JZB917532">
      <formula1>項目!A4:$JYU$917506</formula1>
    </dataValidation>
    <dataValidation type="list" allowBlank="1" showInputMessage="1" showErrorMessage="1" sqref="KIX917509:KIX917532">
      <formula1>項目!A4:$KIQ$917506</formula1>
    </dataValidation>
    <dataValidation type="list" allowBlank="1" showInputMessage="1" showErrorMessage="1" sqref="KST917509:KST917532">
      <formula1>項目!A4:$KSM$917506</formula1>
    </dataValidation>
    <dataValidation type="list" allowBlank="1" showInputMessage="1" showErrorMessage="1" sqref="LCP917509:LCP917532">
      <formula1>項目!A4:$LCI$917506</formula1>
    </dataValidation>
    <dataValidation type="list" allowBlank="1" showInputMessage="1" showErrorMessage="1" sqref="LML917509:LML917532">
      <formula1>項目!A4:$LME$917506</formula1>
    </dataValidation>
    <dataValidation type="list" allowBlank="1" showInputMessage="1" showErrorMessage="1" sqref="LWH917509:LWH917532">
      <formula1>項目!A4:$LWA$917506</formula1>
    </dataValidation>
    <dataValidation type="list" allowBlank="1" showInputMessage="1" showErrorMessage="1" sqref="MGD917509:MGD917532">
      <formula1>項目!A4:$MFW$917506</formula1>
    </dataValidation>
    <dataValidation type="list" allowBlank="1" showInputMessage="1" showErrorMessage="1" sqref="MPZ917509:MPZ917532">
      <formula1>項目!A4:$MPS$917506</formula1>
    </dataValidation>
    <dataValidation type="list" allowBlank="1" showInputMessage="1" showErrorMessage="1" sqref="MZV917509:MZV917532">
      <formula1>項目!A4:$MZO$917506</formula1>
    </dataValidation>
    <dataValidation type="list" allowBlank="1" showInputMessage="1" showErrorMessage="1" sqref="NJR917509:NJR917532">
      <formula1>項目!A4:$NJK$917506</formula1>
    </dataValidation>
    <dataValidation type="list" allowBlank="1" showInputMessage="1" showErrorMessage="1" sqref="NTN917509:NTN917532">
      <formula1>項目!A4:$NTG$917506</formula1>
    </dataValidation>
    <dataValidation type="list" allowBlank="1" showInputMessage="1" showErrorMessage="1" sqref="ODJ917509:ODJ917532">
      <formula1>項目!A4:$ODC$917506</formula1>
    </dataValidation>
    <dataValidation type="list" allowBlank="1" showInputMessage="1" showErrorMessage="1" sqref="ONF917509:ONF917532">
      <formula1>項目!A4:$OMY$917506</formula1>
    </dataValidation>
    <dataValidation type="list" allowBlank="1" showInputMessage="1" showErrorMessage="1" sqref="OXB917509:OXB917532">
      <formula1>項目!A4:$OWU$917506</formula1>
    </dataValidation>
    <dataValidation type="list" allowBlank="1" showInputMessage="1" showErrorMessage="1" sqref="PGX917509:PGX917532">
      <formula1>項目!A4:$PGQ$917506</formula1>
    </dataValidation>
    <dataValidation type="list" allowBlank="1" showInputMessage="1" showErrorMessage="1" sqref="PQT917509:PQT917532">
      <formula1>項目!A4:$PQM$917506</formula1>
    </dataValidation>
    <dataValidation type="list" allowBlank="1" showInputMessage="1" showErrorMessage="1" sqref="QAP917509:QAP917532">
      <formula1>項目!A4:$QAI$917506</formula1>
    </dataValidation>
    <dataValidation type="list" allowBlank="1" showInputMessage="1" showErrorMessage="1" sqref="QKL917509:QKL917532">
      <formula1>項目!A4:$QKE$917506</formula1>
    </dataValidation>
    <dataValidation type="list" allowBlank="1" showInputMessage="1" showErrorMessage="1" sqref="QUH917509:QUH917532">
      <formula1>項目!A4:$QUA$917506</formula1>
    </dataValidation>
    <dataValidation type="list" allowBlank="1" showInputMessage="1" showErrorMessage="1" sqref="RED917509:RED917532">
      <formula1>項目!A4:$RDW$917506</formula1>
    </dataValidation>
    <dataValidation type="list" allowBlank="1" showInputMessage="1" showErrorMessage="1" sqref="RNZ917509:RNZ917532">
      <formula1>項目!A4:$RNS$917506</formula1>
    </dataValidation>
    <dataValidation type="list" allowBlank="1" showInputMessage="1" showErrorMessage="1" sqref="RXV917509:RXV917532">
      <formula1>項目!A4:$RXO$917506</formula1>
    </dataValidation>
    <dataValidation type="list" allowBlank="1" showInputMessage="1" showErrorMessage="1" sqref="SHR917509:SHR917532">
      <formula1>項目!A4:$SHK$917506</formula1>
    </dataValidation>
    <dataValidation type="list" allowBlank="1" showInputMessage="1" showErrorMessage="1" sqref="SRN917509:SRN917532">
      <formula1>項目!A4:$SRG$917506</formula1>
    </dataValidation>
    <dataValidation type="list" allowBlank="1" showInputMessage="1" showErrorMessage="1" sqref="TBJ917509:TBJ917532">
      <formula1>項目!A4:$TBC$917506</formula1>
    </dataValidation>
    <dataValidation type="list" allowBlank="1" showInputMessage="1" showErrorMessage="1" sqref="TLF917509:TLF917532">
      <formula1>項目!A4:$TKY$917506</formula1>
    </dataValidation>
    <dataValidation type="list" allowBlank="1" showInputMessage="1" showErrorMessage="1" sqref="TVB917509:TVB917532">
      <formula1>項目!A4:$TUU$917506</formula1>
    </dataValidation>
    <dataValidation type="list" allowBlank="1" showInputMessage="1" showErrorMessage="1" sqref="UEX917509:UEX917532">
      <formula1>項目!A4:$UEQ$917506</formula1>
    </dataValidation>
    <dataValidation type="list" allowBlank="1" showInputMessage="1" showErrorMessage="1" sqref="UOT917509:UOT917532">
      <formula1>項目!A4:$UOM$917506</formula1>
    </dataValidation>
    <dataValidation type="list" allowBlank="1" showInputMessage="1" showErrorMessage="1" sqref="UYP917509:UYP917532">
      <formula1>項目!A4:$UYI$917506</formula1>
    </dataValidation>
    <dataValidation type="list" allowBlank="1" showInputMessage="1" showErrorMessage="1" sqref="VIL917509:VIL917532">
      <formula1>項目!A4:$VIE$917506</formula1>
    </dataValidation>
    <dataValidation type="list" allowBlank="1" showInputMessage="1" showErrorMessage="1" sqref="VSH917509:VSH917532">
      <formula1>項目!A4:$VSA$917506</formula1>
    </dataValidation>
    <dataValidation type="list" allowBlank="1" showInputMessage="1" showErrorMessage="1" sqref="WCD917509:WCD917532">
      <formula1>項目!A4:$WBW$917506</formula1>
    </dataValidation>
    <dataValidation type="list" allowBlank="1" showInputMessage="1" showErrorMessage="1" sqref="WLZ917509:WLZ917532">
      <formula1>項目!A4:$WLS$917506</formula1>
    </dataValidation>
    <dataValidation type="list" allowBlank="1" showInputMessage="1" showErrorMessage="1" sqref="WVV917509:WVV917532">
      <formula1>項目!A4:$WVO$917506</formula1>
    </dataValidation>
    <dataValidation type="list" allowBlank="1" showInputMessage="1" showErrorMessage="1" sqref="JJ983045:JJ983068">
      <formula1>項目!A4:$JC$983042</formula1>
    </dataValidation>
    <dataValidation type="list" allowBlank="1" showInputMessage="1" showErrorMessage="1" sqref="TF983045:TF983068">
      <formula1>項目!A4:$SY$983042</formula1>
    </dataValidation>
    <dataValidation type="list" allowBlank="1" showInputMessage="1" showErrorMessage="1" sqref="ADB983045:ADB983068">
      <formula1>項目!A4:$ACU$983042</formula1>
    </dataValidation>
    <dataValidation type="list" allowBlank="1" showInputMessage="1" showErrorMessage="1" sqref="AMX983045:AMX983068">
      <formula1>項目!A4:$AMQ$983042</formula1>
    </dataValidation>
    <dataValidation type="list" allowBlank="1" showInputMessage="1" showErrorMessage="1" sqref="AWT983045:AWT983068">
      <formula1>項目!A4:$AWM$983042</formula1>
    </dataValidation>
    <dataValidation type="list" allowBlank="1" showInputMessage="1" showErrorMessage="1" sqref="BGP983045:BGP983068">
      <formula1>項目!A4:$BGI$983042</formula1>
    </dataValidation>
    <dataValidation type="list" allowBlank="1" showInputMessage="1" showErrorMessage="1" sqref="BQL983045:BQL983068">
      <formula1>項目!A4:$BQE$983042</formula1>
    </dataValidation>
    <dataValidation type="list" allowBlank="1" showInputMessage="1" showErrorMessage="1" sqref="CAH983045:CAH983068">
      <formula1>項目!A4:$CAA$983042</formula1>
    </dataValidation>
    <dataValidation type="list" allowBlank="1" showInputMessage="1" showErrorMessage="1" sqref="CKD983045:CKD983068">
      <formula1>項目!A4:$CJW$983042</formula1>
    </dataValidation>
    <dataValidation type="list" allowBlank="1" showInputMessage="1" showErrorMessage="1" sqref="CTZ983045:CTZ983068">
      <formula1>項目!A4:$CTS$983042</formula1>
    </dataValidation>
    <dataValidation type="list" allowBlank="1" showInputMessage="1" showErrorMessage="1" sqref="DDV983045:DDV983068">
      <formula1>項目!A4:$DDO$983042</formula1>
    </dataValidation>
    <dataValidation type="list" allowBlank="1" showInputMessage="1" showErrorMessage="1" sqref="DNR983045:DNR983068">
      <formula1>項目!A4:$DNK$983042</formula1>
    </dataValidation>
    <dataValidation type="list" allowBlank="1" showInputMessage="1" showErrorMessage="1" sqref="DXN983045:DXN983068">
      <formula1>項目!A4:$DXG$983042</formula1>
    </dataValidation>
    <dataValidation type="list" allowBlank="1" showInputMessage="1" showErrorMessage="1" sqref="EHJ983045:EHJ983068">
      <formula1>項目!A4:$EHC$983042</formula1>
    </dataValidation>
    <dataValidation type="list" allowBlank="1" showInputMessage="1" showErrorMessage="1" sqref="ERF983045:ERF983068">
      <formula1>項目!A4:$EQY$983042</formula1>
    </dataValidation>
    <dataValidation type="list" allowBlank="1" showInputMessage="1" showErrorMessage="1" sqref="FBB983045:FBB983068">
      <formula1>項目!A4:$FAU$983042</formula1>
    </dataValidation>
    <dataValidation type="list" allowBlank="1" showInputMessage="1" showErrorMessage="1" sqref="FKX983045:FKX983068">
      <formula1>項目!A4:$FKQ$983042</formula1>
    </dataValidation>
    <dataValidation type="list" allowBlank="1" showInputMessage="1" showErrorMessage="1" sqref="FUT983045:FUT983068">
      <formula1>項目!A4:$FUM$983042</formula1>
    </dataValidation>
    <dataValidation type="list" allowBlank="1" showInputMessage="1" showErrorMessage="1" sqref="GEP983045:GEP983068">
      <formula1>項目!A4:$GEI$983042</formula1>
    </dataValidation>
    <dataValidation type="list" allowBlank="1" showInputMessage="1" showErrorMessage="1" sqref="GOL983045:GOL983068">
      <formula1>項目!A4:$GOE$983042</formula1>
    </dataValidation>
    <dataValidation type="list" allowBlank="1" showInputMessage="1" showErrorMessage="1" sqref="GYH983045:GYH983068">
      <formula1>項目!A4:$GYA$983042</formula1>
    </dataValidation>
    <dataValidation type="list" allowBlank="1" showInputMessage="1" showErrorMessage="1" sqref="HID983045:HID983068">
      <formula1>項目!A4:$HHW$983042</formula1>
    </dataValidation>
    <dataValidation type="list" allowBlank="1" showInputMessage="1" showErrorMessage="1" sqref="HRZ983045:HRZ983068">
      <formula1>項目!A4:$HRS$983042</formula1>
    </dataValidation>
    <dataValidation type="list" allowBlank="1" showInputMessage="1" showErrorMessage="1" sqref="IBV983045:IBV983068">
      <formula1>項目!A4:$IBO$983042</formula1>
    </dataValidation>
    <dataValidation type="list" allowBlank="1" showInputMessage="1" showErrorMessage="1" sqref="ILR983045:ILR983068">
      <formula1>項目!A4:$ILK$983042</formula1>
    </dataValidation>
    <dataValidation type="list" allowBlank="1" showInputMessage="1" showErrorMessage="1" sqref="IVN983045:IVN983068">
      <formula1>項目!A4:$IVG$983042</formula1>
    </dataValidation>
    <dataValidation type="list" allowBlank="1" showInputMessage="1" showErrorMessage="1" sqref="JFJ983045:JFJ983068">
      <formula1>項目!A4:$JFC$983042</formula1>
    </dataValidation>
    <dataValidation type="list" allowBlank="1" showInputMessage="1" showErrorMessage="1" sqref="JPF983045:JPF983068">
      <formula1>項目!A4:$JOY$983042</formula1>
    </dataValidation>
    <dataValidation type="list" allowBlank="1" showInputMessage="1" showErrorMessage="1" sqref="JZB983045:JZB983068">
      <formula1>項目!A4:$JYU$983042</formula1>
    </dataValidation>
    <dataValidation type="list" allowBlank="1" showInputMessage="1" showErrorMessage="1" sqref="KIX983045:KIX983068">
      <formula1>項目!A4:$KIQ$983042</formula1>
    </dataValidation>
    <dataValidation type="list" allowBlank="1" showInputMessage="1" showErrorMessage="1" sqref="KST983045:KST983068">
      <formula1>項目!A4:$KSM$983042</formula1>
    </dataValidation>
    <dataValidation type="list" allowBlank="1" showInputMessage="1" showErrorMessage="1" sqref="LCP983045:LCP983068">
      <formula1>項目!A4:$LCI$983042</formula1>
    </dataValidation>
    <dataValidation type="list" allowBlank="1" showInputMessage="1" showErrorMessage="1" sqref="LML983045:LML983068">
      <formula1>項目!A4:$LME$983042</formula1>
    </dataValidation>
    <dataValidation type="list" allowBlank="1" showInputMessage="1" showErrorMessage="1" sqref="LWH983045:LWH983068">
      <formula1>項目!A4:$LWA$983042</formula1>
    </dataValidation>
    <dataValidation type="list" allowBlank="1" showInputMessage="1" showErrorMessage="1" sqref="MGD983045:MGD983068">
      <formula1>項目!A4:$MFW$983042</formula1>
    </dataValidation>
    <dataValidation type="list" allowBlank="1" showInputMessage="1" showErrorMessage="1" sqref="MPZ983045:MPZ983068">
      <formula1>項目!A4:$MPS$983042</formula1>
    </dataValidation>
    <dataValidation type="list" allowBlank="1" showInputMessage="1" showErrorMessage="1" sqref="MZV983045:MZV983068">
      <formula1>項目!A4:$MZO$983042</formula1>
    </dataValidation>
    <dataValidation type="list" allowBlank="1" showInputMessage="1" showErrorMessage="1" sqref="NJR983045:NJR983068">
      <formula1>項目!A4:$NJK$983042</formula1>
    </dataValidation>
    <dataValidation type="list" allowBlank="1" showInputMessage="1" showErrorMessage="1" sqref="NTN983045:NTN983068">
      <formula1>項目!A4:$NTG$983042</formula1>
    </dataValidation>
    <dataValidation type="list" allowBlank="1" showInputMessage="1" showErrorMessage="1" sqref="ODJ983045:ODJ983068">
      <formula1>項目!A4:$ODC$983042</formula1>
    </dataValidation>
    <dataValidation type="list" allowBlank="1" showInputMessage="1" showErrorMessage="1" sqref="ONF983045:ONF983068">
      <formula1>項目!A4:$OMY$983042</formula1>
    </dataValidation>
    <dataValidation type="list" allowBlank="1" showInputMessage="1" showErrorMessage="1" sqref="OXB983045:OXB983068">
      <formula1>項目!A4:$OWU$983042</formula1>
    </dataValidation>
    <dataValidation type="list" allowBlank="1" showInputMessage="1" showErrorMessage="1" sqref="PGX983045:PGX983068">
      <formula1>項目!A4:$PGQ$983042</formula1>
    </dataValidation>
    <dataValidation type="list" allowBlank="1" showInputMessage="1" showErrorMessage="1" sqref="PQT983045:PQT983068">
      <formula1>項目!A4:$PQM$983042</formula1>
    </dataValidation>
    <dataValidation type="list" allowBlank="1" showInputMessage="1" showErrorMessage="1" sqref="QAP983045:QAP983068">
      <formula1>項目!A4:$QAI$983042</formula1>
    </dataValidation>
    <dataValidation type="list" allowBlank="1" showInputMessage="1" showErrorMessage="1" sqref="QKL983045:QKL983068">
      <formula1>項目!A4:$QKE$983042</formula1>
    </dataValidation>
    <dataValidation type="list" allowBlank="1" showInputMessage="1" showErrorMessage="1" sqref="QUH983045:QUH983068">
      <formula1>項目!A4:$QUA$983042</formula1>
    </dataValidation>
    <dataValidation type="list" allowBlank="1" showInputMessage="1" showErrorMessage="1" sqref="RED983045:RED983068">
      <formula1>項目!A4:$RDW$983042</formula1>
    </dataValidation>
    <dataValidation type="list" allowBlank="1" showInputMessage="1" showErrorMessage="1" sqref="RNZ983045:RNZ983068">
      <formula1>項目!A4:$RNS$983042</formula1>
    </dataValidation>
    <dataValidation type="list" allowBlank="1" showInputMessage="1" showErrorMessage="1" sqref="RXV983045:RXV983068">
      <formula1>項目!A4:$RXO$983042</formula1>
    </dataValidation>
    <dataValidation type="list" allowBlank="1" showInputMessage="1" showErrorMessage="1" sqref="SHR983045:SHR983068">
      <formula1>項目!A4:$SHK$983042</formula1>
    </dataValidation>
    <dataValidation type="list" allowBlank="1" showInputMessage="1" showErrorMessage="1" sqref="SRN983045:SRN983068">
      <formula1>項目!A4:$SRG$983042</formula1>
    </dataValidation>
    <dataValidation type="list" allowBlank="1" showInputMessage="1" showErrorMessage="1" sqref="TBJ983045:TBJ983068">
      <formula1>項目!A4:$TBC$983042</formula1>
    </dataValidation>
    <dataValidation type="list" allowBlank="1" showInputMessage="1" showErrorMessage="1" sqref="TLF983045:TLF983068">
      <formula1>項目!A4:$TKY$983042</formula1>
    </dataValidation>
    <dataValidation type="list" allowBlank="1" showInputMessage="1" showErrorMessage="1" sqref="TVB983045:TVB983068">
      <formula1>項目!A4:$TUU$983042</formula1>
    </dataValidation>
    <dataValidation type="list" allowBlank="1" showInputMessage="1" showErrorMessage="1" sqref="UEX983045:UEX983068">
      <formula1>項目!A4:$UEQ$983042</formula1>
    </dataValidation>
    <dataValidation type="list" allowBlank="1" showInputMessage="1" showErrorMessage="1" sqref="UOT983045:UOT983068">
      <formula1>項目!A4:$UOM$983042</formula1>
    </dataValidation>
    <dataValidation type="list" allowBlank="1" showInputMessage="1" showErrorMessage="1" sqref="UYP983045:UYP983068">
      <formula1>項目!A4:$UYI$983042</formula1>
    </dataValidation>
    <dataValidation type="list" allowBlank="1" showInputMessage="1" showErrorMessage="1" sqref="VIL983045:VIL983068">
      <formula1>項目!A4:$VIE$983042</formula1>
    </dataValidation>
    <dataValidation type="list" allowBlank="1" showInputMessage="1" showErrorMessage="1" sqref="VSH983045:VSH983068">
      <formula1>項目!A4:$VSA$983042</formula1>
    </dataValidation>
    <dataValidation type="list" allowBlank="1" showInputMessage="1" showErrorMessage="1" sqref="WCD983045:WCD983068">
      <formula1>項目!A4:$WBW$983042</formula1>
    </dataValidation>
    <dataValidation type="list" allowBlank="1" showInputMessage="1" showErrorMessage="1" sqref="WLZ983045:WLZ983068">
      <formula1>項目!A4:$WLS$983042</formula1>
    </dataValidation>
    <dataValidation type="list" allowBlank="1" showInputMessage="1" showErrorMessage="1" sqref="WVV983045:WVV983068">
      <formula1>項目!A4:$WVO$983042</formula1>
    </dataValidation>
    <dataValidation type="list" allowBlank="1" showInputMessage="1" showErrorMessage="1" sqref="SX5:SX28">
      <formula1>項目!A2:$SQ$4</formula1>
    </dataValidation>
    <dataValidation type="list" allowBlank="1" showInputMessage="1" showErrorMessage="1" sqref="JN5:JN28">
      <formula1>項目!A2:$JG$4</formula1>
    </dataValidation>
    <dataValidation type="list" allowBlank="1" showInputMessage="1" showErrorMessage="1" sqref="TJ5:TJ28">
      <formula1>項目!A2:$TC$4</formula1>
    </dataValidation>
    <dataValidation type="list" allowBlank="1" showInputMessage="1" showErrorMessage="1" sqref="ADF5:ADF28">
      <formula1>項目!A2:$ACY$4</formula1>
    </dataValidation>
    <dataValidation type="list" allowBlank="1" showInputMessage="1" showErrorMessage="1" sqref="ANB5:ANB28">
      <formula1>項目!A2:$AMU$4</formula1>
    </dataValidation>
    <dataValidation type="list" allowBlank="1" showInputMessage="1" showErrorMessage="1" sqref="AWX5:AWX28">
      <formula1>項目!A2:$AWQ$4</formula1>
    </dataValidation>
    <dataValidation type="list" allowBlank="1" showInputMessage="1" showErrorMessage="1" sqref="BGT5:BGT28">
      <formula1>項目!A2:$BGM$4</formula1>
    </dataValidation>
    <dataValidation type="list" allowBlank="1" showInputMessage="1" showErrorMessage="1" sqref="BQP5:BQP28">
      <formula1>項目!A2:$BQI$4</formula1>
    </dataValidation>
    <dataValidation type="list" allowBlank="1" showInputMessage="1" showErrorMessage="1" sqref="CAL5:CAL28">
      <formula1>項目!A2:$CAE$4</formula1>
    </dataValidation>
    <dataValidation type="list" allowBlank="1" showInputMessage="1" showErrorMessage="1" sqref="CKH5:CKH28">
      <formula1>項目!A2:$CKA$4</formula1>
    </dataValidation>
    <dataValidation type="list" allowBlank="1" showInputMessage="1" showErrorMessage="1" sqref="CUD5:CUD28">
      <formula1>項目!A2:$CTW$4</formula1>
    </dataValidation>
    <dataValidation type="list" allowBlank="1" showInputMessage="1" showErrorMessage="1" sqref="DDZ5:DDZ28">
      <formula1>項目!A2:$DDS$4</formula1>
    </dataValidation>
    <dataValidation type="list" allowBlank="1" showInputMessage="1" showErrorMessage="1" sqref="DNV5:DNV28">
      <formula1>項目!A2:$DNO$4</formula1>
    </dataValidation>
    <dataValidation type="list" allowBlank="1" showInputMessage="1" showErrorMessage="1" sqref="DXR5:DXR28">
      <formula1>項目!A2:$DXK$4</formula1>
    </dataValidation>
    <dataValidation type="list" allowBlank="1" showInputMessage="1" showErrorMessage="1" sqref="EHN5:EHN28">
      <formula1>項目!A2:$EHG$4</formula1>
    </dataValidation>
    <dataValidation type="list" allowBlank="1" showInputMessage="1" showErrorMessage="1" sqref="ERJ5:ERJ28">
      <formula1>項目!A2:$ERC$4</formula1>
    </dataValidation>
    <dataValidation type="list" allowBlank="1" showInputMessage="1" showErrorMessage="1" sqref="FBF5:FBF28">
      <formula1>項目!A2:$FAY$4</formula1>
    </dataValidation>
    <dataValidation type="list" allowBlank="1" showInputMessage="1" showErrorMessage="1" sqref="FLB5:FLB28">
      <formula1>項目!A2:$FKU$4</formula1>
    </dataValidation>
    <dataValidation type="list" allowBlank="1" showInputMessage="1" showErrorMessage="1" sqref="FUX5:FUX28">
      <formula1>項目!A2:$FUQ$4</formula1>
    </dataValidation>
    <dataValidation type="list" allowBlank="1" showInputMessage="1" showErrorMessage="1" sqref="GET5:GET28">
      <formula1>項目!A2:$GEM$4</formula1>
    </dataValidation>
    <dataValidation type="list" allowBlank="1" showInputMessage="1" showErrorMessage="1" sqref="GOP5:GOP28">
      <formula1>項目!A2:$GOI$4</formula1>
    </dataValidation>
    <dataValidation type="list" allowBlank="1" showInputMessage="1" showErrorMessage="1" sqref="GYL5:GYL28">
      <formula1>項目!A2:$GYE$4</formula1>
    </dataValidation>
    <dataValidation type="list" allowBlank="1" showInputMessage="1" showErrorMessage="1" sqref="HIH5:HIH28">
      <formula1>項目!A2:$HIA$4</formula1>
    </dataValidation>
    <dataValidation type="list" allowBlank="1" showInputMessage="1" showErrorMessage="1" sqref="HSD5:HSD28">
      <formula1>項目!A2:$HRW$4</formula1>
    </dataValidation>
    <dataValidation type="list" allowBlank="1" showInputMessage="1" showErrorMessage="1" sqref="IBZ5:IBZ28">
      <formula1>項目!A2:$IBS$4</formula1>
    </dataValidation>
    <dataValidation type="list" allowBlank="1" showInputMessage="1" showErrorMessage="1" sqref="ILV5:ILV28">
      <formula1>項目!A2:$ILO$4</formula1>
    </dataValidation>
    <dataValidation type="list" allowBlank="1" showInputMessage="1" showErrorMessage="1" sqref="IVR5:IVR28">
      <formula1>項目!A2:$IVK$4</formula1>
    </dataValidation>
    <dataValidation type="list" allowBlank="1" showInputMessage="1" showErrorMessage="1" sqref="JFN5:JFN28">
      <formula1>項目!A2:$JFG$4</formula1>
    </dataValidation>
    <dataValidation type="list" allowBlank="1" showInputMessage="1" showErrorMessage="1" sqref="JPJ5:JPJ28">
      <formula1>項目!A2:$JPC$4</formula1>
    </dataValidation>
    <dataValidation type="list" allowBlank="1" showInputMessage="1" showErrorMessage="1" sqref="JZF5:JZF28">
      <formula1>項目!A2:$JYY$4</formula1>
    </dataValidation>
    <dataValidation type="list" allowBlank="1" showInputMessage="1" showErrorMessage="1" sqref="KJB5:KJB28">
      <formula1>項目!A2:$KIU$4</formula1>
    </dataValidation>
    <dataValidation type="list" allowBlank="1" showInputMessage="1" showErrorMessage="1" sqref="KSX5:KSX28">
      <formula1>項目!A2:$KSQ$4</formula1>
    </dataValidation>
    <dataValidation type="list" allowBlank="1" showInputMessage="1" showErrorMessage="1" sqref="LCT5:LCT28">
      <formula1>項目!A2:$LCM$4</formula1>
    </dataValidation>
    <dataValidation type="list" allowBlank="1" showInputMessage="1" showErrorMessage="1" sqref="LMP5:LMP28">
      <formula1>項目!A2:$LMI$4</formula1>
    </dataValidation>
    <dataValidation type="list" allowBlank="1" showInputMessage="1" showErrorMessage="1" sqref="LWL5:LWL28">
      <formula1>項目!A2:$LWE$4</formula1>
    </dataValidation>
    <dataValidation type="list" allowBlank="1" showInputMessage="1" showErrorMessage="1" sqref="MGH5:MGH28">
      <formula1>項目!A2:$MGA$4</formula1>
    </dataValidation>
    <dataValidation type="list" allowBlank="1" showInputMessage="1" showErrorMessage="1" sqref="MQD5:MQD28">
      <formula1>項目!A2:$MPW$4</formula1>
    </dataValidation>
    <dataValidation type="list" allowBlank="1" showInputMessage="1" showErrorMessage="1" sqref="MZZ5:MZZ28">
      <formula1>項目!A2:$MZS$4</formula1>
    </dataValidation>
    <dataValidation type="list" allowBlank="1" showInputMessage="1" showErrorMessage="1" sqref="NJV5:NJV28">
      <formula1>項目!A2:$NJO$4</formula1>
    </dataValidation>
    <dataValidation type="list" allowBlank="1" showInputMessage="1" showErrorMessage="1" sqref="NTR5:NTR28">
      <formula1>項目!A2:$NTK$4</formula1>
    </dataValidation>
    <dataValidation type="list" allowBlank="1" showInputMessage="1" showErrorMessage="1" sqref="ODN5:ODN28">
      <formula1>項目!A2:$ODG$4</formula1>
    </dataValidation>
    <dataValidation type="list" allowBlank="1" showInputMessage="1" showErrorMessage="1" sqref="ONJ5:ONJ28">
      <formula1>項目!A2:$ONC$4</formula1>
    </dataValidation>
    <dataValidation type="list" allowBlank="1" showInputMessage="1" showErrorMessage="1" sqref="OXF5:OXF28">
      <formula1>項目!A2:$OWY$4</formula1>
    </dataValidation>
    <dataValidation type="list" allowBlank="1" showInputMessage="1" showErrorMessage="1" sqref="PHB5:PHB28">
      <formula1>項目!A2:$PGU$4</formula1>
    </dataValidation>
    <dataValidation type="list" allowBlank="1" showInputMessage="1" showErrorMessage="1" sqref="PQX5:PQX28">
      <formula1>項目!A2:$PQQ$4</formula1>
    </dataValidation>
    <dataValidation type="list" allowBlank="1" showInputMessage="1" showErrorMessage="1" sqref="QAT5:QAT28">
      <formula1>項目!A2:$QAM$4</formula1>
    </dataValidation>
    <dataValidation type="list" allowBlank="1" showInputMessage="1" showErrorMessage="1" sqref="QKP5:QKP28">
      <formula1>項目!A2:$QKI$4</formula1>
    </dataValidation>
    <dataValidation type="list" allowBlank="1" showInputMessage="1" showErrorMessage="1" sqref="QUL5:QUL28">
      <formula1>項目!A2:$QUE$4</formula1>
    </dataValidation>
    <dataValidation type="list" allowBlank="1" showInputMessage="1" showErrorMessage="1" sqref="REH5:REH28">
      <formula1>項目!A2:$REA$4</formula1>
    </dataValidation>
    <dataValidation type="list" allowBlank="1" showInputMessage="1" showErrorMessage="1" sqref="ROD5:ROD28">
      <formula1>項目!A2:$RNW$4</formula1>
    </dataValidation>
    <dataValidation type="list" allowBlank="1" showInputMessage="1" showErrorMessage="1" sqref="RXZ5:RXZ28">
      <formula1>項目!A2:$RXS$4</formula1>
    </dataValidation>
    <dataValidation type="list" allowBlank="1" showInputMessage="1" showErrorMessage="1" sqref="SHV5:SHV28">
      <formula1>項目!A2:$SHO$4</formula1>
    </dataValidation>
    <dataValidation type="list" allowBlank="1" showInputMessage="1" showErrorMessage="1" sqref="SRR5:SRR28">
      <formula1>項目!A2:$SRK$4</formula1>
    </dataValidation>
    <dataValidation type="list" allowBlank="1" showInputMessage="1" showErrorMessage="1" sqref="TBN5:TBN28">
      <formula1>項目!A2:$TBG$4</formula1>
    </dataValidation>
    <dataValidation type="list" allowBlank="1" showInputMessage="1" showErrorMessage="1" sqref="TLJ5:TLJ28">
      <formula1>項目!A2:$TLC$4</formula1>
    </dataValidation>
    <dataValidation type="list" allowBlank="1" showInputMessage="1" showErrorMessage="1" sqref="TVF5:TVF28">
      <formula1>項目!A2:$TUY$4</formula1>
    </dataValidation>
    <dataValidation type="list" allowBlank="1" showInputMessage="1" showErrorMessage="1" sqref="UFB5:UFB28">
      <formula1>項目!A2:$UEU$4</formula1>
    </dataValidation>
    <dataValidation type="list" allowBlank="1" showInputMessage="1" showErrorMessage="1" sqref="UOX5:UOX28">
      <formula1>項目!A2:$UOQ$4</formula1>
    </dataValidation>
    <dataValidation type="list" allowBlank="1" showInputMessage="1" showErrorMessage="1" sqref="UYT5:UYT28">
      <formula1>項目!A2:$UYM$4</formula1>
    </dataValidation>
    <dataValidation type="list" allowBlank="1" showInputMessage="1" showErrorMessage="1" sqref="VIP5:VIP28">
      <formula1>項目!A2:$VII$4</formula1>
    </dataValidation>
    <dataValidation type="list" allowBlank="1" showInputMessage="1" showErrorMessage="1" sqref="VSL5:VSL28">
      <formula1>項目!A2:$VSE$4</formula1>
    </dataValidation>
    <dataValidation type="list" allowBlank="1" showInputMessage="1" showErrorMessage="1" sqref="WCH5:WCH28">
      <formula1>項目!A2:$WCA$4</formula1>
    </dataValidation>
    <dataValidation type="list" allowBlank="1" showInputMessage="1" showErrorMessage="1" sqref="WMD5:WMD28">
      <formula1>項目!A2:$WLW$4</formula1>
    </dataValidation>
    <dataValidation type="list" allowBlank="1" showInputMessage="1" showErrorMessage="1" sqref="WVZ5:WVZ28">
      <formula1>項目!A2:$WVS$4</formula1>
    </dataValidation>
    <dataValidation type="list" allowBlank="1" showInputMessage="1" showErrorMessage="1" sqref="R65541:R65564">
      <formula1>項目!A4:$K$65538</formula1>
    </dataValidation>
    <dataValidation type="list" allowBlank="1" showInputMessage="1" showErrorMessage="1" sqref="JN65541:JN65564">
      <formula1>項目!A4:$JG$65538</formula1>
    </dataValidation>
    <dataValidation type="list" allowBlank="1" showInputMessage="1" showErrorMessage="1" sqref="TJ65541:TJ65564">
      <formula1>項目!A4:$TC$65538</formula1>
    </dataValidation>
    <dataValidation type="list" allowBlank="1" showInputMessage="1" showErrorMessage="1" sqref="ADF65541:ADF65564">
      <formula1>項目!A4:$ACY$65538</formula1>
    </dataValidation>
    <dataValidation type="list" allowBlank="1" showInputMessage="1" showErrorMessage="1" sqref="ANB65541:ANB65564">
      <formula1>項目!A4:$AMU$65538</formula1>
    </dataValidation>
    <dataValidation type="list" allowBlank="1" showInputMessage="1" showErrorMessage="1" sqref="AWX65541:AWX65564">
      <formula1>項目!A4:$AWQ$65538</formula1>
    </dataValidation>
    <dataValidation type="list" allowBlank="1" showInputMessage="1" showErrorMessage="1" sqref="BGT65541:BGT65564">
      <formula1>項目!A4:$BGM$65538</formula1>
    </dataValidation>
    <dataValidation type="list" allowBlank="1" showInputMessage="1" showErrorMessage="1" sqref="BQP65541:BQP65564">
      <formula1>項目!A4:$BQI$65538</formula1>
    </dataValidation>
    <dataValidation type="list" allowBlank="1" showInputMessage="1" showErrorMessage="1" sqref="CAL65541:CAL65564">
      <formula1>項目!A4:$CAE$65538</formula1>
    </dataValidation>
    <dataValidation type="list" allowBlank="1" showInputMessage="1" showErrorMessage="1" sqref="CKH65541:CKH65564">
      <formula1>項目!A4:$CKA$65538</formula1>
    </dataValidation>
    <dataValidation type="list" allowBlank="1" showInputMessage="1" showErrorMessage="1" sqref="CUD65541:CUD65564">
      <formula1>項目!A4:$CTW$65538</formula1>
    </dataValidation>
    <dataValidation type="list" allowBlank="1" showInputMessage="1" showErrorMessage="1" sqref="DDZ65541:DDZ65564">
      <formula1>項目!A4:$DDS$65538</formula1>
    </dataValidation>
    <dataValidation type="list" allowBlank="1" showInputMessage="1" showErrorMessage="1" sqref="DNV65541:DNV65564">
      <formula1>項目!A4:$DNO$65538</formula1>
    </dataValidation>
    <dataValidation type="list" allowBlank="1" showInputMessage="1" showErrorMessage="1" sqref="DXR65541:DXR65564">
      <formula1>項目!A4:$DXK$65538</formula1>
    </dataValidation>
    <dataValidation type="list" allowBlank="1" showInputMessage="1" showErrorMessage="1" sqref="EHN65541:EHN65564">
      <formula1>項目!A4:$EHG$65538</formula1>
    </dataValidation>
    <dataValidation type="list" allowBlank="1" showInputMessage="1" showErrorMessage="1" sqref="ERJ65541:ERJ65564">
      <formula1>項目!A4:$ERC$65538</formula1>
    </dataValidation>
    <dataValidation type="list" allowBlank="1" showInputMessage="1" showErrorMessage="1" sqref="FBF65541:FBF65564">
      <formula1>項目!A4:$FAY$65538</formula1>
    </dataValidation>
    <dataValidation type="list" allowBlank="1" showInputMessage="1" showErrorMessage="1" sqref="FLB65541:FLB65564">
      <formula1>項目!A4:$FKU$65538</formula1>
    </dataValidation>
    <dataValidation type="list" allowBlank="1" showInputMessage="1" showErrorMessage="1" sqref="FUX65541:FUX65564">
      <formula1>項目!A4:$FUQ$65538</formula1>
    </dataValidation>
    <dataValidation type="list" allowBlank="1" showInputMessage="1" showErrorMessage="1" sqref="GET65541:GET65564">
      <formula1>項目!A4:$GEM$65538</formula1>
    </dataValidation>
    <dataValidation type="list" allowBlank="1" showInputMessage="1" showErrorMessage="1" sqref="GOP65541:GOP65564">
      <formula1>項目!A4:$GOI$65538</formula1>
    </dataValidation>
    <dataValidation type="list" allowBlank="1" showInputMessage="1" showErrorMessage="1" sqref="GYL65541:GYL65564">
      <formula1>項目!A4:$GYE$65538</formula1>
    </dataValidation>
    <dataValidation type="list" allowBlank="1" showInputMessage="1" showErrorMessage="1" sqref="HIH65541:HIH65564">
      <formula1>項目!A4:$HIA$65538</formula1>
    </dataValidation>
    <dataValidation type="list" allowBlank="1" showInputMessage="1" showErrorMessage="1" sqref="HSD65541:HSD65564">
      <formula1>項目!A4:$HRW$65538</formula1>
    </dataValidation>
    <dataValidation type="list" allowBlank="1" showInputMessage="1" showErrorMessage="1" sqref="IBZ65541:IBZ65564">
      <formula1>項目!A4:$IBS$65538</formula1>
    </dataValidation>
    <dataValidation type="list" allowBlank="1" showInputMessage="1" showErrorMessage="1" sqref="ILV65541:ILV65564">
      <formula1>項目!A4:$ILO$65538</formula1>
    </dataValidation>
    <dataValidation type="list" allowBlank="1" showInputMessage="1" showErrorMessage="1" sqref="IVR65541:IVR65564">
      <formula1>項目!A4:$IVK$65538</formula1>
    </dataValidation>
    <dataValidation type="list" allowBlank="1" showInputMessage="1" showErrorMessage="1" sqref="JFN65541:JFN65564">
      <formula1>項目!A4:$JFG$65538</formula1>
    </dataValidation>
    <dataValidation type="list" allowBlank="1" showInputMessage="1" showErrorMessage="1" sqref="JPJ65541:JPJ65564">
      <formula1>項目!A4:$JPC$65538</formula1>
    </dataValidation>
    <dataValidation type="list" allowBlank="1" showInputMessage="1" showErrorMessage="1" sqref="JZF65541:JZF65564">
      <formula1>項目!A4:$JYY$65538</formula1>
    </dataValidation>
    <dataValidation type="list" allowBlank="1" showInputMessage="1" showErrorMessage="1" sqref="KJB65541:KJB65564">
      <formula1>項目!A4:$KIU$65538</formula1>
    </dataValidation>
    <dataValidation type="list" allowBlank="1" showInputMessage="1" showErrorMessage="1" sqref="KSX65541:KSX65564">
      <formula1>項目!A4:$KSQ$65538</formula1>
    </dataValidation>
    <dataValidation type="list" allowBlank="1" showInputMessage="1" showErrorMessage="1" sqref="LCT65541:LCT65564">
      <formula1>項目!A4:$LCM$65538</formula1>
    </dataValidation>
    <dataValidation type="list" allowBlank="1" showInputMessage="1" showErrorMessage="1" sqref="LMP65541:LMP65564">
      <formula1>項目!A4:$LMI$65538</formula1>
    </dataValidation>
    <dataValidation type="list" allowBlank="1" showInputMessage="1" showErrorMessage="1" sqref="LWL65541:LWL65564">
      <formula1>項目!A4:$LWE$65538</formula1>
    </dataValidation>
    <dataValidation type="list" allowBlank="1" showInputMessage="1" showErrorMessage="1" sqref="MGH65541:MGH65564">
      <formula1>項目!A4:$MGA$65538</formula1>
    </dataValidation>
    <dataValidation type="list" allowBlank="1" showInputMessage="1" showErrorMessage="1" sqref="MQD65541:MQD65564">
      <formula1>項目!A4:$MPW$65538</formula1>
    </dataValidation>
    <dataValidation type="list" allowBlank="1" showInputMessage="1" showErrorMessage="1" sqref="MZZ65541:MZZ65564">
      <formula1>項目!A4:$MZS$65538</formula1>
    </dataValidation>
    <dataValidation type="list" allowBlank="1" showInputMessage="1" showErrorMessage="1" sqref="NJV65541:NJV65564">
      <formula1>項目!A4:$NJO$65538</formula1>
    </dataValidation>
    <dataValidation type="list" allowBlank="1" showInputMessage="1" showErrorMessage="1" sqref="NTR65541:NTR65564">
      <formula1>項目!A4:$NTK$65538</formula1>
    </dataValidation>
    <dataValidation type="list" allowBlank="1" showInputMessage="1" showErrorMessage="1" sqref="ODN65541:ODN65564">
      <formula1>項目!A4:$ODG$65538</formula1>
    </dataValidation>
    <dataValidation type="list" allowBlank="1" showInputMessage="1" showErrorMessage="1" sqref="ONJ65541:ONJ65564">
      <formula1>項目!A4:$ONC$65538</formula1>
    </dataValidation>
    <dataValidation type="list" allowBlank="1" showInputMessage="1" showErrorMessage="1" sqref="OXF65541:OXF65564">
      <formula1>項目!A4:$OWY$65538</formula1>
    </dataValidation>
    <dataValidation type="list" allowBlank="1" showInputMessage="1" showErrorMessage="1" sqref="PHB65541:PHB65564">
      <formula1>項目!A4:$PGU$65538</formula1>
    </dataValidation>
    <dataValidation type="list" allowBlank="1" showInputMessage="1" showErrorMessage="1" sqref="PQX65541:PQX65564">
      <formula1>項目!A4:$PQQ$65538</formula1>
    </dataValidation>
    <dataValidation type="list" allowBlank="1" showInputMessage="1" showErrorMessage="1" sqref="QAT65541:QAT65564">
      <formula1>項目!A4:$QAM$65538</formula1>
    </dataValidation>
    <dataValidation type="list" allowBlank="1" showInputMessage="1" showErrorMessage="1" sqref="QKP65541:QKP65564">
      <formula1>項目!A4:$QKI$65538</formula1>
    </dataValidation>
    <dataValidation type="list" allowBlank="1" showInputMessage="1" showErrorMessage="1" sqref="QUL65541:QUL65564">
      <formula1>項目!A4:$QUE$65538</formula1>
    </dataValidation>
    <dataValidation type="list" allowBlank="1" showInputMessage="1" showErrorMessage="1" sqref="REH65541:REH65564">
      <formula1>項目!A4:$REA$65538</formula1>
    </dataValidation>
    <dataValidation type="list" allowBlank="1" showInputMessage="1" showErrorMessage="1" sqref="ROD65541:ROD65564">
      <formula1>項目!A4:$RNW$65538</formula1>
    </dataValidation>
    <dataValidation type="list" allowBlank="1" showInputMessage="1" showErrorMessage="1" sqref="RXZ65541:RXZ65564">
      <formula1>項目!A4:$RXS$65538</formula1>
    </dataValidation>
    <dataValidation type="list" allowBlank="1" showInputMessage="1" showErrorMessage="1" sqref="SHV65541:SHV65564">
      <formula1>項目!A4:$SHO$65538</formula1>
    </dataValidation>
    <dataValidation type="list" allowBlank="1" showInputMessage="1" showErrorMessage="1" sqref="SRR65541:SRR65564">
      <formula1>項目!A4:$SRK$65538</formula1>
    </dataValidation>
    <dataValidation type="list" allowBlank="1" showInputMessage="1" showErrorMessage="1" sqref="TBN65541:TBN65564">
      <formula1>項目!A4:$TBG$65538</formula1>
    </dataValidation>
    <dataValidation type="list" allowBlank="1" showInputMessage="1" showErrorMessage="1" sqref="TLJ65541:TLJ65564">
      <formula1>項目!A4:$TLC$65538</formula1>
    </dataValidation>
    <dataValidation type="list" allowBlank="1" showInputMessage="1" showErrorMessage="1" sqref="TVF65541:TVF65564">
      <formula1>項目!A4:$TUY$65538</formula1>
    </dataValidation>
    <dataValidation type="list" allowBlank="1" showInputMessage="1" showErrorMessage="1" sqref="UFB65541:UFB65564">
      <formula1>項目!A4:$UEU$65538</formula1>
    </dataValidation>
    <dataValidation type="list" allowBlank="1" showInputMessage="1" showErrorMessage="1" sqref="UOX65541:UOX65564">
      <formula1>項目!A4:$UOQ$65538</formula1>
    </dataValidation>
    <dataValidation type="list" allowBlank="1" showInputMessage="1" showErrorMessage="1" sqref="UYT65541:UYT65564">
      <formula1>項目!A4:$UYM$65538</formula1>
    </dataValidation>
    <dataValidation type="list" allowBlank="1" showInputMessage="1" showErrorMessage="1" sqref="VIP65541:VIP65564">
      <formula1>項目!A4:$VII$65538</formula1>
    </dataValidation>
    <dataValidation type="list" allowBlank="1" showInputMessage="1" showErrorMessage="1" sqref="VSL65541:VSL65564">
      <formula1>項目!A4:$VSE$65538</formula1>
    </dataValidation>
    <dataValidation type="list" allowBlank="1" showInputMessage="1" showErrorMessage="1" sqref="WCH65541:WCH65564">
      <formula1>項目!A4:$WCA$65538</formula1>
    </dataValidation>
    <dataValidation type="list" allowBlank="1" showInputMessage="1" showErrorMessage="1" sqref="WMD65541:WMD65564">
      <formula1>項目!A4:$WLW$65538</formula1>
    </dataValidation>
    <dataValidation type="list" allowBlank="1" showInputMessage="1" showErrorMessage="1" sqref="WVZ65541:WVZ65564">
      <formula1>項目!A4:$WVS$65538</formula1>
    </dataValidation>
    <dataValidation type="list" allowBlank="1" showInputMessage="1" showErrorMessage="1" sqref="R131077:R131100">
      <formula1>項目!A4:$K$131074</formula1>
    </dataValidation>
    <dataValidation type="list" allowBlank="1" showInputMessage="1" showErrorMessage="1" sqref="JN131077:JN131100">
      <formula1>項目!A4:$JG$131074</formula1>
    </dataValidation>
    <dataValidation type="list" allowBlank="1" showInputMessage="1" showErrorMessage="1" sqref="TJ131077:TJ131100">
      <formula1>項目!A4:$TC$131074</formula1>
    </dataValidation>
    <dataValidation type="list" allowBlank="1" showInputMessage="1" showErrorMessage="1" sqref="ADF131077:ADF131100">
      <formula1>項目!A4:$ACY$131074</formula1>
    </dataValidation>
    <dataValidation type="list" allowBlank="1" showInputMessage="1" showErrorMessage="1" sqref="ANB131077:ANB131100">
      <formula1>項目!A4:$AMU$131074</formula1>
    </dataValidation>
    <dataValidation type="list" allowBlank="1" showInputMessage="1" showErrorMessage="1" sqref="AWX131077:AWX131100">
      <formula1>項目!A4:$AWQ$131074</formula1>
    </dataValidation>
    <dataValidation type="list" allowBlank="1" showInputMessage="1" showErrorMessage="1" sqref="BGT131077:BGT131100">
      <formula1>項目!A4:$BGM$131074</formula1>
    </dataValidation>
    <dataValidation type="list" allowBlank="1" showInputMessage="1" showErrorMessage="1" sqref="BQP131077:BQP131100">
      <formula1>項目!A4:$BQI$131074</formula1>
    </dataValidation>
    <dataValidation type="list" allowBlank="1" showInputMessage="1" showErrorMessage="1" sqref="CAL131077:CAL131100">
      <formula1>項目!A4:$CAE$131074</formula1>
    </dataValidation>
    <dataValidation type="list" allowBlank="1" showInputMessage="1" showErrorMessage="1" sqref="CKH131077:CKH131100">
      <formula1>項目!A4:$CKA$131074</formula1>
    </dataValidation>
    <dataValidation type="list" allowBlank="1" showInputMessage="1" showErrorMessage="1" sqref="CUD131077:CUD131100">
      <formula1>項目!A4:$CTW$131074</formula1>
    </dataValidation>
    <dataValidation type="list" allowBlank="1" showInputMessage="1" showErrorMessage="1" sqref="DDZ131077:DDZ131100">
      <formula1>項目!A4:$DDS$131074</formula1>
    </dataValidation>
    <dataValidation type="list" allowBlank="1" showInputMessage="1" showErrorMessage="1" sqref="DNV131077:DNV131100">
      <formula1>項目!A4:$DNO$131074</formula1>
    </dataValidation>
    <dataValidation type="list" allowBlank="1" showInputMessage="1" showErrorMessage="1" sqref="DXR131077:DXR131100">
      <formula1>項目!A4:$DXK$131074</formula1>
    </dataValidation>
    <dataValidation type="list" allowBlank="1" showInputMessage="1" showErrorMessage="1" sqref="EHN131077:EHN131100">
      <formula1>項目!A4:$EHG$131074</formula1>
    </dataValidation>
    <dataValidation type="list" allowBlank="1" showInputMessage="1" showErrorMessage="1" sqref="ERJ131077:ERJ131100">
      <formula1>項目!A4:$ERC$131074</formula1>
    </dataValidation>
    <dataValidation type="list" allowBlank="1" showInputMessage="1" showErrorMessage="1" sqref="FBF131077:FBF131100">
      <formula1>項目!A4:$FAY$131074</formula1>
    </dataValidation>
    <dataValidation type="list" allowBlank="1" showInputMessage="1" showErrorMessage="1" sqref="FLB131077:FLB131100">
      <formula1>項目!A4:$FKU$131074</formula1>
    </dataValidation>
    <dataValidation type="list" allowBlank="1" showInputMessage="1" showErrorMessage="1" sqref="FUX131077:FUX131100">
      <formula1>項目!A4:$FUQ$131074</formula1>
    </dataValidation>
    <dataValidation type="list" allowBlank="1" showInputMessage="1" showErrorMessage="1" sqref="GET131077:GET131100">
      <formula1>項目!A4:$GEM$131074</formula1>
    </dataValidation>
    <dataValidation type="list" allowBlank="1" showInputMessage="1" showErrorMessage="1" sqref="GOP131077:GOP131100">
      <formula1>項目!A4:$GOI$131074</formula1>
    </dataValidation>
    <dataValidation type="list" allowBlank="1" showInputMessage="1" showErrorMessage="1" sqref="GYL131077:GYL131100">
      <formula1>項目!A4:$GYE$131074</formula1>
    </dataValidation>
    <dataValidation type="list" allowBlank="1" showInputMessage="1" showErrorMessage="1" sqref="HIH131077:HIH131100">
      <formula1>項目!A4:$HIA$131074</formula1>
    </dataValidation>
    <dataValidation type="list" allowBlank="1" showInputMessage="1" showErrorMessage="1" sqref="HSD131077:HSD131100">
      <formula1>項目!A4:$HRW$131074</formula1>
    </dataValidation>
    <dataValidation type="list" allowBlank="1" showInputMessage="1" showErrorMessage="1" sqref="IBZ131077:IBZ131100">
      <formula1>項目!A4:$IBS$131074</formula1>
    </dataValidation>
    <dataValidation type="list" allowBlank="1" showInputMessage="1" showErrorMessage="1" sqref="ILV131077:ILV131100">
      <formula1>項目!A4:$ILO$131074</formula1>
    </dataValidation>
    <dataValidation type="list" allowBlank="1" showInputMessage="1" showErrorMessage="1" sqref="IVR131077:IVR131100">
      <formula1>項目!A4:$IVK$131074</formula1>
    </dataValidation>
    <dataValidation type="list" allowBlank="1" showInputMessage="1" showErrorMessage="1" sqref="JFN131077:JFN131100">
      <formula1>項目!A4:$JFG$131074</formula1>
    </dataValidation>
    <dataValidation type="list" allowBlank="1" showInputMessage="1" showErrorMessage="1" sqref="JPJ131077:JPJ131100">
      <formula1>項目!A4:$JPC$131074</formula1>
    </dataValidation>
    <dataValidation type="list" allowBlank="1" showInputMessage="1" showErrorMessage="1" sqref="JZF131077:JZF131100">
      <formula1>項目!A4:$JYY$131074</formula1>
    </dataValidation>
    <dataValidation type="list" allowBlank="1" showInputMessage="1" showErrorMessage="1" sqref="KJB131077:KJB131100">
      <formula1>項目!A4:$KIU$131074</formula1>
    </dataValidation>
    <dataValidation type="list" allowBlank="1" showInputMessage="1" showErrorMessage="1" sqref="KSX131077:KSX131100">
      <formula1>項目!A4:$KSQ$131074</formula1>
    </dataValidation>
    <dataValidation type="list" allowBlank="1" showInputMessage="1" showErrorMessage="1" sqref="LCT131077:LCT131100">
      <formula1>項目!A4:$LCM$131074</formula1>
    </dataValidation>
    <dataValidation type="list" allowBlank="1" showInputMessage="1" showErrorMessage="1" sqref="LMP131077:LMP131100">
      <formula1>項目!A4:$LMI$131074</formula1>
    </dataValidation>
    <dataValidation type="list" allowBlank="1" showInputMessage="1" showErrorMessage="1" sqref="LWL131077:LWL131100">
      <formula1>項目!A4:$LWE$131074</formula1>
    </dataValidation>
    <dataValidation type="list" allowBlank="1" showInputMessage="1" showErrorMessage="1" sqref="MGH131077:MGH131100">
      <formula1>項目!A4:$MGA$131074</formula1>
    </dataValidation>
    <dataValidation type="list" allowBlank="1" showInputMessage="1" showErrorMessage="1" sqref="MQD131077:MQD131100">
      <formula1>項目!A4:$MPW$131074</formula1>
    </dataValidation>
    <dataValidation type="list" allowBlank="1" showInputMessage="1" showErrorMessage="1" sqref="MZZ131077:MZZ131100">
      <formula1>項目!A4:$MZS$131074</formula1>
    </dataValidation>
    <dataValidation type="list" allowBlank="1" showInputMessage="1" showErrorMessage="1" sqref="NJV131077:NJV131100">
      <formula1>項目!A4:$NJO$131074</formula1>
    </dataValidation>
    <dataValidation type="list" allowBlank="1" showInputMessage="1" showErrorMessage="1" sqref="NTR131077:NTR131100">
      <formula1>項目!A4:$NTK$131074</formula1>
    </dataValidation>
    <dataValidation type="list" allowBlank="1" showInputMessage="1" showErrorMessage="1" sqref="ODN131077:ODN131100">
      <formula1>項目!A4:$ODG$131074</formula1>
    </dataValidation>
    <dataValidation type="list" allowBlank="1" showInputMessage="1" showErrorMessage="1" sqref="ONJ131077:ONJ131100">
      <formula1>項目!A4:$ONC$131074</formula1>
    </dataValidation>
    <dataValidation type="list" allowBlank="1" showInputMessage="1" showErrorMessage="1" sqref="OXF131077:OXF131100">
      <formula1>項目!A4:$OWY$131074</formula1>
    </dataValidation>
    <dataValidation type="list" allowBlank="1" showInputMessage="1" showErrorMessage="1" sqref="PHB131077:PHB131100">
      <formula1>項目!A4:$PGU$131074</formula1>
    </dataValidation>
    <dataValidation type="list" allowBlank="1" showInputMessage="1" showErrorMessage="1" sqref="PQX131077:PQX131100">
      <formula1>項目!A4:$PQQ$131074</formula1>
    </dataValidation>
    <dataValidation type="list" allowBlank="1" showInputMessage="1" showErrorMessage="1" sqref="QAT131077:QAT131100">
      <formula1>項目!A4:$QAM$131074</formula1>
    </dataValidation>
    <dataValidation type="list" allowBlank="1" showInputMessage="1" showErrorMessage="1" sqref="QKP131077:QKP131100">
      <formula1>項目!A4:$QKI$131074</formula1>
    </dataValidation>
    <dataValidation type="list" allowBlank="1" showInputMessage="1" showErrorMessage="1" sqref="QUL131077:QUL131100">
      <formula1>項目!A4:$QUE$131074</formula1>
    </dataValidation>
    <dataValidation type="list" allowBlank="1" showInputMessage="1" showErrorMessage="1" sqref="REH131077:REH131100">
      <formula1>項目!A4:$REA$131074</formula1>
    </dataValidation>
    <dataValidation type="list" allowBlank="1" showInputMessage="1" showErrorMessage="1" sqref="ROD131077:ROD131100">
      <formula1>項目!A4:$RNW$131074</formula1>
    </dataValidation>
    <dataValidation type="list" allowBlank="1" showInputMessage="1" showErrorMessage="1" sqref="RXZ131077:RXZ131100">
      <formula1>項目!A4:$RXS$131074</formula1>
    </dataValidation>
    <dataValidation type="list" allowBlank="1" showInputMessage="1" showErrorMessage="1" sqref="SHV131077:SHV131100">
      <formula1>項目!A4:$SHO$131074</formula1>
    </dataValidation>
    <dataValidation type="list" allowBlank="1" showInputMessage="1" showErrorMessage="1" sqref="SRR131077:SRR131100">
      <formula1>項目!A4:$SRK$131074</formula1>
    </dataValidation>
    <dataValidation type="list" allowBlank="1" showInputMessage="1" showErrorMessage="1" sqref="TBN131077:TBN131100">
      <formula1>項目!A4:$TBG$131074</formula1>
    </dataValidation>
    <dataValidation type="list" allowBlank="1" showInputMessage="1" showErrorMessage="1" sqref="TLJ131077:TLJ131100">
      <formula1>項目!A4:$TLC$131074</formula1>
    </dataValidation>
    <dataValidation type="list" allowBlank="1" showInputMessage="1" showErrorMessage="1" sqref="TVF131077:TVF131100">
      <formula1>項目!A4:$TUY$131074</formula1>
    </dataValidation>
    <dataValidation type="list" allowBlank="1" showInputMessage="1" showErrorMessage="1" sqref="UFB131077:UFB131100">
      <formula1>項目!A4:$UEU$131074</formula1>
    </dataValidation>
    <dataValidation type="list" allowBlank="1" showInputMessage="1" showErrorMessage="1" sqref="UOX131077:UOX131100">
      <formula1>項目!A4:$UOQ$131074</formula1>
    </dataValidation>
    <dataValidation type="list" allowBlank="1" showInputMessage="1" showErrorMessage="1" sqref="UYT131077:UYT131100">
      <formula1>項目!A4:$UYM$131074</formula1>
    </dataValidation>
    <dataValidation type="list" allowBlank="1" showInputMessage="1" showErrorMessage="1" sqref="VIP131077:VIP131100">
      <formula1>項目!A4:$VII$131074</formula1>
    </dataValidation>
    <dataValidation type="list" allowBlank="1" showInputMessage="1" showErrorMessage="1" sqref="VSL131077:VSL131100">
      <formula1>項目!A4:$VSE$131074</formula1>
    </dataValidation>
    <dataValidation type="list" allowBlank="1" showInputMessage="1" showErrorMessage="1" sqref="WCH131077:WCH131100">
      <formula1>項目!A4:$WCA$131074</formula1>
    </dataValidation>
    <dataValidation type="list" allowBlank="1" showInputMessage="1" showErrorMessage="1" sqref="WMD131077:WMD131100">
      <formula1>項目!A4:$WLW$131074</formula1>
    </dataValidation>
    <dataValidation type="list" allowBlank="1" showInputMessage="1" showErrorMessage="1" sqref="WVZ131077:WVZ131100">
      <formula1>項目!A4:$WVS$131074</formula1>
    </dataValidation>
    <dataValidation type="list" allowBlank="1" showInputMessage="1" showErrorMessage="1" sqref="R196613:R196636">
      <formula1>項目!A4:$K$196610</formula1>
    </dataValidation>
    <dataValidation type="list" allowBlank="1" showInputMessage="1" showErrorMessage="1" sqref="JN196613:JN196636">
      <formula1>項目!A4:$JG$196610</formula1>
    </dataValidation>
    <dataValidation type="list" allowBlank="1" showInputMessage="1" showErrorMessage="1" sqref="TJ196613:TJ196636">
      <formula1>項目!A4:$TC$196610</formula1>
    </dataValidation>
    <dataValidation type="list" allowBlank="1" showInputMessage="1" showErrorMessage="1" sqref="ADF196613:ADF196636">
      <formula1>項目!A4:$ACY$196610</formula1>
    </dataValidation>
    <dataValidation type="list" allowBlank="1" showInputMessage="1" showErrorMessage="1" sqref="ANB196613:ANB196636">
      <formula1>項目!A4:$AMU$196610</formula1>
    </dataValidation>
    <dataValidation type="list" allowBlank="1" showInputMessage="1" showErrorMessage="1" sqref="AWX196613:AWX196636">
      <formula1>項目!A4:$AWQ$196610</formula1>
    </dataValidation>
    <dataValidation type="list" allowBlank="1" showInputMessage="1" showErrorMessage="1" sqref="BGT196613:BGT196636">
      <formula1>項目!A4:$BGM$196610</formula1>
    </dataValidation>
    <dataValidation type="list" allowBlank="1" showInputMessage="1" showErrorMessage="1" sqref="BQP196613:BQP196636">
      <formula1>項目!A4:$BQI$196610</formula1>
    </dataValidation>
    <dataValidation type="list" allowBlank="1" showInputMessage="1" showErrorMessage="1" sqref="CAL196613:CAL196636">
      <formula1>項目!A4:$CAE$196610</formula1>
    </dataValidation>
    <dataValidation type="list" allowBlank="1" showInputMessage="1" showErrorMessage="1" sqref="CKH196613:CKH196636">
      <formula1>項目!A4:$CKA$196610</formula1>
    </dataValidation>
    <dataValidation type="list" allowBlank="1" showInputMessage="1" showErrorMessage="1" sqref="CUD196613:CUD196636">
      <formula1>項目!A4:$CTW$196610</formula1>
    </dataValidation>
    <dataValidation type="list" allowBlank="1" showInputMessage="1" showErrorMessage="1" sqref="DDZ196613:DDZ196636">
      <formula1>項目!A4:$DDS$196610</formula1>
    </dataValidation>
    <dataValidation type="list" allowBlank="1" showInputMessage="1" showErrorMessage="1" sqref="DNV196613:DNV196636">
      <formula1>項目!A4:$DNO$196610</formula1>
    </dataValidation>
    <dataValidation type="list" allowBlank="1" showInputMessage="1" showErrorMessage="1" sqref="DXR196613:DXR196636">
      <formula1>項目!A4:$DXK$196610</formula1>
    </dataValidation>
    <dataValidation type="list" allowBlank="1" showInputMessage="1" showErrorMessage="1" sqref="EHN196613:EHN196636">
      <formula1>項目!A4:$EHG$196610</formula1>
    </dataValidation>
    <dataValidation type="list" allowBlank="1" showInputMessage="1" showErrorMessage="1" sqref="ERJ196613:ERJ196636">
      <formula1>項目!A4:$ERC$196610</formula1>
    </dataValidation>
    <dataValidation type="list" allowBlank="1" showInputMessage="1" showErrorMessage="1" sqref="FBF196613:FBF196636">
      <formula1>項目!A4:$FAY$196610</formula1>
    </dataValidation>
    <dataValidation type="list" allowBlank="1" showInputMessage="1" showErrorMessage="1" sqref="FLB196613:FLB196636">
      <formula1>項目!A4:$FKU$196610</formula1>
    </dataValidation>
    <dataValidation type="list" allowBlank="1" showInputMessage="1" showErrorMessage="1" sqref="FUX196613:FUX196636">
      <formula1>項目!A4:$FUQ$196610</formula1>
    </dataValidation>
    <dataValidation type="list" allowBlank="1" showInputMessage="1" showErrorMessage="1" sqref="GET196613:GET196636">
      <formula1>項目!A4:$GEM$196610</formula1>
    </dataValidation>
    <dataValidation type="list" allowBlank="1" showInputMessage="1" showErrorMessage="1" sqref="GOP196613:GOP196636">
      <formula1>項目!A4:$GOI$196610</formula1>
    </dataValidation>
    <dataValidation type="list" allowBlank="1" showInputMessage="1" showErrorMessage="1" sqref="GYL196613:GYL196636">
      <formula1>項目!A4:$GYE$196610</formula1>
    </dataValidation>
    <dataValidation type="list" allowBlank="1" showInputMessage="1" showErrorMessage="1" sqref="HIH196613:HIH196636">
      <formula1>項目!A4:$HIA$196610</formula1>
    </dataValidation>
    <dataValidation type="list" allowBlank="1" showInputMessage="1" showErrorMessage="1" sqref="HSD196613:HSD196636">
      <formula1>項目!A4:$HRW$196610</formula1>
    </dataValidation>
    <dataValidation type="list" allowBlank="1" showInputMessage="1" showErrorMessage="1" sqref="IBZ196613:IBZ196636">
      <formula1>項目!A4:$IBS$196610</formula1>
    </dataValidation>
    <dataValidation type="list" allowBlank="1" showInputMessage="1" showErrorMessage="1" sqref="ILV196613:ILV196636">
      <formula1>項目!A4:$ILO$196610</formula1>
    </dataValidation>
    <dataValidation type="list" allowBlank="1" showInputMessage="1" showErrorMessage="1" sqref="IVR196613:IVR196636">
      <formula1>項目!A4:$IVK$196610</formula1>
    </dataValidation>
    <dataValidation type="list" allowBlank="1" showInputMessage="1" showErrorMessage="1" sqref="JFN196613:JFN196636">
      <formula1>項目!A4:$JFG$196610</formula1>
    </dataValidation>
    <dataValidation type="list" allowBlank="1" showInputMessage="1" showErrorMessage="1" sqref="JPJ196613:JPJ196636">
      <formula1>項目!A4:$JPC$196610</formula1>
    </dataValidation>
    <dataValidation type="list" allowBlank="1" showInputMessage="1" showErrorMessage="1" sqref="JZF196613:JZF196636">
      <formula1>項目!A4:$JYY$196610</formula1>
    </dataValidation>
    <dataValidation type="list" allowBlank="1" showInputMessage="1" showErrorMessage="1" sqref="KJB196613:KJB196636">
      <formula1>項目!A4:$KIU$196610</formula1>
    </dataValidation>
    <dataValidation type="list" allowBlank="1" showInputMessage="1" showErrorMessage="1" sqref="KSX196613:KSX196636">
      <formula1>項目!A4:$KSQ$196610</formula1>
    </dataValidation>
    <dataValidation type="list" allowBlank="1" showInputMessage="1" showErrorMessage="1" sqref="LCT196613:LCT196636">
      <formula1>項目!A4:$LCM$196610</formula1>
    </dataValidation>
    <dataValidation type="list" allowBlank="1" showInputMessage="1" showErrorMessage="1" sqref="LMP196613:LMP196636">
      <formula1>項目!A4:$LMI$196610</formula1>
    </dataValidation>
    <dataValidation type="list" allowBlank="1" showInputMessage="1" showErrorMessage="1" sqref="LWL196613:LWL196636">
      <formula1>項目!A4:$LWE$196610</formula1>
    </dataValidation>
    <dataValidation type="list" allowBlank="1" showInputMessage="1" showErrorMessage="1" sqref="MGH196613:MGH196636">
      <formula1>項目!A4:$MGA$196610</formula1>
    </dataValidation>
    <dataValidation type="list" allowBlank="1" showInputMessage="1" showErrorMessage="1" sqref="MQD196613:MQD196636">
      <formula1>項目!A4:$MPW$196610</formula1>
    </dataValidation>
    <dataValidation type="list" allowBlank="1" showInputMessage="1" showErrorMessage="1" sqref="MZZ196613:MZZ196636">
      <formula1>項目!A4:$MZS$196610</formula1>
    </dataValidation>
    <dataValidation type="list" allowBlank="1" showInputMessage="1" showErrorMessage="1" sqref="NJV196613:NJV196636">
      <formula1>項目!A4:$NJO$196610</formula1>
    </dataValidation>
    <dataValidation type="list" allowBlank="1" showInputMessage="1" showErrorMessage="1" sqref="NTR196613:NTR196636">
      <formula1>項目!A4:$NTK$196610</formula1>
    </dataValidation>
    <dataValidation type="list" allowBlank="1" showInputMessage="1" showErrorMessage="1" sqref="ODN196613:ODN196636">
      <formula1>項目!A4:$ODG$196610</formula1>
    </dataValidation>
    <dataValidation type="list" allowBlank="1" showInputMessage="1" showErrorMessage="1" sqref="ONJ196613:ONJ196636">
      <formula1>項目!A4:$ONC$196610</formula1>
    </dataValidation>
    <dataValidation type="list" allowBlank="1" showInputMessage="1" showErrorMessage="1" sqref="OXF196613:OXF196636">
      <formula1>項目!A4:$OWY$196610</formula1>
    </dataValidation>
    <dataValidation type="list" allowBlank="1" showInputMessage="1" showErrorMessage="1" sqref="PHB196613:PHB196636">
      <formula1>項目!A4:$PGU$196610</formula1>
    </dataValidation>
    <dataValidation type="list" allowBlank="1" showInputMessage="1" showErrorMessage="1" sqref="PQX196613:PQX196636">
      <formula1>項目!A4:$PQQ$196610</formula1>
    </dataValidation>
    <dataValidation type="list" allowBlank="1" showInputMessage="1" showErrorMessage="1" sqref="QAT196613:QAT196636">
      <formula1>項目!A4:$QAM$196610</formula1>
    </dataValidation>
    <dataValidation type="list" allowBlank="1" showInputMessage="1" showErrorMessage="1" sqref="QKP196613:QKP196636">
      <formula1>項目!A4:$QKI$196610</formula1>
    </dataValidation>
    <dataValidation type="list" allowBlank="1" showInputMessage="1" showErrorMessage="1" sqref="QUL196613:QUL196636">
      <formula1>項目!A4:$QUE$196610</formula1>
    </dataValidation>
    <dataValidation type="list" allowBlank="1" showInputMessage="1" showErrorMessage="1" sqref="REH196613:REH196636">
      <formula1>項目!A4:$REA$196610</formula1>
    </dataValidation>
    <dataValidation type="list" allowBlank="1" showInputMessage="1" showErrorMessage="1" sqref="ROD196613:ROD196636">
      <formula1>項目!A4:$RNW$196610</formula1>
    </dataValidation>
    <dataValidation type="list" allowBlank="1" showInputMessage="1" showErrorMessage="1" sqref="RXZ196613:RXZ196636">
      <formula1>項目!A4:$RXS$196610</formula1>
    </dataValidation>
    <dataValidation type="list" allowBlank="1" showInputMessage="1" showErrorMessage="1" sqref="SHV196613:SHV196636">
      <formula1>項目!A4:$SHO$196610</formula1>
    </dataValidation>
    <dataValidation type="list" allowBlank="1" showInputMessage="1" showErrorMessage="1" sqref="SRR196613:SRR196636">
      <formula1>項目!A4:$SRK$196610</formula1>
    </dataValidation>
    <dataValidation type="list" allowBlank="1" showInputMessage="1" showErrorMessage="1" sqref="TBN196613:TBN196636">
      <formula1>項目!A4:$TBG$196610</formula1>
    </dataValidation>
    <dataValidation type="list" allowBlank="1" showInputMessage="1" showErrorMessage="1" sqref="TLJ196613:TLJ196636">
      <formula1>項目!A4:$TLC$196610</formula1>
    </dataValidation>
    <dataValidation type="list" allowBlank="1" showInputMessage="1" showErrorMessage="1" sqref="TVF196613:TVF196636">
      <formula1>項目!A4:$TUY$196610</formula1>
    </dataValidation>
    <dataValidation type="list" allowBlank="1" showInputMessage="1" showErrorMessage="1" sqref="UFB196613:UFB196636">
      <formula1>項目!A4:$UEU$196610</formula1>
    </dataValidation>
    <dataValidation type="list" allowBlank="1" showInputMessage="1" showErrorMessage="1" sqref="UOX196613:UOX196636">
      <formula1>項目!A4:$UOQ$196610</formula1>
    </dataValidation>
    <dataValidation type="list" allowBlank="1" showInputMessage="1" showErrorMessage="1" sqref="UYT196613:UYT196636">
      <formula1>項目!A4:$UYM$196610</formula1>
    </dataValidation>
    <dataValidation type="list" allowBlank="1" showInputMessage="1" showErrorMessage="1" sqref="VIP196613:VIP196636">
      <formula1>項目!A4:$VII$196610</formula1>
    </dataValidation>
    <dataValidation type="list" allowBlank="1" showInputMessage="1" showErrorMessage="1" sqref="VSL196613:VSL196636">
      <formula1>項目!A4:$VSE$196610</formula1>
    </dataValidation>
    <dataValidation type="list" allowBlank="1" showInputMessage="1" showErrorMessage="1" sqref="WCH196613:WCH196636">
      <formula1>項目!A4:$WCA$196610</formula1>
    </dataValidation>
    <dataValidation type="list" allowBlank="1" showInputMessage="1" showErrorMessage="1" sqref="WMD196613:WMD196636">
      <formula1>項目!A4:$WLW$196610</formula1>
    </dataValidation>
    <dataValidation type="list" allowBlank="1" showInputMessage="1" showErrorMessage="1" sqref="WVZ196613:WVZ196636">
      <formula1>項目!A4:$WVS$196610</formula1>
    </dataValidation>
    <dataValidation type="list" allowBlank="1" showInputMessage="1" showErrorMessage="1" sqref="R262149:R262172">
      <formula1>項目!A4:$K$262146</formula1>
    </dataValidation>
    <dataValidation type="list" allowBlank="1" showInputMessage="1" showErrorMessage="1" sqref="JN262149:JN262172">
      <formula1>項目!A4:$JG$262146</formula1>
    </dataValidation>
    <dataValidation type="list" allowBlank="1" showInputMessage="1" showErrorMessage="1" sqref="TJ262149:TJ262172">
      <formula1>項目!A4:$TC$262146</formula1>
    </dataValidation>
    <dataValidation type="list" allowBlank="1" showInputMessage="1" showErrorMessage="1" sqref="ADF262149:ADF262172">
      <formula1>項目!A4:$ACY$262146</formula1>
    </dataValidation>
    <dataValidation type="list" allowBlank="1" showInputMessage="1" showErrorMessage="1" sqref="ANB262149:ANB262172">
      <formula1>項目!A4:$AMU$262146</formula1>
    </dataValidation>
    <dataValidation type="list" allowBlank="1" showInputMessage="1" showErrorMessage="1" sqref="AWX262149:AWX262172">
      <formula1>項目!A4:$AWQ$262146</formula1>
    </dataValidation>
    <dataValidation type="list" allowBlank="1" showInputMessage="1" showErrorMessage="1" sqref="BGT262149:BGT262172">
      <formula1>項目!A4:$BGM$262146</formula1>
    </dataValidation>
    <dataValidation type="list" allowBlank="1" showInputMessage="1" showErrorMessage="1" sqref="BQP262149:BQP262172">
      <formula1>項目!A4:$BQI$262146</formula1>
    </dataValidation>
    <dataValidation type="list" allowBlank="1" showInputMessage="1" showErrorMessage="1" sqref="CAL262149:CAL262172">
      <formula1>項目!A4:$CAE$262146</formula1>
    </dataValidation>
    <dataValidation type="list" allowBlank="1" showInputMessage="1" showErrorMessage="1" sqref="CKH262149:CKH262172">
      <formula1>項目!A4:$CKA$262146</formula1>
    </dataValidation>
    <dataValidation type="list" allowBlank="1" showInputMessage="1" showErrorMessage="1" sqref="CUD262149:CUD262172">
      <formula1>項目!A4:$CTW$262146</formula1>
    </dataValidation>
    <dataValidation type="list" allowBlank="1" showInputMessage="1" showErrorMessage="1" sqref="DDZ262149:DDZ262172">
      <formula1>項目!A4:$DDS$262146</formula1>
    </dataValidation>
    <dataValidation type="list" allowBlank="1" showInputMessage="1" showErrorMessage="1" sqref="DNV262149:DNV262172">
      <formula1>項目!A4:$DNO$262146</formula1>
    </dataValidation>
    <dataValidation type="list" allowBlank="1" showInputMessage="1" showErrorMessage="1" sqref="DXR262149:DXR262172">
      <formula1>項目!A4:$DXK$262146</formula1>
    </dataValidation>
    <dataValidation type="list" allowBlank="1" showInputMessage="1" showErrorMessage="1" sqref="EHN262149:EHN262172">
      <formula1>項目!A4:$EHG$262146</formula1>
    </dataValidation>
    <dataValidation type="list" allowBlank="1" showInputMessage="1" showErrorMessage="1" sqref="ERJ262149:ERJ262172">
      <formula1>項目!A4:$ERC$262146</formula1>
    </dataValidation>
    <dataValidation type="list" allowBlank="1" showInputMessage="1" showErrorMessage="1" sqref="FBF262149:FBF262172">
      <formula1>項目!A4:$FAY$262146</formula1>
    </dataValidation>
    <dataValidation type="list" allowBlank="1" showInputMessage="1" showErrorMessage="1" sqref="FLB262149:FLB262172">
      <formula1>項目!A4:$FKU$262146</formula1>
    </dataValidation>
    <dataValidation type="list" allowBlank="1" showInputMessage="1" showErrorMessage="1" sqref="FUX262149:FUX262172">
      <formula1>項目!A4:$FUQ$262146</formula1>
    </dataValidation>
    <dataValidation type="list" allowBlank="1" showInputMessage="1" showErrorMessage="1" sqref="GET262149:GET262172">
      <formula1>項目!A4:$GEM$262146</formula1>
    </dataValidation>
    <dataValidation type="list" allowBlank="1" showInputMessage="1" showErrorMessage="1" sqref="GOP262149:GOP262172">
      <formula1>項目!A4:$GOI$262146</formula1>
    </dataValidation>
    <dataValidation type="list" allowBlank="1" showInputMessage="1" showErrorMessage="1" sqref="GYL262149:GYL262172">
      <formula1>項目!A4:$GYE$262146</formula1>
    </dataValidation>
    <dataValidation type="list" allowBlank="1" showInputMessage="1" showErrorMessage="1" sqref="HIH262149:HIH262172">
      <formula1>項目!A4:$HIA$262146</formula1>
    </dataValidation>
    <dataValidation type="list" allowBlank="1" showInputMessage="1" showErrorMessage="1" sqref="HSD262149:HSD262172">
      <formula1>項目!A4:$HRW$262146</formula1>
    </dataValidation>
    <dataValidation type="list" allowBlank="1" showInputMessage="1" showErrorMessage="1" sqref="IBZ262149:IBZ262172">
      <formula1>項目!A4:$IBS$262146</formula1>
    </dataValidation>
    <dataValidation type="list" allowBlank="1" showInputMessage="1" showErrorMessage="1" sqref="ILV262149:ILV262172">
      <formula1>項目!A4:$ILO$262146</formula1>
    </dataValidation>
    <dataValidation type="list" allowBlank="1" showInputMessage="1" showErrorMessage="1" sqref="IVR262149:IVR262172">
      <formula1>項目!A4:$IVK$262146</formula1>
    </dataValidation>
    <dataValidation type="list" allowBlank="1" showInputMessage="1" showErrorMessage="1" sqref="JFN262149:JFN262172">
      <formula1>項目!A4:$JFG$262146</formula1>
    </dataValidation>
    <dataValidation type="list" allowBlank="1" showInputMessage="1" showErrorMessage="1" sqref="JPJ262149:JPJ262172">
      <formula1>項目!A4:$JPC$262146</formula1>
    </dataValidation>
    <dataValidation type="list" allowBlank="1" showInputMessage="1" showErrorMessage="1" sqref="JZF262149:JZF262172">
      <formula1>項目!A4:$JYY$262146</formula1>
    </dataValidation>
    <dataValidation type="list" allowBlank="1" showInputMessage="1" showErrorMessage="1" sqref="KJB262149:KJB262172">
      <formula1>項目!A4:$KIU$262146</formula1>
    </dataValidation>
    <dataValidation type="list" allowBlank="1" showInputMessage="1" showErrorMessage="1" sqref="KSX262149:KSX262172">
      <formula1>項目!A4:$KSQ$262146</formula1>
    </dataValidation>
    <dataValidation type="list" allowBlank="1" showInputMessage="1" showErrorMessage="1" sqref="LCT262149:LCT262172">
      <formula1>項目!A4:$LCM$262146</formula1>
    </dataValidation>
    <dataValidation type="list" allowBlank="1" showInputMessage="1" showErrorMessage="1" sqref="LMP262149:LMP262172">
      <formula1>項目!A4:$LMI$262146</formula1>
    </dataValidation>
    <dataValidation type="list" allowBlank="1" showInputMessage="1" showErrorMessage="1" sqref="LWL262149:LWL262172">
      <formula1>項目!A4:$LWE$262146</formula1>
    </dataValidation>
    <dataValidation type="list" allowBlank="1" showInputMessage="1" showErrorMessage="1" sqref="MGH262149:MGH262172">
      <formula1>項目!A4:$MGA$262146</formula1>
    </dataValidation>
    <dataValidation type="list" allowBlank="1" showInputMessage="1" showErrorMessage="1" sqref="MQD262149:MQD262172">
      <formula1>項目!A4:$MPW$262146</formula1>
    </dataValidation>
    <dataValidation type="list" allowBlank="1" showInputMessage="1" showErrorMessage="1" sqref="MZZ262149:MZZ262172">
      <formula1>項目!A4:$MZS$262146</formula1>
    </dataValidation>
    <dataValidation type="list" allowBlank="1" showInputMessage="1" showErrorMessage="1" sqref="NJV262149:NJV262172">
      <formula1>項目!A4:$NJO$262146</formula1>
    </dataValidation>
    <dataValidation type="list" allowBlank="1" showInputMessage="1" showErrorMessage="1" sqref="NTR262149:NTR262172">
      <formula1>項目!A4:$NTK$262146</formula1>
    </dataValidation>
    <dataValidation type="list" allowBlank="1" showInputMessage="1" showErrorMessage="1" sqref="ODN262149:ODN262172">
      <formula1>項目!A4:$ODG$262146</formula1>
    </dataValidation>
    <dataValidation type="list" allowBlank="1" showInputMessage="1" showErrorMessage="1" sqref="ONJ262149:ONJ262172">
      <formula1>項目!A4:$ONC$262146</formula1>
    </dataValidation>
    <dataValidation type="list" allowBlank="1" showInputMessage="1" showErrorMessage="1" sqref="OXF262149:OXF262172">
      <formula1>項目!A4:$OWY$262146</formula1>
    </dataValidation>
    <dataValidation type="list" allowBlank="1" showInputMessage="1" showErrorMessage="1" sqref="PHB262149:PHB262172">
      <formula1>項目!A4:$PGU$262146</formula1>
    </dataValidation>
    <dataValidation type="list" allowBlank="1" showInputMessage="1" showErrorMessage="1" sqref="PQX262149:PQX262172">
      <formula1>項目!A4:$PQQ$262146</formula1>
    </dataValidation>
    <dataValidation type="list" allowBlank="1" showInputMessage="1" showErrorMessage="1" sqref="QAT262149:QAT262172">
      <formula1>項目!A4:$QAM$262146</formula1>
    </dataValidation>
    <dataValidation type="list" allowBlank="1" showInputMessage="1" showErrorMessage="1" sqref="QKP262149:QKP262172">
      <formula1>項目!A4:$QKI$262146</formula1>
    </dataValidation>
    <dataValidation type="list" allowBlank="1" showInputMessage="1" showErrorMessage="1" sqref="QUL262149:QUL262172">
      <formula1>項目!A4:$QUE$262146</formula1>
    </dataValidation>
    <dataValidation type="list" allowBlank="1" showInputMessage="1" showErrorMessage="1" sqref="REH262149:REH262172">
      <formula1>項目!A4:$REA$262146</formula1>
    </dataValidation>
    <dataValidation type="list" allowBlank="1" showInputMessage="1" showErrorMessage="1" sqref="ROD262149:ROD262172">
      <formula1>項目!A4:$RNW$262146</formula1>
    </dataValidation>
    <dataValidation type="list" allowBlank="1" showInputMessage="1" showErrorMessage="1" sqref="RXZ262149:RXZ262172">
      <formula1>項目!A4:$RXS$262146</formula1>
    </dataValidation>
    <dataValidation type="list" allowBlank="1" showInputMessage="1" showErrorMessage="1" sqref="SHV262149:SHV262172">
      <formula1>項目!A4:$SHO$262146</formula1>
    </dataValidation>
    <dataValidation type="list" allowBlank="1" showInputMessage="1" showErrorMessage="1" sqref="SRR262149:SRR262172">
      <formula1>項目!A4:$SRK$262146</formula1>
    </dataValidation>
    <dataValidation type="list" allowBlank="1" showInputMessage="1" showErrorMessage="1" sqref="TBN262149:TBN262172">
      <formula1>項目!A4:$TBG$262146</formula1>
    </dataValidation>
    <dataValidation type="list" allowBlank="1" showInputMessage="1" showErrorMessage="1" sqref="TLJ262149:TLJ262172">
      <formula1>項目!A4:$TLC$262146</formula1>
    </dataValidation>
    <dataValidation type="list" allowBlank="1" showInputMessage="1" showErrorMessage="1" sqref="TVF262149:TVF262172">
      <formula1>項目!A4:$TUY$262146</formula1>
    </dataValidation>
    <dataValidation type="list" allowBlank="1" showInputMessage="1" showErrorMessage="1" sqref="UFB262149:UFB262172">
      <formula1>項目!A4:$UEU$262146</formula1>
    </dataValidation>
    <dataValidation type="list" allowBlank="1" showInputMessage="1" showErrorMessage="1" sqref="UOX262149:UOX262172">
      <formula1>項目!A4:$UOQ$262146</formula1>
    </dataValidation>
    <dataValidation type="list" allowBlank="1" showInputMessage="1" showErrorMessage="1" sqref="UYT262149:UYT262172">
      <formula1>項目!A4:$UYM$262146</formula1>
    </dataValidation>
    <dataValidation type="list" allowBlank="1" showInputMessage="1" showErrorMessage="1" sqref="VIP262149:VIP262172">
      <formula1>項目!A4:$VII$262146</formula1>
    </dataValidation>
    <dataValidation type="list" allowBlank="1" showInputMessage="1" showErrorMessage="1" sqref="VSL262149:VSL262172">
      <formula1>項目!A4:$VSE$262146</formula1>
    </dataValidation>
    <dataValidation type="list" allowBlank="1" showInputMessage="1" showErrorMessage="1" sqref="WCH262149:WCH262172">
      <formula1>項目!A4:$WCA$262146</formula1>
    </dataValidation>
    <dataValidation type="list" allowBlank="1" showInputMessage="1" showErrorMessage="1" sqref="WMD262149:WMD262172">
      <formula1>項目!A4:$WLW$262146</formula1>
    </dataValidation>
    <dataValidation type="list" allowBlank="1" showInputMessage="1" showErrorMessage="1" sqref="WVZ262149:WVZ262172">
      <formula1>項目!A4:$WVS$262146</formula1>
    </dataValidation>
    <dataValidation type="list" allowBlank="1" showInputMessage="1" showErrorMessage="1" sqref="R327685:R327708">
      <formula1>項目!A4:$K$327682</formula1>
    </dataValidation>
    <dataValidation type="list" allowBlank="1" showInputMessage="1" showErrorMessage="1" sqref="JN327685:JN327708">
      <formula1>項目!A4:$JG$327682</formula1>
    </dataValidation>
    <dataValidation type="list" allowBlank="1" showInputMessage="1" showErrorMessage="1" sqref="TJ327685:TJ327708">
      <formula1>項目!A4:$TC$327682</formula1>
    </dataValidation>
    <dataValidation type="list" allowBlank="1" showInputMessage="1" showErrorMessage="1" sqref="ADF327685:ADF327708">
      <formula1>項目!A4:$ACY$327682</formula1>
    </dataValidation>
    <dataValidation type="list" allowBlank="1" showInputMessage="1" showErrorMessage="1" sqref="ANB327685:ANB327708">
      <formula1>項目!A4:$AMU$327682</formula1>
    </dataValidation>
    <dataValidation type="list" allowBlank="1" showInputMessage="1" showErrorMessage="1" sqref="AWX327685:AWX327708">
      <formula1>項目!A4:$AWQ$327682</formula1>
    </dataValidation>
    <dataValidation type="list" allowBlank="1" showInputMessage="1" showErrorMessage="1" sqref="BGT327685:BGT327708">
      <formula1>項目!A4:$BGM$327682</formula1>
    </dataValidation>
    <dataValidation type="list" allowBlank="1" showInputMessage="1" showErrorMessage="1" sqref="BQP327685:BQP327708">
      <formula1>項目!A4:$BQI$327682</formula1>
    </dataValidation>
    <dataValidation type="list" allowBlank="1" showInputMessage="1" showErrorMessage="1" sqref="CAL327685:CAL327708">
      <formula1>項目!A4:$CAE$327682</formula1>
    </dataValidation>
    <dataValidation type="list" allowBlank="1" showInputMessage="1" showErrorMessage="1" sqref="CKH327685:CKH327708">
      <formula1>項目!A4:$CKA$327682</formula1>
    </dataValidation>
    <dataValidation type="list" allowBlank="1" showInputMessage="1" showErrorMessage="1" sqref="CUD327685:CUD327708">
      <formula1>項目!A4:$CTW$327682</formula1>
    </dataValidation>
    <dataValidation type="list" allowBlank="1" showInputMessage="1" showErrorMessage="1" sqref="DDZ327685:DDZ327708">
      <formula1>項目!A4:$DDS$327682</formula1>
    </dataValidation>
    <dataValidation type="list" allowBlank="1" showInputMessage="1" showErrorMessage="1" sqref="DNV327685:DNV327708">
      <formula1>項目!A4:$DNO$327682</formula1>
    </dataValidation>
    <dataValidation type="list" allowBlank="1" showInputMessage="1" showErrorMessage="1" sqref="DXR327685:DXR327708">
      <formula1>項目!A4:$DXK$327682</formula1>
    </dataValidation>
    <dataValidation type="list" allowBlank="1" showInputMessage="1" showErrorMessage="1" sqref="EHN327685:EHN327708">
      <formula1>項目!A4:$EHG$327682</formula1>
    </dataValidation>
    <dataValidation type="list" allowBlank="1" showInputMessage="1" showErrorMessage="1" sqref="ERJ327685:ERJ327708">
      <formula1>項目!A4:$ERC$327682</formula1>
    </dataValidation>
    <dataValidation type="list" allowBlank="1" showInputMessage="1" showErrorMessage="1" sqref="FBF327685:FBF327708">
      <formula1>項目!A4:$FAY$327682</formula1>
    </dataValidation>
    <dataValidation type="list" allowBlank="1" showInputMessage="1" showErrorMessage="1" sqref="FLB327685:FLB327708">
      <formula1>項目!A4:$FKU$327682</formula1>
    </dataValidation>
    <dataValidation type="list" allowBlank="1" showInputMessage="1" showErrorMessage="1" sqref="FUX327685:FUX327708">
      <formula1>項目!A4:$FUQ$327682</formula1>
    </dataValidation>
    <dataValidation type="list" allowBlank="1" showInputMessage="1" showErrorMessage="1" sqref="GET327685:GET327708">
      <formula1>項目!A4:$GEM$327682</formula1>
    </dataValidation>
    <dataValidation type="list" allowBlank="1" showInputMessage="1" showErrorMessage="1" sqref="GOP327685:GOP327708">
      <formula1>項目!A4:$GOI$327682</formula1>
    </dataValidation>
    <dataValidation type="list" allowBlank="1" showInputMessage="1" showErrorMessage="1" sqref="GYL327685:GYL327708">
      <formula1>項目!A4:$GYE$327682</formula1>
    </dataValidation>
    <dataValidation type="list" allowBlank="1" showInputMessage="1" showErrorMessage="1" sqref="HIH327685:HIH327708">
      <formula1>項目!A4:$HIA$327682</formula1>
    </dataValidation>
    <dataValidation type="list" allowBlank="1" showInputMessage="1" showErrorMessage="1" sqref="HSD327685:HSD327708">
      <formula1>項目!A4:$HRW$327682</formula1>
    </dataValidation>
    <dataValidation type="list" allowBlank="1" showInputMessage="1" showErrorMessage="1" sqref="IBZ327685:IBZ327708">
      <formula1>項目!A4:$IBS$327682</formula1>
    </dataValidation>
    <dataValidation type="list" allowBlank="1" showInputMessage="1" showErrorMessage="1" sqref="ILV327685:ILV327708">
      <formula1>項目!A4:$ILO$327682</formula1>
    </dataValidation>
    <dataValidation type="list" allowBlank="1" showInputMessage="1" showErrorMessage="1" sqref="IVR327685:IVR327708">
      <formula1>項目!A4:$IVK$327682</formula1>
    </dataValidation>
    <dataValidation type="list" allowBlank="1" showInputMessage="1" showErrorMessage="1" sqref="JFN327685:JFN327708">
      <formula1>項目!A4:$JFG$327682</formula1>
    </dataValidation>
    <dataValidation type="list" allowBlank="1" showInputMessage="1" showErrorMessage="1" sqref="JPJ327685:JPJ327708">
      <formula1>項目!A4:$JPC$327682</formula1>
    </dataValidation>
    <dataValidation type="list" allowBlank="1" showInputMessage="1" showErrorMessage="1" sqref="JZF327685:JZF327708">
      <formula1>項目!A4:$JYY$327682</formula1>
    </dataValidation>
    <dataValidation type="list" allowBlank="1" showInputMessage="1" showErrorMessage="1" sqref="KJB327685:KJB327708">
      <formula1>項目!A4:$KIU$327682</formula1>
    </dataValidation>
    <dataValidation type="list" allowBlank="1" showInputMessage="1" showErrorMessage="1" sqref="KSX327685:KSX327708">
      <formula1>項目!A4:$KSQ$327682</formula1>
    </dataValidation>
    <dataValidation type="list" allowBlank="1" showInputMessage="1" showErrorMessage="1" sqref="LCT327685:LCT327708">
      <formula1>項目!A4:$LCM$327682</formula1>
    </dataValidation>
    <dataValidation type="list" allowBlank="1" showInputMessage="1" showErrorMessage="1" sqref="LMP327685:LMP327708">
      <formula1>項目!A4:$LMI$327682</formula1>
    </dataValidation>
    <dataValidation type="list" allowBlank="1" showInputMessage="1" showErrorMessage="1" sqref="LWL327685:LWL327708">
      <formula1>項目!A4:$LWE$327682</formula1>
    </dataValidation>
    <dataValidation type="list" allowBlank="1" showInputMessage="1" showErrorMessage="1" sqref="MGH327685:MGH327708">
      <formula1>項目!A4:$MGA$327682</formula1>
    </dataValidation>
    <dataValidation type="list" allowBlank="1" showInputMessage="1" showErrorMessage="1" sqref="MQD327685:MQD327708">
      <formula1>項目!A4:$MPW$327682</formula1>
    </dataValidation>
    <dataValidation type="list" allowBlank="1" showInputMessage="1" showErrorMessage="1" sqref="MZZ327685:MZZ327708">
      <formula1>項目!A4:$MZS$327682</formula1>
    </dataValidation>
    <dataValidation type="list" allowBlank="1" showInputMessage="1" showErrorMessage="1" sqref="NJV327685:NJV327708">
      <formula1>項目!A4:$NJO$327682</formula1>
    </dataValidation>
    <dataValidation type="list" allowBlank="1" showInputMessage="1" showErrorMessage="1" sqref="NTR327685:NTR327708">
      <formula1>項目!A4:$NTK$327682</formula1>
    </dataValidation>
    <dataValidation type="list" allowBlank="1" showInputMessage="1" showErrorMessage="1" sqref="ODN327685:ODN327708">
      <formula1>項目!A4:$ODG$327682</formula1>
    </dataValidation>
    <dataValidation type="list" allowBlank="1" showInputMessage="1" showErrorMessage="1" sqref="ONJ327685:ONJ327708">
      <formula1>項目!A4:$ONC$327682</formula1>
    </dataValidation>
    <dataValidation type="list" allowBlank="1" showInputMessage="1" showErrorMessage="1" sqref="OXF327685:OXF327708">
      <formula1>項目!A4:$OWY$327682</formula1>
    </dataValidation>
    <dataValidation type="list" allowBlank="1" showInputMessage="1" showErrorMessage="1" sqref="PHB327685:PHB327708">
      <formula1>項目!A4:$PGU$327682</formula1>
    </dataValidation>
    <dataValidation type="list" allowBlank="1" showInputMessage="1" showErrorMessage="1" sqref="PQX327685:PQX327708">
      <formula1>項目!A4:$PQQ$327682</formula1>
    </dataValidation>
    <dataValidation type="list" allowBlank="1" showInputMessage="1" showErrorMessage="1" sqref="QAT327685:QAT327708">
      <formula1>項目!A4:$QAM$327682</formula1>
    </dataValidation>
    <dataValidation type="list" allowBlank="1" showInputMessage="1" showErrorMessage="1" sqref="QKP327685:QKP327708">
      <formula1>項目!A4:$QKI$327682</formula1>
    </dataValidation>
    <dataValidation type="list" allowBlank="1" showInputMessage="1" showErrorMessage="1" sqref="QUL327685:QUL327708">
      <formula1>項目!A4:$QUE$327682</formula1>
    </dataValidation>
    <dataValidation type="list" allowBlank="1" showInputMessage="1" showErrorMessage="1" sqref="REH327685:REH327708">
      <formula1>項目!A4:$REA$327682</formula1>
    </dataValidation>
    <dataValidation type="list" allowBlank="1" showInputMessage="1" showErrorMessage="1" sqref="ROD327685:ROD327708">
      <formula1>項目!A4:$RNW$327682</formula1>
    </dataValidation>
    <dataValidation type="list" allowBlank="1" showInputMessage="1" showErrorMessage="1" sqref="RXZ327685:RXZ327708">
      <formula1>項目!A4:$RXS$327682</formula1>
    </dataValidation>
    <dataValidation type="list" allowBlank="1" showInputMessage="1" showErrorMessage="1" sqref="SHV327685:SHV327708">
      <formula1>項目!A4:$SHO$327682</formula1>
    </dataValidation>
    <dataValidation type="list" allowBlank="1" showInputMessage="1" showErrorMessage="1" sqref="SRR327685:SRR327708">
      <formula1>項目!A4:$SRK$327682</formula1>
    </dataValidation>
    <dataValidation type="list" allowBlank="1" showInputMessage="1" showErrorMessage="1" sqref="TBN327685:TBN327708">
      <formula1>項目!A4:$TBG$327682</formula1>
    </dataValidation>
    <dataValidation type="list" allowBlank="1" showInputMessage="1" showErrorMessage="1" sqref="TLJ327685:TLJ327708">
      <formula1>項目!A4:$TLC$327682</formula1>
    </dataValidation>
    <dataValidation type="list" allowBlank="1" showInputMessage="1" showErrorMessage="1" sqref="TVF327685:TVF327708">
      <formula1>項目!A4:$TUY$327682</formula1>
    </dataValidation>
    <dataValidation type="list" allowBlank="1" showInputMessage="1" showErrorMessage="1" sqref="UFB327685:UFB327708">
      <formula1>項目!A4:$UEU$327682</formula1>
    </dataValidation>
    <dataValidation type="list" allowBlank="1" showInputMessage="1" showErrorMessage="1" sqref="UOX327685:UOX327708">
      <formula1>項目!A4:$UOQ$327682</formula1>
    </dataValidation>
    <dataValidation type="list" allowBlank="1" showInputMessage="1" showErrorMessage="1" sqref="UYT327685:UYT327708">
      <formula1>項目!A4:$UYM$327682</formula1>
    </dataValidation>
    <dataValidation type="list" allowBlank="1" showInputMessage="1" showErrorMessage="1" sqref="VIP327685:VIP327708">
      <formula1>項目!A4:$VII$327682</formula1>
    </dataValidation>
    <dataValidation type="list" allowBlank="1" showInputMessage="1" showErrorMessage="1" sqref="VSL327685:VSL327708">
      <formula1>項目!A4:$VSE$327682</formula1>
    </dataValidation>
    <dataValidation type="list" allowBlank="1" showInputMessage="1" showErrorMessage="1" sqref="WCH327685:WCH327708">
      <formula1>項目!A4:$WCA$327682</formula1>
    </dataValidation>
    <dataValidation type="list" allowBlank="1" showInputMessage="1" showErrorMessage="1" sqref="WMD327685:WMD327708">
      <formula1>項目!A4:$WLW$327682</formula1>
    </dataValidation>
    <dataValidation type="list" allowBlank="1" showInputMessage="1" showErrorMessage="1" sqref="WVZ327685:WVZ327708">
      <formula1>項目!A4:$WVS$327682</formula1>
    </dataValidation>
    <dataValidation type="list" allowBlank="1" showInputMessage="1" showErrorMessage="1" sqref="R393221:R393244">
      <formula1>項目!A4:$K$393218</formula1>
    </dataValidation>
    <dataValidation type="list" allowBlank="1" showInputMessage="1" showErrorMessage="1" sqref="JN393221:JN393244">
      <formula1>項目!A4:$JG$393218</formula1>
    </dataValidation>
    <dataValidation type="list" allowBlank="1" showInputMessage="1" showErrorMessage="1" sqref="TJ393221:TJ393244">
      <formula1>項目!A4:$TC$393218</formula1>
    </dataValidation>
    <dataValidation type="list" allowBlank="1" showInputMessage="1" showErrorMessage="1" sqref="ADF393221:ADF393244">
      <formula1>項目!A4:$ACY$393218</formula1>
    </dataValidation>
    <dataValidation type="list" allowBlank="1" showInputMessage="1" showErrorMessage="1" sqref="ANB393221:ANB393244">
      <formula1>項目!A4:$AMU$393218</formula1>
    </dataValidation>
    <dataValidation type="list" allowBlank="1" showInputMessage="1" showErrorMessage="1" sqref="AWX393221:AWX393244">
      <formula1>項目!A4:$AWQ$393218</formula1>
    </dataValidation>
    <dataValidation type="list" allowBlank="1" showInputMessage="1" showErrorMessage="1" sqref="BGT393221:BGT393244">
      <formula1>項目!A4:$BGM$393218</formula1>
    </dataValidation>
    <dataValidation type="list" allowBlank="1" showInputMessage="1" showErrorMessage="1" sqref="BQP393221:BQP393244">
      <formula1>項目!A4:$BQI$393218</formula1>
    </dataValidation>
    <dataValidation type="list" allowBlank="1" showInputMessage="1" showErrorMessage="1" sqref="CAL393221:CAL393244">
      <formula1>項目!A4:$CAE$393218</formula1>
    </dataValidation>
    <dataValidation type="list" allowBlank="1" showInputMessage="1" showErrorMessage="1" sqref="CKH393221:CKH393244">
      <formula1>項目!A4:$CKA$393218</formula1>
    </dataValidation>
    <dataValidation type="list" allowBlank="1" showInputMessage="1" showErrorMessage="1" sqref="CUD393221:CUD393244">
      <formula1>項目!A4:$CTW$393218</formula1>
    </dataValidation>
    <dataValidation type="list" allowBlank="1" showInputMessage="1" showErrorMessage="1" sqref="DDZ393221:DDZ393244">
      <formula1>項目!A4:$DDS$393218</formula1>
    </dataValidation>
    <dataValidation type="list" allowBlank="1" showInputMessage="1" showErrorMessage="1" sqref="DNV393221:DNV393244">
      <formula1>項目!A4:$DNO$393218</formula1>
    </dataValidation>
    <dataValidation type="list" allowBlank="1" showInputMessage="1" showErrorMessage="1" sqref="DXR393221:DXR393244">
      <formula1>項目!A4:$DXK$393218</formula1>
    </dataValidation>
    <dataValidation type="list" allowBlank="1" showInputMessage="1" showErrorMessage="1" sqref="EHN393221:EHN393244">
      <formula1>項目!A4:$EHG$393218</formula1>
    </dataValidation>
    <dataValidation type="list" allowBlank="1" showInputMessage="1" showErrorMessage="1" sqref="ERJ393221:ERJ393244">
      <formula1>項目!A4:$ERC$393218</formula1>
    </dataValidation>
    <dataValidation type="list" allowBlank="1" showInputMessage="1" showErrorMessage="1" sqref="FBF393221:FBF393244">
      <formula1>項目!A4:$FAY$393218</formula1>
    </dataValidation>
    <dataValidation type="list" allowBlank="1" showInputMessage="1" showErrorMessage="1" sqref="FLB393221:FLB393244">
      <formula1>項目!A4:$FKU$393218</formula1>
    </dataValidation>
    <dataValidation type="list" allowBlank="1" showInputMessage="1" showErrorMessage="1" sqref="FUX393221:FUX393244">
      <formula1>項目!A4:$FUQ$393218</formula1>
    </dataValidation>
    <dataValidation type="list" allowBlank="1" showInputMessage="1" showErrorMessage="1" sqref="GET393221:GET393244">
      <formula1>項目!A4:$GEM$393218</formula1>
    </dataValidation>
    <dataValidation type="list" allowBlank="1" showInputMessage="1" showErrorMessage="1" sqref="GOP393221:GOP393244">
      <formula1>項目!A4:$GOI$393218</formula1>
    </dataValidation>
    <dataValidation type="list" allowBlank="1" showInputMessage="1" showErrorMessage="1" sqref="GYL393221:GYL393244">
      <formula1>項目!A4:$GYE$393218</formula1>
    </dataValidation>
    <dataValidation type="list" allowBlank="1" showInputMessage="1" showErrorMessage="1" sqref="HIH393221:HIH393244">
      <formula1>項目!A4:$HIA$393218</formula1>
    </dataValidation>
    <dataValidation type="list" allowBlank="1" showInputMessage="1" showErrorMessage="1" sqref="HSD393221:HSD393244">
      <formula1>項目!A4:$HRW$393218</formula1>
    </dataValidation>
    <dataValidation type="list" allowBlank="1" showInputMessage="1" showErrorMessage="1" sqref="IBZ393221:IBZ393244">
      <formula1>項目!A4:$IBS$393218</formula1>
    </dataValidation>
    <dataValidation type="list" allowBlank="1" showInputMessage="1" showErrorMessage="1" sqref="ILV393221:ILV393244">
      <formula1>項目!A4:$ILO$393218</formula1>
    </dataValidation>
    <dataValidation type="list" allowBlank="1" showInputMessage="1" showErrorMessage="1" sqref="IVR393221:IVR393244">
      <formula1>項目!A4:$IVK$393218</formula1>
    </dataValidation>
    <dataValidation type="list" allowBlank="1" showInputMessage="1" showErrorMessage="1" sqref="JFN393221:JFN393244">
      <formula1>項目!A4:$JFG$393218</formula1>
    </dataValidation>
    <dataValidation type="list" allowBlank="1" showInputMessage="1" showErrorMessage="1" sqref="JPJ393221:JPJ393244">
      <formula1>項目!A4:$JPC$393218</formula1>
    </dataValidation>
    <dataValidation type="list" allowBlank="1" showInputMessage="1" showErrorMessage="1" sqref="JZF393221:JZF393244">
      <formula1>項目!A4:$JYY$393218</formula1>
    </dataValidation>
    <dataValidation type="list" allowBlank="1" showInputMessage="1" showErrorMessage="1" sqref="KJB393221:KJB393244">
      <formula1>項目!A4:$KIU$393218</formula1>
    </dataValidation>
    <dataValidation type="list" allowBlank="1" showInputMessage="1" showErrorMessage="1" sqref="KSX393221:KSX393244">
      <formula1>項目!A4:$KSQ$393218</formula1>
    </dataValidation>
    <dataValidation type="list" allowBlank="1" showInputMessage="1" showErrorMessage="1" sqref="LCT393221:LCT393244">
      <formula1>項目!A4:$LCM$393218</formula1>
    </dataValidation>
    <dataValidation type="list" allowBlank="1" showInputMessage="1" showErrorMessage="1" sqref="LMP393221:LMP393244">
      <formula1>項目!A4:$LMI$393218</formula1>
    </dataValidation>
    <dataValidation type="list" allowBlank="1" showInputMessage="1" showErrorMessage="1" sqref="LWL393221:LWL393244">
      <formula1>項目!A4:$LWE$393218</formula1>
    </dataValidation>
    <dataValidation type="list" allowBlank="1" showInputMessage="1" showErrorMessage="1" sqref="MGH393221:MGH393244">
      <formula1>項目!A4:$MGA$393218</formula1>
    </dataValidation>
    <dataValidation type="list" allowBlank="1" showInputMessage="1" showErrorMessage="1" sqref="MQD393221:MQD393244">
      <formula1>項目!A4:$MPW$393218</formula1>
    </dataValidation>
    <dataValidation type="list" allowBlank="1" showInputMessage="1" showErrorMessage="1" sqref="MZZ393221:MZZ393244">
      <formula1>項目!A4:$MZS$393218</formula1>
    </dataValidation>
    <dataValidation type="list" allowBlank="1" showInputMessage="1" showErrorMessage="1" sqref="NJV393221:NJV393244">
      <formula1>項目!A4:$NJO$393218</formula1>
    </dataValidation>
    <dataValidation type="list" allowBlank="1" showInputMessage="1" showErrorMessage="1" sqref="NTR393221:NTR393244">
      <formula1>項目!A4:$NTK$393218</formula1>
    </dataValidation>
    <dataValidation type="list" allowBlank="1" showInputMessage="1" showErrorMessage="1" sqref="ODN393221:ODN393244">
      <formula1>項目!A4:$ODG$393218</formula1>
    </dataValidation>
    <dataValidation type="list" allowBlank="1" showInputMessage="1" showErrorMessage="1" sqref="ONJ393221:ONJ393244">
      <formula1>項目!A4:$ONC$393218</formula1>
    </dataValidation>
    <dataValidation type="list" allowBlank="1" showInputMessage="1" showErrorMessage="1" sqref="OXF393221:OXF393244">
      <formula1>項目!A4:$OWY$393218</formula1>
    </dataValidation>
    <dataValidation type="list" allowBlank="1" showInputMessage="1" showErrorMessage="1" sqref="PHB393221:PHB393244">
      <formula1>項目!A4:$PGU$393218</formula1>
    </dataValidation>
    <dataValidation type="list" allowBlank="1" showInputMessage="1" showErrorMessage="1" sqref="PQX393221:PQX393244">
      <formula1>項目!A4:$PQQ$393218</formula1>
    </dataValidation>
    <dataValidation type="list" allowBlank="1" showInputMessage="1" showErrorMessage="1" sqref="QAT393221:QAT393244">
      <formula1>項目!A4:$QAM$393218</formula1>
    </dataValidation>
    <dataValidation type="list" allowBlank="1" showInputMessage="1" showErrorMessage="1" sqref="QKP393221:QKP393244">
      <formula1>項目!A4:$QKI$393218</formula1>
    </dataValidation>
    <dataValidation type="list" allowBlank="1" showInputMessage="1" showErrorMessage="1" sqref="QUL393221:QUL393244">
      <formula1>項目!A4:$QUE$393218</formula1>
    </dataValidation>
    <dataValidation type="list" allowBlank="1" showInputMessage="1" showErrorMessage="1" sqref="REH393221:REH393244">
      <formula1>項目!A4:$REA$393218</formula1>
    </dataValidation>
    <dataValidation type="list" allowBlank="1" showInputMessage="1" showErrorMessage="1" sqref="ROD393221:ROD393244">
      <formula1>項目!A4:$RNW$393218</formula1>
    </dataValidation>
    <dataValidation type="list" allowBlank="1" showInputMessage="1" showErrorMessage="1" sqref="RXZ393221:RXZ393244">
      <formula1>項目!A4:$RXS$393218</formula1>
    </dataValidation>
    <dataValidation type="list" allowBlank="1" showInputMessage="1" showErrorMessage="1" sqref="SHV393221:SHV393244">
      <formula1>項目!A4:$SHO$393218</formula1>
    </dataValidation>
    <dataValidation type="list" allowBlank="1" showInputMessage="1" showErrorMessage="1" sqref="SRR393221:SRR393244">
      <formula1>項目!A4:$SRK$393218</formula1>
    </dataValidation>
    <dataValidation type="list" allowBlank="1" showInputMessage="1" showErrorMessage="1" sqref="TBN393221:TBN393244">
      <formula1>項目!A4:$TBG$393218</formula1>
    </dataValidation>
    <dataValidation type="list" allowBlank="1" showInputMessage="1" showErrorMessage="1" sqref="TLJ393221:TLJ393244">
      <formula1>項目!A4:$TLC$393218</formula1>
    </dataValidation>
    <dataValidation type="list" allowBlank="1" showInputMessage="1" showErrorMessage="1" sqref="TVF393221:TVF393244">
      <formula1>項目!A4:$TUY$393218</formula1>
    </dataValidation>
    <dataValidation type="list" allowBlank="1" showInputMessage="1" showErrorMessage="1" sqref="UFB393221:UFB393244">
      <formula1>項目!A4:$UEU$393218</formula1>
    </dataValidation>
    <dataValidation type="list" allowBlank="1" showInputMessage="1" showErrorMessage="1" sqref="UOX393221:UOX393244">
      <formula1>項目!A4:$UOQ$393218</formula1>
    </dataValidation>
    <dataValidation type="list" allowBlank="1" showInputMessage="1" showErrorMessage="1" sqref="UYT393221:UYT393244">
      <formula1>項目!A4:$UYM$393218</formula1>
    </dataValidation>
    <dataValidation type="list" allowBlank="1" showInputMessage="1" showErrorMessage="1" sqref="VIP393221:VIP393244">
      <formula1>項目!A4:$VII$393218</formula1>
    </dataValidation>
    <dataValidation type="list" allowBlank="1" showInputMessage="1" showErrorMessage="1" sqref="VSL393221:VSL393244">
      <formula1>項目!A4:$VSE$393218</formula1>
    </dataValidation>
    <dataValidation type="list" allowBlank="1" showInputMessage="1" showErrorMessage="1" sqref="WCH393221:WCH393244">
      <formula1>項目!A4:$WCA$393218</formula1>
    </dataValidation>
    <dataValidation type="list" allowBlank="1" showInputMessage="1" showErrorMessage="1" sqref="WMD393221:WMD393244">
      <formula1>項目!A4:$WLW$393218</formula1>
    </dataValidation>
    <dataValidation type="list" allowBlank="1" showInputMessage="1" showErrorMessage="1" sqref="WVZ393221:WVZ393244">
      <formula1>項目!A4:$WVS$393218</formula1>
    </dataValidation>
    <dataValidation type="list" allowBlank="1" showInputMessage="1" showErrorMessage="1" sqref="R458757:R458780">
      <formula1>項目!A4:$K$458754</formula1>
    </dataValidation>
    <dataValidation type="list" allowBlank="1" showInputMessage="1" showErrorMessage="1" sqref="JN458757:JN458780">
      <formula1>項目!A4:$JG$458754</formula1>
    </dataValidation>
    <dataValidation type="list" allowBlank="1" showInputMessage="1" showErrorMessage="1" sqref="TJ458757:TJ458780">
      <formula1>項目!A4:$TC$458754</formula1>
    </dataValidation>
    <dataValidation type="list" allowBlank="1" showInputMessage="1" showErrorMessage="1" sqref="ADF458757:ADF458780">
      <formula1>項目!A4:$ACY$458754</formula1>
    </dataValidation>
    <dataValidation type="list" allowBlank="1" showInputMessage="1" showErrorMessage="1" sqref="ANB458757:ANB458780">
      <formula1>項目!A4:$AMU$458754</formula1>
    </dataValidation>
    <dataValidation type="list" allowBlank="1" showInputMessage="1" showErrorMessage="1" sqref="AWX458757:AWX458780">
      <formula1>項目!A4:$AWQ$458754</formula1>
    </dataValidation>
    <dataValidation type="list" allowBlank="1" showInputMessage="1" showErrorMessage="1" sqref="BGT458757:BGT458780">
      <formula1>項目!A4:$BGM$458754</formula1>
    </dataValidation>
    <dataValidation type="list" allowBlank="1" showInputMessage="1" showErrorMessage="1" sqref="BQP458757:BQP458780">
      <formula1>項目!A4:$BQI$458754</formula1>
    </dataValidation>
    <dataValidation type="list" allowBlank="1" showInputMessage="1" showErrorMessage="1" sqref="CAL458757:CAL458780">
      <formula1>項目!A4:$CAE$458754</formula1>
    </dataValidation>
    <dataValidation type="list" allowBlank="1" showInputMessage="1" showErrorMessage="1" sqref="CKH458757:CKH458780">
      <formula1>項目!A4:$CKA$458754</formula1>
    </dataValidation>
    <dataValidation type="list" allowBlank="1" showInputMessage="1" showErrorMessage="1" sqref="CUD458757:CUD458780">
      <formula1>項目!A4:$CTW$458754</formula1>
    </dataValidation>
    <dataValidation type="list" allowBlank="1" showInputMessage="1" showErrorMessage="1" sqref="DDZ458757:DDZ458780">
      <formula1>項目!A4:$DDS$458754</formula1>
    </dataValidation>
    <dataValidation type="list" allowBlank="1" showInputMessage="1" showErrorMessage="1" sqref="DNV458757:DNV458780">
      <formula1>項目!A4:$DNO$458754</formula1>
    </dataValidation>
    <dataValidation type="list" allowBlank="1" showInputMessage="1" showErrorMessage="1" sqref="DXR458757:DXR458780">
      <formula1>項目!A4:$DXK$458754</formula1>
    </dataValidation>
    <dataValidation type="list" allowBlank="1" showInputMessage="1" showErrorMessage="1" sqref="EHN458757:EHN458780">
      <formula1>項目!A4:$EHG$458754</formula1>
    </dataValidation>
    <dataValidation type="list" allowBlank="1" showInputMessage="1" showErrorMessage="1" sqref="ERJ458757:ERJ458780">
      <formula1>項目!A4:$ERC$458754</formula1>
    </dataValidation>
    <dataValidation type="list" allowBlank="1" showInputMessage="1" showErrorMessage="1" sqref="FBF458757:FBF458780">
      <formula1>項目!A4:$FAY$458754</formula1>
    </dataValidation>
    <dataValidation type="list" allowBlank="1" showInputMessage="1" showErrorMessage="1" sqref="FLB458757:FLB458780">
      <formula1>項目!A4:$FKU$458754</formula1>
    </dataValidation>
    <dataValidation type="list" allowBlank="1" showInputMessage="1" showErrorMessage="1" sqref="FUX458757:FUX458780">
      <formula1>項目!A4:$FUQ$458754</formula1>
    </dataValidation>
    <dataValidation type="list" allowBlank="1" showInputMessage="1" showErrorMessage="1" sqref="GET458757:GET458780">
      <formula1>項目!A4:$GEM$458754</formula1>
    </dataValidation>
    <dataValidation type="list" allowBlank="1" showInputMessage="1" showErrorMessage="1" sqref="GOP458757:GOP458780">
      <formula1>項目!A4:$GOI$458754</formula1>
    </dataValidation>
    <dataValidation type="list" allowBlank="1" showInputMessage="1" showErrorMessage="1" sqref="GYL458757:GYL458780">
      <formula1>項目!A4:$GYE$458754</formula1>
    </dataValidation>
    <dataValidation type="list" allowBlank="1" showInputMessage="1" showErrorMessage="1" sqref="HIH458757:HIH458780">
      <formula1>項目!A4:$HIA$458754</formula1>
    </dataValidation>
    <dataValidation type="list" allowBlank="1" showInputMessage="1" showErrorMessage="1" sqref="HSD458757:HSD458780">
      <formula1>項目!A4:$HRW$458754</formula1>
    </dataValidation>
    <dataValidation type="list" allowBlank="1" showInputMessage="1" showErrorMessage="1" sqref="IBZ458757:IBZ458780">
      <formula1>項目!A4:$IBS$458754</formula1>
    </dataValidation>
    <dataValidation type="list" allowBlank="1" showInputMessage="1" showErrorMessage="1" sqref="ILV458757:ILV458780">
      <formula1>項目!A4:$ILO$458754</formula1>
    </dataValidation>
    <dataValidation type="list" allowBlank="1" showInputMessage="1" showErrorMessage="1" sqref="IVR458757:IVR458780">
      <formula1>項目!A4:$IVK$458754</formula1>
    </dataValidation>
    <dataValidation type="list" allowBlank="1" showInputMessage="1" showErrorMessage="1" sqref="JFN458757:JFN458780">
      <formula1>項目!A4:$JFG$458754</formula1>
    </dataValidation>
    <dataValidation type="list" allowBlank="1" showInputMessage="1" showErrorMessage="1" sqref="JPJ458757:JPJ458780">
      <formula1>項目!A4:$JPC$458754</formula1>
    </dataValidation>
    <dataValidation type="list" allowBlank="1" showInputMessage="1" showErrorMessage="1" sqref="JZF458757:JZF458780">
      <formula1>項目!A4:$JYY$458754</formula1>
    </dataValidation>
    <dataValidation type="list" allowBlank="1" showInputMessage="1" showErrorMessage="1" sqref="KJB458757:KJB458780">
      <formula1>項目!A4:$KIU$458754</formula1>
    </dataValidation>
    <dataValidation type="list" allowBlank="1" showInputMessage="1" showErrorMessage="1" sqref="KSX458757:KSX458780">
      <formula1>項目!A4:$KSQ$458754</formula1>
    </dataValidation>
    <dataValidation type="list" allowBlank="1" showInputMessage="1" showErrorMessage="1" sqref="LCT458757:LCT458780">
      <formula1>項目!A4:$LCM$458754</formula1>
    </dataValidation>
    <dataValidation type="list" allowBlank="1" showInputMessage="1" showErrorMessage="1" sqref="LMP458757:LMP458780">
      <formula1>項目!A4:$LMI$458754</formula1>
    </dataValidation>
    <dataValidation type="list" allowBlank="1" showInputMessage="1" showErrorMessage="1" sqref="LWL458757:LWL458780">
      <formula1>項目!A4:$LWE$458754</formula1>
    </dataValidation>
    <dataValidation type="list" allowBlank="1" showInputMessage="1" showErrorMessage="1" sqref="MGH458757:MGH458780">
      <formula1>項目!A4:$MGA$458754</formula1>
    </dataValidation>
    <dataValidation type="list" allowBlank="1" showInputMessage="1" showErrorMessage="1" sqref="MQD458757:MQD458780">
      <formula1>項目!A4:$MPW$458754</formula1>
    </dataValidation>
    <dataValidation type="list" allowBlank="1" showInputMessage="1" showErrorMessage="1" sqref="MZZ458757:MZZ458780">
      <formula1>項目!A4:$MZS$458754</formula1>
    </dataValidation>
    <dataValidation type="list" allowBlank="1" showInputMessage="1" showErrorMessage="1" sqref="NJV458757:NJV458780">
      <formula1>項目!A4:$NJO$458754</formula1>
    </dataValidation>
    <dataValidation type="list" allowBlank="1" showInputMessage="1" showErrorMessage="1" sqref="NTR458757:NTR458780">
      <formula1>項目!A4:$NTK$458754</formula1>
    </dataValidation>
    <dataValidation type="list" allowBlank="1" showInputMessage="1" showErrorMessage="1" sqref="ODN458757:ODN458780">
      <formula1>項目!A4:$ODG$458754</formula1>
    </dataValidation>
    <dataValidation type="list" allowBlank="1" showInputMessage="1" showErrorMessage="1" sqref="ONJ458757:ONJ458780">
      <formula1>項目!A4:$ONC$458754</formula1>
    </dataValidation>
    <dataValidation type="list" allowBlank="1" showInputMessage="1" showErrorMessage="1" sqref="OXF458757:OXF458780">
      <formula1>項目!A4:$OWY$458754</formula1>
    </dataValidation>
    <dataValidation type="list" allowBlank="1" showInputMessage="1" showErrorMessage="1" sqref="PHB458757:PHB458780">
      <formula1>項目!A4:$PGU$458754</formula1>
    </dataValidation>
    <dataValidation type="list" allowBlank="1" showInputMessage="1" showErrorMessage="1" sqref="PQX458757:PQX458780">
      <formula1>項目!A4:$PQQ$458754</formula1>
    </dataValidation>
    <dataValidation type="list" allowBlank="1" showInputMessage="1" showErrorMessage="1" sqref="QAT458757:QAT458780">
      <formula1>項目!A4:$QAM$458754</formula1>
    </dataValidation>
    <dataValidation type="list" allowBlank="1" showInputMessage="1" showErrorMessage="1" sqref="QKP458757:QKP458780">
      <formula1>項目!A4:$QKI$458754</formula1>
    </dataValidation>
    <dataValidation type="list" allowBlank="1" showInputMessage="1" showErrorMessage="1" sqref="QUL458757:QUL458780">
      <formula1>項目!A4:$QUE$458754</formula1>
    </dataValidation>
    <dataValidation type="list" allowBlank="1" showInputMessage="1" showErrorMessage="1" sqref="REH458757:REH458780">
      <formula1>項目!A4:$REA$458754</formula1>
    </dataValidation>
    <dataValidation type="list" allowBlank="1" showInputMessage="1" showErrorMessage="1" sqref="ROD458757:ROD458780">
      <formula1>項目!A4:$RNW$458754</formula1>
    </dataValidation>
    <dataValidation type="list" allowBlank="1" showInputMessage="1" showErrorMessage="1" sqref="RXZ458757:RXZ458780">
      <formula1>項目!A4:$RXS$458754</formula1>
    </dataValidation>
    <dataValidation type="list" allowBlank="1" showInputMessage="1" showErrorMessage="1" sqref="SHV458757:SHV458780">
      <formula1>項目!A4:$SHO$458754</formula1>
    </dataValidation>
    <dataValidation type="list" allowBlank="1" showInputMessage="1" showErrorMessage="1" sqref="SRR458757:SRR458780">
      <formula1>項目!A4:$SRK$458754</formula1>
    </dataValidation>
    <dataValidation type="list" allowBlank="1" showInputMessage="1" showErrorMessage="1" sqref="TBN458757:TBN458780">
      <formula1>項目!A4:$TBG$458754</formula1>
    </dataValidation>
    <dataValidation type="list" allowBlank="1" showInputMessage="1" showErrorMessage="1" sqref="TLJ458757:TLJ458780">
      <formula1>項目!A4:$TLC$458754</formula1>
    </dataValidation>
    <dataValidation type="list" allowBlank="1" showInputMessage="1" showErrorMessage="1" sqref="TVF458757:TVF458780">
      <formula1>項目!A4:$TUY$458754</formula1>
    </dataValidation>
    <dataValidation type="list" allowBlank="1" showInputMessage="1" showErrorMessage="1" sqref="UFB458757:UFB458780">
      <formula1>項目!A4:$UEU$458754</formula1>
    </dataValidation>
    <dataValidation type="list" allowBlank="1" showInputMessage="1" showErrorMessage="1" sqref="UOX458757:UOX458780">
      <formula1>項目!A4:$UOQ$458754</formula1>
    </dataValidation>
    <dataValidation type="list" allowBlank="1" showInputMessage="1" showErrorMessage="1" sqref="UYT458757:UYT458780">
      <formula1>項目!A4:$UYM$458754</formula1>
    </dataValidation>
    <dataValidation type="list" allowBlank="1" showInputMessage="1" showErrorMessage="1" sqref="VIP458757:VIP458780">
      <formula1>項目!A4:$VII$458754</formula1>
    </dataValidation>
    <dataValidation type="list" allowBlank="1" showInputMessage="1" showErrorMessage="1" sqref="VSL458757:VSL458780">
      <formula1>項目!A4:$VSE$458754</formula1>
    </dataValidation>
    <dataValidation type="list" allowBlank="1" showInputMessage="1" showErrorMessage="1" sqref="WCH458757:WCH458780">
      <formula1>項目!A4:$WCA$458754</formula1>
    </dataValidation>
    <dataValidation type="list" allowBlank="1" showInputMessage="1" showErrorMessage="1" sqref="WMD458757:WMD458780">
      <formula1>項目!A4:$WLW$458754</formula1>
    </dataValidation>
    <dataValidation type="list" allowBlank="1" showInputMessage="1" showErrorMessage="1" sqref="WVZ458757:WVZ458780">
      <formula1>項目!A4:$WVS$458754</formula1>
    </dataValidation>
    <dataValidation type="list" allowBlank="1" showInputMessage="1" showErrorMessage="1" sqref="R524293:R524316">
      <formula1>項目!A4:$K$524290</formula1>
    </dataValidation>
    <dataValidation type="list" allowBlank="1" showInputMessage="1" showErrorMessage="1" sqref="JN524293:JN524316">
      <formula1>項目!A4:$JG$524290</formula1>
    </dataValidation>
    <dataValidation type="list" allowBlank="1" showInputMessage="1" showErrorMessage="1" sqref="TJ524293:TJ524316">
      <formula1>項目!A4:$TC$524290</formula1>
    </dataValidation>
    <dataValidation type="list" allowBlank="1" showInputMessage="1" showErrorMessage="1" sqref="ADF524293:ADF524316">
      <formula1>項目!A4:$ACY$524290</formula1>
    </dataValidation>
    <dataValidation type="list" allowBlank="1" showInputMessage="1" showErrorMessage="1" sqref="ANB524293:ANB524316">
      <formula1>項目!A4:$AMU$524290</formula1>
    </dataValidation>
    <dataValidation type="list" allowBlank="1" showInputMessage="1" showErrorMessage="1" sqref="AWX524293:AWX524316">
      <formula1>項目!A4:$AWQ$524290</formula1>
    </dataValidation>
    <dataValidation type="list" allowBlank="1" showInputMessage="1" showErrorMessage="1" sqref="BGT524293:BGT524316">
      <formula1>項目!A4:$BGM$524290</formula1>
    </dataValidation>
    <dataValidation type="list" allowBlank="1" showInputMessage="1" showErrorMessage="1" sqref="BQP524293:BQP524316">
      <formula1>項目!A4:$BQI$524290</formula1>
    </dataValidation>
    <dataValidation type="list" allowBlank="1" showInputMessage="1" showErrorMessage="1" sqref="CAL524293:CAL524316">
      <formula1>項目!A4:$CAE$524290</formula1>
    </dataValidation>
    <dataValidation type="list" allowBlank="1" showInputMessage="1" showErrorMessage="1" sqref="CKH524293:CKH524316">
      <formula1>項目!A4:$CKA$524290</formula1>
    </dataValidation>
    <dataValidation type="list" allowBlank="1" showInputMessage="1" showErrorMessage="1" sqref="CUD524293:CUD524316">
      <formula1>項目!A4:$CTW$524290</formula1>
    </dataValidation>
    <dataValidation type="list" allowBlank="1" showInputMessage="1" showErrorMessage="1" sqref="DDZ524293:DDZ524316">
      <formula1>項目!A4:$DDS$524290</formula1>
    </dataValidation>
    <dataValidation type="list" allowBlank="1" showInputMessage="1" showErrorMessage="1" sqref="DNV524293:DNV524316">
      <formula1>項目!A4:$DNO$524290</formula1>
    </dataValidation>
    <dataValidation type="list" allowBlank="1" showInputMessage="1" showErrorMessage="1" sqref="DXR524293:DXR524316">
      <formula1>項目!A4:$DXK$524290</formula1>
    </dataValidation>
    <dataValidation type="list" allowBlank="1" showInputMessage="1" showErrorMessage="1" sqref="EHN524293:EHN524316">
      <formula1>項目!A4:$EHG$524290</formula1>
    </dataValidation>
    <dataValidation type="list" allowBlank="1" showInputMessage="1" showErrorMessage="1" sqref="ERJ524293:ERJ524316">
      <formula1>項目!A4:$ERC$524290</formula1>
    </dataValidation>
    <dataValidation type="list" allowBlank="1" showInputMessage="1" showErrorMessage="1" sqref="FBF524293:FBF524316">
      <formula1>項目!A4:$FAY$524290</formula1>
    </dataValidation>
    <dataValidation type="list" allowBlank="1" showInputMessage="1" showErrorMessage="1" sqref="FLB524293:FLB524316">
      <formula1>項目!A4:$FKU$524290</formula1>
    </dataValidation>
    <dataValidation type="list" allowBlank="1" showInputMessage="1" showErrorMessage="1" sqref="FUX524293:FUX524316">
      <formula1>項目!A4:$FUQ$524290</formula1>
    </dataValidation>
    <dataValidation type="list" allowBlank="1" showInputMessage="1" showErrorMessage="1" sqref="GET524293:GET524316">
      <formula1>項目!A4:$GEM$524290</formula1>
    </dataValidation>
    <dataValidation type="list" allowBlank="1" showInputMessage="1" showErrorMessage="1" sqref="GOP524293:GOP524316">
      <formula1>項目!A4:$GOI$524290</formula1>
    </dataValidation>
    <dataValidation type="list" allowBlank="1" showInputMessage="1" showErrorMessage="1" sqref="GYL524293:GYL524316">
      <formula1>項目!A4:$GYE$524290</formula1>
    </dataValidation>
    <dataValidation type="list" allowBlank="1" showInputMessage="1" showErrorMessage="1" sqref="HIH524293:HIH524316">
      <formula1>項目!A4:$HIA$524290</formula1>
    </dataValidation>
    <dataValidation type="list" allowBlank="1" showInputMessage="1" showErrorMessage="1" sqref="HSD524293:HSD524316">
      <formula1>項目!A4:$HRW$524290</formula1>
    </dataValidation>
    <dataValidation type="list" allowBlank="1" showInputMessage="1" showErrorMessage="1" sqref="IBZ524293:IBZ524316">
      <formula1>項目!A4:$IBS$524290</formula1>
    </dataValidation>
    <dataValidation type="list" allowBlank="1" showInputMessage="1" showErrorMessage="1" sqref="ILV524293:ILV524316">
      <formula1>項目!A4:$ILO$524290</formula1>
    </dataValidation>
    <dataValidation type="list" allowBlank="1" showInputMessage="1" showErrorMessage="1" sqref="IVR524293:IVR524316">
      <formula1>項目!A4:$IVK$524290</formula1>
    </dataValidation>
    <dataValidation type="list" allowBlank="1" showInputMessage="1" showErrorMessage="1" sqref="JFN524293:JFN524316">
      <formula1>項目!A4:$JFG$524290</formula1>
    </dataValidation>
    <dataValidation type="list" allowBlank="1" showInputMessage="1" showErrorMessage="1" sqref="JPJ524293:JPJ524316">
      <formula1>項目!A4:$JPC$524290</formula1>
    </dataValidation>
    <dataValidation type="list" allowBlank="1" showInputMessage="1" showErrorMessage="1" sqref="JZF524293:JZF524316">
      <formula1>項目!A4:$JYY$524290</formula1>
    </dataValidation>
    <dataValidation type="list" allowBlank="1" showInputMessage="1" showErrorMessage="1" sqref="KJB524293:KJB524316">
      <formula1>項目!A4:$KIU$524290</formula1>
    </dataValidation>
    <dataValidation type="list" allowBlank="1" showInputMessage="1" showErrorMessage="1" sqref="KSX524293:KSX524316">
      <formula1>項目!A4:$KSQ$524290</formula1>
    </dataValidation>
    <dataValidation type="list" allowBlank="1" showInputMessage="1" showErrorMessage="1" sqref="LCT524293:LCT524316">
      <formula1>項目!A4:$LCM$524290</formula1>
    </dataValidation>
    <dataValidation type="list" allowBlank="1" showInputMessage="1" showErrorMessage="1" sqref="LMP524293:LMP524316">
      <formula1>項目!A4:$LMI$524290</formula1>
    </dataValidation>
    <dataValidation type="list" allowBlank="1" showInputMessage="1" showErrorMessage="1" sqref="LWL524293:LWL524316">
      <formula1>項目!A4:$LWE$524290</formula1>
    </dataValidation>
    <dataValidation type="list" allowBlank="1" showInputMessage="1" showErrorMessage="1" sqref="MGH524293:MGH524316">
      <formula1>項目!A4:$MGA$524290</formula1>
    </dataValidation>
    <dataValidation type="list" allowBlank="1" showInputMessage="1" showErrorMessage="1" sqref="MQD524293:MQD524316">
      <formula1>項目!A4:$MPW$524290</formula1>
    </dataValidation>
    <dataValidation type="list" allowBlank="1" showInputMessage="1" showErrorMessage="1" sqref="MZZ524293:MZZ524316">
      <formula1>項目!A4:$MZS$524290</formula1>
    </dataValidation>
    <dataValidation type="list" allowBlank="1" showInputMessage="1" showErrorMessage="1" sqref="NJV524293:NJV524316">
      <formula1>項目!A4:$NJO$524290</formula1>
    </dataValidation>
    <dataValidation type="list" allowBlank="1" showInputMessage="1" showErrorMessage="1" sqref="NTR524293:NTR524316">
      <formula1>項目!A4:$NTK$524290</formula1>
    </dataValidation>
    <dataValidation type="list" allowBlank="1" showInputMessage="1" showErrorMessage="1" sqref="ODN524293:ODN524316">
      <formula1>項目!A4:$ODG$524290</formula1>
    </dataValidation>
    <dataValidation type="list" allowBlank="1" showInputMessage="1" showErrorMessage="1" sqref="ONJ524293:ONJ524316">
      <formula1>項目!A4:$ONC$524290</formula1>
    </dataValidation>
    <dataValidation type="list" allowBlank="1" showInputMessage="1" showErrorMessage="1" sqref="OXF524293:OXF524316">
      <formula1>項目!A4:$OWY$524290</formula1>
    </dataValidation>
    <dataValidation type="list" allowBlank="1" showInputMessage="1" showErrorMessage="1" sqref="PHB524293:PHB524316">
      <formula1>項目!A4:$PGU$524290</formula1>
    </dataValidation>
    <dataValidation type="list" allowBlank="1" showInputMessage="1" showErrorMessage="1" sqref="PQX524293:PQX524316">
      <formula1>項目!A4:$PQQ$524290</formula1>
    </dataValidation>
    <dataValidation type="list" allowBlank="1" showInputMessage="1" showErrorMessage="1" sqref="QAT524293:QAT524316">
      <formula1>項目!A4:$QAM$524290</formula1>
    </dataValidation>
    <dataValidation type="list" allowBlank="1" showInputMessage="1" showErrorMessage="1" sqref="QKP524293:QKP524316">
      <formula1>項目!A4:$QKI$524290</formula1>
    </dataValidation>
    <dataValidation type="list" allowBlank="1" showInputMessage="1" showErrorMessage="1" sqref="QUL524293:QUL524316">
      <formula1>項目!A4:$QUE$524290</formula1>
    </dataValidation>
    <dataValidation type="list" allowBlank="1" showInputMessage="1" showErrorMessage="1" sqref="REH524293:REH524316">
      <formula1>項目!A4:$REA$524290</formula1>
    </dataValidation>
    <dataValidation type="list" allowBlank="1" showInputMessage="1" showErrorMessage="1" sqref="ROD524293:ROD524316">
      <formula1>項目!A4:$RNW$524290</formula1>
    </dataValidation>
    <dataValidation type="list" allowBlank="1" showInputMessage="1" showErrorMessage="1" sqref="RXZ524293:RXZ524316">
      <formula1>項目!A4:$RXS$524290</formula1>
    </dataValidation>
    <dataValidation type="list" allowBlank="1" showInputMessage="1" showErrorMessage="1" sqref="SHV524293:SHV524316">
      <formula1>項目!A4:$SHO$524290</formula1>
    </dataValidation>
    <dataValidation type="list" allowBlank="1" showInputMessage="1" showErrorMessage="1" sqref="SRR524293:SRR524316">
      <formula1>項目!A4:$SRK$524290</formula1>
    </dataValidation>
    <dataValidation type="list" allowBlank="1" showInputMessage="1" showErrorMessage="1" sqref="TBN524293:TBN524316">
      <formula1>項目!A4:$TBG$524290</formula1>
    </dataValidation>
    <dataValidation type="list" allowBlank="1" showInputMessage="1" showErrorMessage="1" sqref="TLJ524293:TLJ524316">
      <formula1>項目!A4:$TLC$524290</formula1>
    </dataValidation>
    <dataValidation type="list" allowBlank="1" showInputMessage="1" showErrorMessage="1" sqref="TVF524293:TVF524316">
      <formula1>項目!A4:$TUY$524290</formula1>
    </dataValidation>
    <dataValidation type="list" allowBlank="1" showInputMessage="1" showErrorMessage="1" sqref="UFB524293:UFB524316">
      <formula1>項目!A4:$UEU$524290</formula1>
    </dataValidation>
    <dataValidation type="list" allowBlank="1" showInputMessage="1" showErrorMessage="1" sqref="UOX524293:UOX524316">
      <formula1>項目!A4:$UOQ$524290</formula1>
    </dataValidation>
    <dataValidation type="list" allowBlank="1" showInputMessage="1" showErrorMessage="1" sqref="UYT524293:UYT524316">
      <formula1>項目!A4:$UYM$524290</formula1>
    </dataValidation>
    <dataValidation type="list" allowBlank="1" showInputMessage="1" showErrorMessage="1" sqref="VIP524293:VIP524316">
      <formula1>項目!A4:$VII$524290</formula1>
    </dataValidation>
    <dataValidation type="list" allowBlank="1" showInputMessage="1" showErrorMessage="1" sqref="VSL524293:VSL524316">
      <formula1>項目!A4:$VSE$524290</formula1>
    </dataValidation>
    <dataValidation type="list" allowBlank="1" showInputMessage="1" showErrorMessage="1" sqref="WCH524293:WCH524316">
      <formula1>項目!A4:$WCA$524290</formula1>
    </dataValidation>
    <dataValidation type="list" allowBlank="1" showInputMessage="1" showErrorMessage="1" sqref="WMD524293:WMD524316">
      <formula1>項目!A4:$WLW$524290</formula1>
    </dataValidation>
    <dataValidation type="list" allowBlank="1" showInputMessage="1" showErrorMessage="1" sqref="WVZ524293:WVZ524316">
      <formula1>項目!A4:$WVS$524290</formula1>
    </dataValidation>
    <dataValidation type="list" allowBlank="1" showInputMessage="1" showErrorMessage="1" sqref="R589829:R589852">
      <formula1>項目!A4:$K$589826</formula1>
    </dataValidation>
    <dataValidation type="list" allowBlank="1" showInputMessage="1" showErrorMessage="1" sqref="JN589829:JN589852">
      <formula1>項目!A4:$JG$589826</formula1>
    </dataValidation>
    <dataValidation type="list" allowBlank="1" showInputMessage="1" showErrorMessage="1" sqref="TJ589829:TJ589852">
      <formula1>項目!A4:$TC$589826</formula1>
    </dataValidation>
    <dataValidation type="list" allowBlank="1" showInputMessage="1" showErrorMessage="1" sqref="ADF589829:ADF589852">
      <formula1>項目!A4:$ACY$589826</formula1>
    </dataValidation>
    <dataValidation type="list" allowBlank="1" showInputMessage="1" showErrorMessage="1" sqref="ANB589829:ANB589852">
      <formula1>項目!A4:$AMU$589826</formula1>
    </dataValidation>
    <dataValidation type="list" allowBlank="1" showInputMessage="1" showErrorMessage="1" sqref="AWX589829:AWX589852">
      <formula1>項目!A4:$AWQ$589826</formula1>
    </dataValidation>
    <dataValidation type="list" allowBlank="1" showInputMessage="1" showErrorMessage="1" sqref="BGT589829:BGT589852">
      <formula1>項目!A4:$BGM$589826</formula1>
    </dataValidation>
    <dataValidation type="list" allowBlank="1" showInputMessage="1" showErrorMessage="1" sqref="BQP589829:BQP589852">
      <formula1>項目!A4:$BQI$589826</formula1>
    </dataValidation>
    <dataValidation type="list" allowBlank="1" showInputMessage="1" showErrorMessage="1" sqref="CAL589829:CAL589852">
      <formula1>項目!A4:$CAE$589826</formula1>
    </dataValidation>
    <dataValidation type="list" allowBlank="1" showInputMessage="1" showErrorMessage="1" sqref="CKH589829:CKH589852">
      <formula1>項目!A4:$CKA$589826</formula1>
    </dataValidation>
    <dataValidation type="list" allowBlank="1" showInputMessage="1" showErrorMessage="1" sqref="CUD589829:CUD589852">
      <formula1>項目!A4:$CTW$589826</formula1>
    </dataValidation>
    <dataValidation type="list" allowBlank="1" showInputMessage="1" showErrorMessage="1" sqref="DDZ589829:DDZ589852">
      <formula1>項目!A4:$DDS$589826</formula1>
    </dataValidation>
    <dataValidation type="list" allowBlank="1" showInputMessage="1" showErrorMessage="1" sqref="DNV589829:DNV589852">
      <formula1>項目!A4:$DNO$589826</formula1>
    </dataValidation>
    <dataValidation type="list" allowBlank="1" showInputMessage="1" showErrorMessage="1" sqref="DXR589829:DXR589852">
      <formula1>項目!A4:$DXK$589826</formula1>
    </dataValidation>
    <dataValidation type="list" allowBlank="1" showInputMessage="1" showErrorMessage="1" sqref="EHN589829:EHN589852">
      <formula1>項目!A4:$EHG$589826</formula1>
    </dataValidation>
    <dataValidation type="list" allowBlank="1" showInputMessage="1" showErrorMessage="1" sqref="ERJ589829:ERJ589852">
      <formula1>項目!A4:$ERC$589826</formula1>
    </dataValidation>
    <dataValidation type="list" allowBlank="1" showInputMessage="1" showErrorMessage="1" sqref="FBF589829:FBF589852">
      <formula1>項目!A4:$FAY$589826</formula1>
    </dataValidation>
    <dataValidation type="list" allowBlank="1" showInputMessage="1" showErrorMessage="1" sqref="FLB589829:FLB589852">
      <formula1>項目!A4:$FKU$589826</formula1>
    </dataValidation>
    <dataValidation type="list" allowBlank="1" showInputMessage="1" showErrorMessage="1" sqref="FUX589829:FUX589852">
      <formula1>項目!A4:$FUQ$589826</formula1>
    </dataValidation>
    <dataValidation type="list" allowBlank="1" showInputMessage="1" showErrorMessage="1" sqref="GET589829:GET589852">
      <formula1>項目!A4:$GEM$589826</formula1>
    </dataValidation>
    <dataValidation type="list" allowBlank="1" showInputMessage="1" showErrorMessage="1" sqref="GOP589829:GOP589852">
      <formula1>項目!A4:$GOI$589826</formula1>
    </dataValidation>
    <dataValidation type="list" allowBlank="1" showInputMessage="1" showErrorMessage="1" sqref="GYL589829:GYL589852">
      <formula1>項目!A4:$GYE$589826</formula1>
    </dataValidation>
    <dataValidation type="list" allowBlank="1" showInputMessage="1" showErrorMessage="1" sqref="HIH589829:HIH589852">
      <formula1>項目!A4:$HIA$589826</formula1>
    </dataValidation>
    <dataValidation type="list" allowBlank="1" showInputMessage="1" showErrorMessage="1" sqref="HSD589829:HSD589852">
      <formula1>項目!A4:$HRW$589826</formula1>
    </dataValidation>
    <dataValidation type="list" allowBlank="1" showInputMessage="1" showErrorMessage="1" sqref="IBZ589829:IBZ589852">
      <formula1>項目!A4:$IBS$589826</formula1>
    </dataValidation>
    <dataValidation type="list" allowBlank="1" showInputMessage="1" showErrorMessage="1" sqref="ILV589829:ILV589852">
      <formula1>項目!A4:$ILO$589826</formula1>
    </dataValidation>
    <dataValidation type="list" allowBlank="1" showInputMessage="1" showErrorMessage="1" sqref="IVR589829:IVR589852">
      <formula1>項目!A4:$IVK$589826</formula1>
    </dataValidation>
    <dataValidation type="list" allowBlank="1" showInputMessage="1" showErrorMessage="1" sqref="JFN589829:JFN589852">
      <formula1>項目!A4:$JFG$589826</formula1>
    </dataValidation>
    <dataValidation type="list" allowBlank="1" showInputMessage="1" showErrorMessage="1" sqref="JPJ589829:JPJ589852">
      <formula1>項目!A4:$JPC$589826</formula1>
    </dataValidation>
    <dataValidation type="list" allowBlank="1" showInputMessage="1" showErrorMessage="1" sqref="JZF589829:JZF589852">
      <formula1>項目!A4:$JYY$589826</formula1>
    </dataValidation>
    <dataValidation type="list" allowBlank="1" showInputMessage="1" showErrorMessage="1" sqref="KJB589829:KJB589852">
      <formula1>項目!A4:$KIU$589826</formula1>
    </dataValidation>
    <dataValidation type="list" allowBlank="1" showInputMessage="1" showErrorMessage="1" sqref="KSX589829:KSX589852">
      <formula1>項目!A4:$KSQ$589826</formula1>
    </dataValidation>
    <dataValidation type="list" allowBlank="1" showInputMessage="1" showErrorMessage="1" sqref="LCT589829:LCT589852">
      <formula1>項目!A4:$LCM$589826</formula1>
    </dataValidation>
    <dataValidation type="list" allowBlank="1" showInputMessage="1" showErrorMessage="1" sqref="LMP589829:LMP589852">
      <formula1>項目!A4:$LMI$589826</formula1>
    </dataValidation>
    <dataValidation type="list" allowBlank="1" showInputMessage="1" showErrorMessage="1" sqref="LWL589829:LWL589852">
      <formula1>項目!A4:$LWE$589826</formula1>
    </dataValidation>
    <dataValidation type="list" allowBlank="1" showInputMessage="1" showErrorMessage="1" sqref="MGH589829:MGH589852">
      <formula1>項目!A4:$MGA$589826</formula1>
    </dataValidation>
    <dataValidation type="list" allowBlank="1" showInputMessage="1" showErrorMessage="1" sqref="MQD589829:MQD589852">
      <formula1>項目!A4:$MPW$589826</formula1>
    </dataValidation>
    <dataValidation type="list" allowBlank="1" showInputMessage="1" showErrorMessage="1" sqref="MZZ589829:MZZ589852">
      <formula1>項目!A4:$MZS$589826</formula1>
    </dataValidation>
    <dataValidation type="list" allowBlank="1" showInputMessage="1" showErrorMessage="1" sqref="NJV589829:NJV589852">
      <formula1>項目!A4:$NJO$589826</formula1>
    </dataValidation>
    <dataValidation type="list" allowBlank="1" showInputMessage="1" showErrorMessage="1" sqref="NTR589829:NTR589852">
      <formula1>項目!A4:$NTK$589826</formula1>
    </dataValidation>
    <dataValidation type="list" allowBlank="1" showInputMessage="1" showErrorMessage="1" sqref="ODN589829:ODN589852">
      <formula1>項目!A4:$ODG$589826</formula1>
    </dataValidation>
    <dataValidation type="list" allowBlank="1" showInputMessage="1" showErrorMessage="1" sqref="ONJ589829:ONJ589852">
      <formula1>項目!A4:$ONC$589826</formula1>
    </dataValidation>
    <dataValidation type="list" allowBlank="1" showInputMessage="1" showErrorMessage="1" sqref="OXF589829:OXF589852">
      <formula1>項目!A4:$OWY$589826</formula1>
    </dataValidation>
    <dataValidation type="list" allowBlank="1" showInputMessage="1" showErrorMessage="1" sqref="PHB589829:PHB589852">
      <formula1>項目!A4:$PGU$589826</formula1>
    </dataValidation>
    <dataValidation type="list" allowBlank="1" showInputMessage="1" showErrorMessage="1" sqref="PQX589829:PQX589852">
      <formula1>項目!A4:$PQQ$589826</formula1>
    </dataValidation>
    <dataValidation type="list" allowBlank="1" showInputMessage="1" showErrorMessage="1" sqref="QAT589829:QAT589852">
      <formula1>項目!A4:$QAM$589826</formula1>
    </dataValidation>
    <dataValidation type="list" allowBlank="1" showInputMessage="1" showErrorMessage="1" sqref="QKP589829:QKP589852">
      <formula1>項目!A4:$QKI$589826</formula1>
    </dataValidation>
    <dataValidation type="list" allowBlank="1" showInputMessage="1" showErrorMessage="1" sqref="QUL589829:QUL589852">
      <formula1>項目!A4:$QUE$589826</formula1>
    </dataValidation>
    <dataValidation type="list" allowBlank="1" showInputMessage="1" showErrorMessage="1" sqref="REH589829:REH589852">
      <formula1>項目!A4:$REA$589826</formula1>
    </dataValidation>
    <dataValidation type="list" allowBlank="1" showInputMessage="1" showErrorMessage="1" sqref="ROD589829:ROD589852">
      <formula1>項目!A4:$RNW$589826</formula1>
    </dataValidation>
    <dataValidation type="list" allowBlank="1" showInputMessage="1" showErrorMessage="1" sqref="RXZ589829:RXZ589852">
      <formula1>項目!A4:$RXS$589826</formula1>
    </dataValidation>
    <dataValidation type="list" allowBlank="1" showInputMessage="1" showErrorMessage="1" sqref="SHV589829:SHV589852">
      <formula1>項目!A4:$SHO$589826</formula1>
    </dataValidation>
    <dataValidation type="list" allowBlank="1" showInputMessage="1" showErrorMessage="1" sqref="SRR589829:SRR589852">
      <formula1>項目!A4:$SRK$589826</formula1>
    </dataValidation>
    <dataValidation type="list" allowBlank="1" showInputMessage="1" showErrorMessage="1" sqref="TBN589829:TBN589852">
      <formula1>項目!A4:$TBG$589826</formula1>
    </dataValidation>
    <dataValidation type="list" allowBlank="1" showInputMessage="1" showErrorMessage="1" sqref="TLJ589829:TLJ589852">
      <formula1>項目!A4:$TLC$589826</formula1>
    </dataValidation>
    <dataValidation type="list" allowBlank="1" showInputMessage="1" showErrorMessage="1" sqref="TVF589829:TVF589852">
      <formula1>項目!A4:$TUY$589826</formula1>
    </dataValidation>
    <dataValidation type="list" allowBlank="1" showInputMessage="1" showErrorMessage="1" sqref="UFB589829:UFB589852">
      <formula1>項目!A4:$UEU$589826</formula1>
    </dataValidation>
    <dataValidation type="list" allowBlank="1" showInputMessage="1" showErrorMessage="1" sqref="UOX589829:UOX589852">
      <formula1>項目!A4:$UOQ$589826</formula1>
    </dataValidation>
    <dataValidation type="list" allowBlank="1" showInputMessage="1" showErrorMessage="1" sqref="UYT589829:UYT589852">
      <formula1>項目!A4:$UYM$589826</formula1>
    </dataValidation>
    <dataValidation type="list" allowBlank="1" showInputMessage="1" showErrorMessage="1" sqref="VIP589829:VIP589852">
      <formula1>項目!A4:$VII$589826</formula1>
    </dataValidation>
    <dataValidation type="list" allowBlank="1" showInputMessage="1" showErrorMessage="1" sqref="VSL589829:VSL589852">
      <formula1>項目!A4:$VSE$589826</formula1>
    </dataValidation>
    <dataValidation type="list" allowBlank="1" showInputMessage="1" showErrorMessage="1" sqref="WCH589829:WCH589852">
      <formula1>項目!A4:$WCA$589826</formula1>
    </dataValidation>
    <dataValidation type="list" allowBlank="1" showInputMessage="1" showErrorMessage="1" sqref="WMD589829:WMD589852">
      <formula1>項目!A4:$WLW$589826</formula1>
    </dataValidation>
    <dataValidation type="list" allowBlank="1" showInputMessage="1" showErrorMessage="1" sqref="WVZ589829:WVZ589852">
      <formula1>項目!A4:$WVS$589826</formula1>
    </dataValidation>
    <dataValidation type="list" allowBlank="1" showInputMessage="1" showErrorMessage="1" sqref="R655365:R655388">
      <formula1>項目!A4:$K$655362</formula1>
    </dataValidation>
    <dataValidation type="list" allowBlank="1" showInputMessage="1" showErrorMessage="1" sqref="JN655365:JN655388">
      <formula1>項目!A4:$JG$655362</formula1>
    </dataValidation>
    <dataValidation type="list" allowBlank="1" showInputMessage="1" showErrorMessage="1" sqref="TJ655365:TJ655388">
      <formula1>項目!A4:$TC$655362</formula1>
    </dataValidation>
    <dataValidation type="list" allowBlank="1" showInputMessage="1" showErrorMessage="1" sqref="ADF655365:ADF655388">
      <formula1>項目!A4:$ACY$655362</formula1>
    </dataValidation>
    <dataValidation type="list" allowBlank="1" showInputMessage="1" showErrorMessage="1" sqref="ANB655365:ANB655388">
      <formula1>項目!A4:$AMU$655362</formula1>
    </dataValidation>
    <dataValidation type="list" allowBlank="1" showInputMessage="1" showErrorMessage="1" sqref="AWX655365:AWX655388">
      <formula1>項目!A4:$AWQ$655362</formula1>
    </dataValidation>
    <dataValidation type="list" allowBlank="1" showInputMessage="1" showErrorMessage="1" sqref="BGT655365:BGT655388">
      <formula1>項目!A4:$BGM$655362</formula1>
    </dataValidation>
    <dataValidation type="list" allowBlank="1" showInputMessage="1" showErrorMessage="1" sqref="BQP655365:BQP655388">
      <formula1>項目!A4:$BQI$655362</formula1>
    </dataValidation>
    <dataValidation type="list" allowBlank="1" showInputMessage="1" showErrorMessage="1" sqref="CAL655365:CAL655388">
      <formula1>項目!A4:$CAE$655362</formula1>
    </dataValidation>
    <dataValidation type="list" allowBlank="1" showInputMessage="1" showErrorMessage="1" sqref="CKH655365:CKH655388">
      <formula1>項目!A4:$CKA$655362</formula1>
    </dataValidation>
    <dataValidation type="list" allowBlank="1" showInputMessage="1" showErrorMessage="1" sqref="CUD655365:CUD655388">
      <formula1>項目!A4:$CTW$655362</formula1>
    </dataValidation>
    <dataValidation type="list" allowBlank="1" showInputMessage="1" showErrorMessage="1" sqref="DDZ655365:DDZ655388">
      <formula1>項目!A4:$DDS$655362</formula1>
    </dataValidation>
    <dataValidation type="list" allowBlank="1" showInputMessage="1" showErrorMessage="1" sqref="DNV655365:DNV655388">
      <formula1>項目!A4:$DNO$655362</formula1>
    </dataValidation>
    <dataValidation type="list" allowBlank="1" showInputMessage="1" showErrorMessage="1" sqref="DXR655365:DXR655388">
      <formula1>項目!A4:$DXK$655362</formula1>
    </dataValidation>
    <dataValidation type="list" allowBlank="1" showInputMessage="1" showErrorMessage="1" sqref="EHN655365:EHN655388">
      <formula1>項目!A4:$EHG$655362</formula1>
    </dataValidation>
    <dataValidation type="list" allowBlank="1" showInputMessage="1" showErrorMessage="1" sqref="ERJ655365:ERJ655388">
      <formula1>項目!A4:$ERC$655362</formula1>
    </dataValidation>
    <dataValidation type="list" allowBlank="1" showInputMessage="1" showErrorMessage="1" sqref="FBF655365:FBF655388">
      <formula1>項目!A4:$FAY$655362</formula1>
    </dataValidation>
    <dataValidation type="list" allowBlank="1" showInputMessage="1" showErrorMessage="1" sqref="FLB655365:FLB655388">
      <formula1>項目!A4:$FKU$655362</formula1>
    </dataValidation>
    <dataValidation type="list" allowBlank="1" showInputMessage="1" showErrorMessage="1" sqref="FUX655365:FUX655388">
      <formula1>項目!A4:$FUQ$655362</formula1>
    </dataValidation>
    <dataValidation type="list" allowBlank="1" showInputMessage="1" showErrorMessage="1" sqref="GET655365:GET655388">
      <formula1>項目!A4:$GEM$655362</formula1>
    </dataValidation>
    <dataValidation type="list" allowBlank="1" showInputMessage="1" showErrorMessage="1" sqref="GOP655365:GOP655388">
      <formula1>項目!A4:$GOI$655362</formula1>
    </dataValidation>
    <dataValidation type="list" allowBlank="1" showInputMessage="1" showErrorMessage="1" sqref="GYL655365:GYL655388">
      <formula1>項目!A4:$GYE$655362</formula1>
    </dataValidation>
    <dataValidation type="list" allowBlank="1" showInputMessage="1" showErrorMessage="1" sqref="HIH655365:HIH655388">
      <formula1>項目!A4:$HIA$655362</formula1>
    </dataValidation>
    <dataValidation type="list" allowBlank="1" showInputMessage="1" showErrorMessage="1" sqref="HSD655365:HSD655388">
      <formula1>項目!A4:$HRW$655362</formula1>
    </dataValidation>
    <dataValidation type="list" allowBlank="1" showInputMessage="1" showErrorMessage="1" sqref="IBZ655365:IBZ655388">
      <formula1>項目!A4:$IBS$655362</formula1>
    </dataValidation>
    <dataValidation type="list" allowBlank="1" showInputMessage="1" showErrorMessage="1" sqref="ILV655365:ILV655388">
      <formula1>項目!A4:$ILO$655362</formula1>
    </dataValidation>
    <dataValidation type="list" allowBlank="1" showInputMessage="1" showErrorMessage="1" sqref="IVR655365:IVR655388">
      <formula1>項目!A4:$IVK$655362</formula1>
    </dataValidation>
    <dataValidation type="list" allowBlank="1" showInputMessage="1" showErrorMessage="1" sqref="JFN655365:JFN655388">
      <formula1>項目!A4:$JFG$655362</formula1>
    </dataValidation>
    <dataValidation type="list" allowBlank="1" showInputMessage="1" showErrorMessage="1" sqref="JPJ655365:JPJ655388">
      <formula1>項目!A4:$JPC$655362</formula1>
    </dataValidation>
    <dataValidation type="list" allowBlank="1" showInputMessage="1" showErrorMessage="1" sqref="JZF655365:JZF655388">
      <formula1>項目!A4:$JYY$655362</formula1>
    </dataValidation>
    <dataValidation type="list" allowBlank="1" showInputMessage="1" showErrorMessage="1" sqref="KJB655365:KJB655388">
      <formula1>項目!A4:$KIU$655362</formula1>
    </dataValidation>
    <dataValidation type="list" allowBlank="1" showInputMessage="1" showErrorMessage="1" sqref="KSX655365:KSX655388">
      <formula1>項目!A4:$KSQ$655362</formula1>
    </dataValidation>
    <dataValidation type="list" allowBlank="1" showInputMessage="1" showErrorMessage="1" sqref="LCT655365:LCT655388">
      <formula1>項目!A4:$LCM$655362</formula1>
    </dataValidation>
    <dataValidation type="list" allowBlank="1" showInputMessage="1" showErrorMessage="1" sqref="LMP655365:LMP655388">
      <formula1>項目!A4:$LMI$655362</formula1>
    </dataValidation>
    <dataValidation type="list" allowBlank="1" showInputMessage="1" showErrorMessage="1" sqref="LWL655365:LWL655388">
      <formula1>項目!A4:$LWE$655362</formula1>
    </dataValidation>
    <dataValidation type="list" allowBlank="1" showInputMessage="1" showErrorMessage="1" sqref="MGH655365:MGH655388">
      <formula1>項目!A4:$MGA$655362</formula1>
    </dataValidation>
    <dataValidation type="list" allowBlank="1" showInputMessage="1" showErrorMessage="1" sqref="MQD655365:MQD655388">
      <formula1>項目!A4:$MPW$655362</formula1>
    </dataValidation>
    <dataValidation type="list" allowBlank="1" showInputMessage="1" showErrorMessage="1" sqref="MZZ655365:MZZ655388">
      <formula1>項目!A4:$MZS$655362</formula1>
    </dataValidation>
    <dataValidation type="list" allowBlank="1" showInputMessage="1" showErrorMessage="1" sqref="NJV655365:NJV655388">
      <formula1>項目!A4:$NJO$655362</formula1>
    </dataValidation>
    <dataValidation type="list" allowBlank="1" showInputMessage="1" showErrorMessage="1" sqref="NTR655365:NTR655388">
      <formula1>項目!A4:$NTK$655362</formula1>
    </dataValidation>
    <dataValidation type="list" allowBlank="1" showInputMessage="1" showErrorMessage="1" sqref="ODN655365:ODN655388">
      <formula1>項目!A4:$ODG$655362</formula1>
    </dataValidation>
    <dataValidation type="list" allowBlank="1" showInputMessage="1" showErrorMessage="1" sqref="ONJ655365:ONJ655388">
      <formula1>項目!A4:$ONC$655362</formula1>
    </dataValidation>
    <dataValidation type="list" allowBlank="1" showInputMessage="1" showErrorMessage="1" sqref="OXF655365:OXF655388">
      <formula1>項目!A4:$OWY$655362</formula1>
    </dataValidation>
    <dataValidation type="list" allowBlank="1" showInputMessage="1" showErrorMessage="1" sqref="PHB655365:PHB655388">
      <formula1>項目!A4:$PGU$655362</formula1>
    </dataValidation>
    <dataValidation type="list" allowBlank="1" showInputMessage="1" showErrorMessage="1" sqref="PQX655365:PQX655388">
      <formula1>項目!A4:$PQQ$655362</formula1>
    </dataValidation>
    <dataValidation type="list" allowBlank="1" showInputMessage="1" showErrorMessage="1" sqref="QAT655365:QAT655388">
      <formula1>項目!A4:$QAM$655362</formula1>
    </dataValidation>
    <dataValidation type="list" allowBlank="1" showInputMessage="1" showErrorMessage="1" sqref="QKP655365:QKP655388">
      <formula1>項目!A4:$QKI$655362</formula1>
    </dataValidation>
    <dataValidation type="list" allowBlank="1" showInputMessage="1" showErrorMessage="1" sqref="QUL655365:QUL655388">
      <formula1>項目!A4:$QUE$655362</formula1>
    </dataValidation>
    <dataValidation type="list" allowBlank="1" showInputMessage="1" showErrorMessage="1" sqref="REH655365:REH655388">
      <formula1>項目!A4:$REA$655362</formula1>
    </dataValidation>
    <dataValidation type="list" allowBlank="1" showInputMessage="1" showErrorMessage="1" sqref="ROD655365:ROD655388">
      <formula1>項目!A4:$RNW$655362</formula1>
    </dataValidation>
    <dataValidation type="list" allowBlank="1" showInputMessage="1" showErrorMessage="1" sqref="RXZ655365:RXZ655388">
      <formula1>項目!A4:$RXS$655362</formula1>
    </dataValidation>
    <dataValidation type="list" allowBlank="1" showInputMessage="1" showErrorMessage="1" sqref="SHV655365:SHV655388">
      <formula1>項目!A4:$SHO$655362</formula1>
    </dataValidation>
    <dataValidation type="list" allowBlank="1" showInputMessage="1" showErrorMessage="1" sqref="SRR655365:SRR655388">
      <formula1>項目!A4:$SRK$655362</formula1>
    </dataValidation>
    <dataValidation type="list" allowBlank="1" showInputMessage="1" showErrorMessage="1" sqref="TBN655365:TBN655388">
      <formula1>項目!A4:$TBG$655362</formula1>
    </dataValidation>
    <dataValidation type="list" allowBlank="1" showInputMessage="1" showErrorMessage="1" sqref="TLJ655365:TLJ655388">
      <formula1>項目!A4:$TLC$655362</formula1>
    </dataValidation>
    <dataValidation type="list" allowBlank="1" showInputMessage="1" showErrorMessage="1" sqref="TVF655365:TVF655388">
      <formula1>項目!A4:$TUY$655362</formula1>
    </dataValidation>
    <dataValidation type="list" allowBlank="1" showInputMessage="1" showErrorMessage="1" sqref="UFB655365:UFB655388">
      <formula1>項目!A4:$UEU$655362</formula1>
    </dataValidation>
    <dataValidation type="list" allowBlank="1" showInputMessage="1" showErrorMessage="1" sqref="UOX655365:UOX655388">
      <formula1>項目!A4:$UOQ$655362</formula1>
    </dataValidation>
    <dataValidation type="list" allowBlank="1" showInputMessage="1" showErrorMessage="1" sqref="UYT655365:UYT655388">
      <formula1>項目!A4:$UYM$655362</formula1>
    </dataValidation>
    <dataValidation type="list" allowBlank="1" showInputMessage="1" showErrorMessage="1" sqref="VIP655365:VIP655388">
      <formula1>項目!A4:$VII$655362</formula1>
    </dataValidation>
    <dataValidation type="list" allowBlank="1" showInputMessage="1" showErrorMessage="1" sqref="VSL655365:VSL655388">
      <formula1>項目!A4:$VSE$655362</formula1>
    </dataValidation>
    <dataValidation type="list" allowBlank="1" showInputMessage="1" showErrorMessage="1" sqref="WCH655365:WCH655388">
      <formula1>項目!A4:$WCA$655362</formula1>
    </dataValidation>
    <dataValidation type="list" allowBlank="1" showInputMessage="1" showErrorMessage="1" sqref="WMD655365:WMD655388">
      <formula1>項目!A4:$WLW$655362</formula1>
    </dataValidation>
    <dataValidation type="list" allowBlank="1" showInputMessage="1" showErrorMessage="1" sqref="WVZ655365:WVZ655388">
      <formula1>項目!A4:$WVS$655362</formula1>
    </dataValidation>
    <dataValidation type="list" allowBlank="1" showInputMessage="1" showErrorMessage="1" sqref="R720901:R720924">
      <formula1>項目!A4:$K$720898</formula1>
    </dataValidation>
    <dataValidation type="list" allowBlank="1" showInputMessage="1" showErrorMessage="1" sqref="JN720901:JN720924">
      <formula1>項目!A4:$JG$720898</formula1>
    </dataValidation>
    <dataValidation type="list" allowBlank="1" showInputMessage="1" showErrorMessage="1" sqref="TJ720901:TJ720924">
      <formula1>項目!A4:$TC$720898</formula1>
    </dataValidation>
    <dataValidation type="list" allowBlank="1" showInputMessage="1" showErrorMessage="1" sqref="ADF720901:ADF720924">
      <formula1>項目!A4:$ACY$720898</formula1>
    </dataValidation>
    <dataValidation type="list" allowBlank="1" showInputMessage="1" showErrorMessage="1" sqref="ANB720901:ANB720924">
      <formula1>項目!A4:$AMU$720898</formula1>
    </dataValidation>
    <dataValidation type="list" allowBlank="1" showInputMessage="1" showErrorMessage="1" sqref="AWX720901:AWX720924">
      <formula1>項目!A4:$AWQ$720898</formula1>
    </dataValidation>
    <dataValidation type="list" allowBlank="1" showInputMessage="1" showErrorMessage="1" sqref="BGT720901:BGT720924">
      <formula1>項目!A4:$BGM$720898</formula1>
    </dataValidation>
    <dataValidation type="list" allowBlank="1" showInputMessage="1" showErrorMessage="1" sqref="BQP720901:BQP720924">
      <formula1>項目!A4:$BQI$720898</formula1>
    </dataValidation>
    <dataValidation type="list" allowBlank="1" showInputMessage="1" showErrorMessage="1" sqref="CAL720901:CAL720924">
      <formula1>項目!A4:$CAE$720898</formula1>
    </dataValidation>
    <dataValidation type="list" allowBlank="1" showInputMessage="1" showErrorMessage="1" sqref="CKH720901:CKH720924">
      <formula1>項目!A4:$CKA$720898</formula1>
    </dataValidation>
    <dataValidation type="list" allowBlank="1" showInputMessage="1" showErrorMessage="1" sqref="CUD720901:CUD720924">
      <formula1>項目!A4:$CTW$720898</formula1>
    </dataValidation>
    <dataValidation type="list" allowBlank="1" showInputMessage="1" showErrorMessage="1" sqref="DDZ720901:DDZ720924">
      <formula1>項目!A4:$DDS$720898</formula1>
    </dataValidation>
    <dataValidation type="list" allowBlank="1" showInputMessage="1" showErrorMessage="1" sqref="DNV720901:DNV720924">
      <formula1>項目!A4:$DNO$720898</formula1>
    </dataValidation>
    <dataValidation type="list" allowBlank="1" showInputMessage="1" showErrorMessage="1" sqref="DXR720901:DXR720924">
      <formula1>項目!A4:$DXK$720898</formula1>
    </dataValidation>
    <dataValidation type="list" allowBlank="1" showInputMessage="1" showErrorMessage="1" sqref="EHN720901:EHN720924">
      <formula1>項目!A4:$EHG$720898</formula1>
    </dataValidation>
    <dataValidation type="list" allowBlank="1" showInputMessage="1" showErrorMessage="1" sqref="ERJ720901:ERJ720924">
      <formula1>項目!A4:$ERC$720898</formula1>
    </dataValidation>
    <dataValidation type="list" allowBlank="1" showInputMessage="1" showErrorMessage="1" sqref="FBF720901:FBF720924">
      <formula1>項目!A4:$FAY$720898</formula1>
    </dataValidation>
    <dataValidation type="list" allowBlank="1" showInputMessage="1" showErrorMessage="1" sqref="FLB720901:FLB720924">
      <formula1>項目!A4:$FKU$720898</formula1>
    </dataValidation>
    <dataValidation type="list" allowBlank="1" showInputMessage="1" showErrorMessage="1" sqref="FUX720901:FUX720924">
      <formula1>項目!A4:$FUQ$720898</formula1>
    </dataValidation>
    <dataValidation type="list" allowBlank="1" showInputMessage="1" showErrorMessage="1" sqref="GET720901:GET720924">
      <formula1>項目!A4:$GEM$720898</formula1>
    </dataValidation>
    <dataValidation type="list" allowBlank="1" showInputMessage="1" showErrorMessage="1" sqref="GOP720901:GOP720924">
      <formula1>項目!A4:$GOI$720898</formula1>
    </dataValidation>
    <dataValidation type="list" allowBlank="1" showInputMessage="1" showErrorMessage="1" sqref="GYL720901:GYL720924">
      <formula1>項目!A4:$GYE$720898</formula1>
    </dataValidation>
    <dataValidation type="list" allowBlank="1" showInputMessage="1" showErrorMessage="1" sqref="HIH720901:HIH720924">
      <formula1>項目!A4:$HIA$720898</formula1>
    </dataValidation>
    <dataValidation type="list" allowBlank="1" showInputMessage="1" showErrorMessage="1" sqref="HSD720901:HSD720924">
      <formula1>項目!A4:$HRW$720898</formula1>
    </dataValidation>
    <dataValidation type="list" allowBlank="1" showInputMessage="1" showErrorMessage="1" sqref="IBZ720901:IBZ720924">
      <formula1>項目!A4:$IBS$720898</formula1>
    </dataValidation>
    <dataValidation type="list" allowBlank="1" showInputMessage="1" showErrorMessage="1" sqref="ILV720901:ILV720924">
      <formula1>項目!A4:$ILO$720898</formula1>
    </dataValidation>
    <dataValidation type="list" allowBlank="1" showInputMessage="1" showErrorMessage="1" sqref="IVR720901:IVR720924">
      <formula1>項目!A4:$IVK$720898</formula1>
    </dataValidation>
    <dataValidation type="list" allowBlank="1" showInputMessage="1" showErrorMessage="1" sqref="JFN720901:JFN720924">
      <formula1>項目!A4:$JFG$720898</formula1>
    </dataValidation>
    <dataValidation type="list" allowBlank="1" showInputMessage="1" showErrorMessage="1" sqref="JPJ720901:JPJ720924">
      <formula1>項目!A4:$JPC$720898</formula1>
    </dataValidation>
    <dataValidation type="list" allowBlank="1" showInputMessage="1" showErrorMessage="1" sqref="JZF720901:JZF720924">
      <formula1>項目!A4:$JYY$720898</formula1>
    </dataValidation>
    <dataValidation type="list" allowBlank="1" showInputMessage="1" showErrorMessage="1" sqref="KJB720901:KJB720924">
      <formula1>項目!A4:$KIU$720898</formula1>
    </dataValidation>
    <dataValidation type="list" allowBlank="1" showInputMessage="1" showErrorMessage="1" sqref="KSX720901:KSX720924">
      <formula1>項目!A4:$KSQ$720898</formula1>
    </dataValidation>
    <dataValidation type="list" allowBlank="1" showInputMessage="1" showErrorMessage="1" sqref="LCT720901:LCT720924">
      <formula1>項目!A4:$LCM$720898</formula1>
    </dataValidation>
    <dataValidation type="list" allowBlank="1" showInputMessage="1" showErrorMessage="1" sqref="LMP720901:LMP720924">
      <formula1>項目!A4:$LMI$720898</formula1>
    </dataValidation>
    <dataValidation type="list" allowBlank="1" showInputMessage="1" showErrorMessage="1" sqref="LWL720901:LWL720924">
      <formula1>項目!A4:$LWE$720898</formula1>
    </dataValidation>
    <dataValidation type="list" allowBlank="1" showInputMessage="1" showErrorMessage="1" sqref="MGH720901:MGH720924">
      <formula1>項目!A4:$MGA$720898</formula1>
    </dataValidation>
    <dataValidation type="list" allowBlank="1" showInputMessage="1" showErrorMessage="1" sqref="MQD720901:MQD720924">
      <formula1>項目!A4:$MPW$720898</formula1>
    </dataValidation>
    <dataValidation type="list" allowBlank="1" showInputMessage="1" showErrorMessage="1" sqref="MZZ720901:MZZ720924">
      <formula1>項目!A4:$MZS$720898</formula1>
    </dataValidation>
    <dataValidation type="list" allowBlank="1" showInputMessage="1" showErrorMessage="1" sqref="NJV720901:NJV720924">
      <formula1>項目!A4:$NJO$720898</formula1>
    </dataValidation>
    <dataValidation type="list" allowBlank="1" showInputMessage="1" showErrorMessage="1" sqref="NTR720901:NTR720924">
      <formula1>項目!A4:$NTK$720898</formula1>
    </dataValidation>
    <dataValidation type="list" allowBlank="1" showInputMessage="1" showErrorMessage="1" sqref="ODN720901:ODN720924">
      <formula1>項目!A4:$ODG$720898</formula1>
    </dataValidation>
    <dataValidation type="list" allowBlank="1" showInputMessage="1" showErrorMessage="1" sqref="ONJ720901:ONJ720924">
      <formula1>項目!A4:$ONC$720898</formula1>
    </dataValidation>
    <dataValidation type="list" allowBlank="1" showInputMessage="1" showErrorMessage="1" sqref="OXF720901:OXF720924">
      <formula1>項目!A4:$OWY$720898</formula1>
    </dataValidation>
    <dataValidation type="list" allowBlank="1" showInputMessage="1" showErrorMessage="1" sqref="PHB720901:PHB720924">
      <formula1>項目!A4:$PGU$720898</formula1>
    </dataValidation>
    <dataValidation type="list" allowBlank="1" showInputMessage="1" showErrorMessage="1" sqref="PQX720901:PQX720924">
      <formula1>項目!A4:$PQQ$720898</formula1>
    </dataValidation>
    <dataValidation type="list" allowBlank="1" showInputMessage="1" showErrorMessage="1" sqref="QAT720901:QAT720924">
      <formula1>項目!A4:$QAM$720898</formula1>
    </dataValidation>
    <dataValidation type="list" allowBlank="1" showInputMessage="1" showErrorMessage="1" sqref="QKP720901:QKP720924">
      <formula1>項目!A4:$QKI$720898</formula1>
    </dataValidation>
    <dataValidation type="list" allowBlank="1" showInputMessage="1" showErrorMessage="1" sqref="QUL720901:QUL720924">
      <formula1>項目!A4:$QUE$720898</formula1>
    </dataValidation>
    <dataValidation type="list" allowBlank="1" showInputMessage="1" showErrorMessage="1" sqref="REH720901:REH720924">
      <formula1>項目!A4:$REA$720898</formula1>
    </dataValidation>
    <dataValidation type="list" allowBlank="1" showInputMessage="1" showErrorMessage="1" sqref="ROD720901:ROD720924">
      <formula1>項目!A4:$RNW$720898</formula1>
    </dataValidation>
    <dataValidation type="list" allowBlank="1" showInputMessage="1" showErrorMessage="1" sqref="RXZ720901:RXZ720924">
      <formula1>項目!A4:$RXS$720898</formula1>
    </dataValidation>
    <dataValidation type="list" allowBlank="1" showInputMessage="1" showErrorMessage="1" sqref="SHV720901:SHV720924">
      <formula1>項目!A4:$SHO$720898</formula1>
    </dataValidation>
    <dataValidation type="list" allowBlank="1" showInputMessage="1" showErrorMessage="1" sqref="SRR720901:SRR720924">
      <formula1>項目!A4:$SRK$720898</formula1>
    </dataValidation>
    <dataValidation type="list" allowBlank="1" showInputMessage="1" showErrorMessage="1" sqref="TBN720901:TBN720924">
      <formula1>項目!A4:$TBG$720898</formula1>
    </dataValidation>
    <dataValidation type="list" allowBlank="1" showInputMessage="1" showErrorMessage="1" sqref="TLJ720901:TLJ720924">
      <formula1>項目!A4:$TLC$720898</formula1>
    </dataValidation>
    <dataValidation type="list" allowBlank="1" showInputMessage="1" showErrorMessage="1" sqref="TVF720901:TVF720924">
      <formula1>項目!A4:$TUY$720898</formula1>
    </dataValidation>
    <dataValidation type="list" allowBlank="1" showInputMessage="1" showErrorMessage="1" sqref="UFB720901:UFB720924">
      <formula1>項目!A4:$UEU$720898</formula1>
    </dataValidation>
    <dataValidation type="list" allowBlank="1" showInputMessage="1" showErrorMessage="1" sqref="UOX720901:UOX720924">
      <formula1>項目!A4:$UOQ$720898</formula1>
    </dataValidation>
    <dataValidation type="list" allowBlank="1" showInputMessage="1" showErrorMessage="1" sqref="UYT720901:UYT720924">
      <formula1>項目!A4:$UYM$720898</formula1>
    </dataValidation>
    <dataValidation type="list" allowBlank="1" showInputMessage="1" showErrorMessage="1" sqref="VIP720901:VIP720924">
      <formula1>項目!A4:$VII$720898</formula1>
    </dataValidation>
    <dataValidation type="list" allowBlank="1" showInputMessage="1" showErrorMessage="1" sqref="VSL720901:VSL720924">
      <formula1>項目!A4:$VSE$720898</formula1>
    </dataValidation>
    <dataValidation type="list" allowBlank="1" showInputMessage="1" showErrorMessage="1" sqref="WCH720901:WCH720924">
      <formula1>項目!A4:$WCA$720898</formula1>
    </dataValidation>
    <dataValidation type="list" allowBlank="1" showInputMessage="1" showErrorMessage="1" sqref="WMD720901:WMD720924">
      <formula1>項目!A4:$WLW$720898</formula1>
    </dataValidation>
    <dataValidation type="list" allowBlank="1" showInputMessage="1" showErrorMessage="1" sqref="WVZ720901:WVZ720924">
      <formula1>項目!A4:$WVS$720898</formula1>
    </dataValidation>
    <dataValidation type="list" allowBlank="1" showInputMessage="1" showErrorMessage="1" sqref="R786437:R786460">
      <formula1>項目!A4:$K$786434</formula1>
    </dataValidation>
    <dataValidation type="list" allowBlank="1" showInputMessage="1" showErrorMessage="1" sqref="JN786437:JN786460">
      <formula1>項目!A4:$JG$786434</formula1>
    </dataValidation>
    <dataValidation type="list" allowBlank="1" showInputMessage="1" showErrorMessage="1" sqref="TJ786437:TJ786460">
      <formula1>項目!A4:$TC$786434</formula1>
    </dataValidation>
    <dataValidation type="list" allowBlank="1" showInputMessage="1" showErrorMessage="1" sqref="ADF786437:ADF786460">
      <formula1>項目!A4:$ACY$786434</formula1>
    </dataValidation>
    <dataValidation type="list" allowBlank="1" showInputMessage="1" showErrorMessage="1" sqref="ANB786437:ANB786460">
      <formula1>項目!A4:$AMU$786434</formula1>
    </dataValidation>
    <dataValidation type="list" allowBlank="1" showInputMessage="1" showErrorMessage="1" sqref="AWX786437:AWX786460">
      <formula1>項目!A4:$AWQ$786434</formula1>
    </dataValidation>
    <dataValidation type="list" allowBlank="1" showInputMessage="1" showErrorMessage="1" sqref="BGT786437:BGT786460">
      <formula1>項目!A4:$BGM$786434</formula1>
    </dataValidation>
    <dataValidation type="list" allowBlank="1" showInputMessage="1" showErrorMessage="1" sqref="BQP786437:BQP786460">
      <formula1>項目!A4:$BQI$786434</formula1>
    </dataValidation>
    <dataValidation type="list" allowBlank="1" showInputMessage="1" showErrorMessage="1" sqref="CAL786437:CAL786460">
      <formula1>項目!A4:$CAE$786434</formula1>
    </dataValidation>
    <dataValidation type="list" allowBlank="1" showInputMessage="1" showErrorMessage="1" sqref="CKH786437:CKH786460">
      <formula1>項目!A4:$CKA$786434</formula1>
    </dataValidation>
    <dataValidation type="list" allowBlank="1" showInputMessage="1" showErrorMessage="1" sqref="CUD786437:CUD786460">
      <formula1>項目!A4:$CTW$786434</formula1>
    </dataValidation>
    <dataValidation type="list" allowBlank="1" showInputMessage="1" showErrorMessage="1" sqref="DDZ786437:DDZ786460">
      <formula1>項目!A4:$DDS$786434</formula1>
    </dataValidation>
    <dataValidation type="list" allowBlank="1" showInputMessage="1" showErrorMessage="1" sqref="DNV786437:DNV786460">
      <formula1>項目!A4:$DNO$786434</formula1>
    </dataValidation>
    <dataValidation type="list" allowBlank="1" showInputMessage="1" showErrorMessage="1" sqref="DXR786437:DXR786460">
      <formula1>項目!A4:$DXK$786434</formula1>
    </dataValidation>
    <dataValidation type="list" allowBlank="1" showInputMessage="1" showErrorMessage="1" sqref="EHN786437:EHN786460">
      <formula1>項目!A4:$EHG$786434</formula1>
    </dataValidation>
    <dataValidation type="list" allowBlank="1" showInputMessage="1" showErrorMessage="1" sqref="ERJ786437:ERJ786460">
      <formula1>項目!A4:$ERC$786434</formula1>
    </dataValidation>
    <dataValidation type="list" allowBlank="1" showInputMessage="1" showErrorMessage="1" sqref="FBF786437:FBF786460">
      <formula1>項目!A4:$FAY$786434</formula1>
    </dataValidation>
    <dataValidation type="list" allowBlank="1" showInputMessage="1" showErrorMessage="1" sqref="FLB786437:FLB786460">
      <formula1>項目!A4:$FKU$786434</formula1>
    </dataValidation>
    <dataValidation type="list" allowBlank="1" showInputMessage="1" showErrorMessage="1" sqref="FUX786437:FUX786460">
      <formula1>項目!A4:$FUQ$786434</formula1>
    </dataValidation>
    <dataValidation type="list" allowBlank="1" showInputMessage="1" showErrorMessage="1" sqref="GET786437:GET786460">
      <formula1>項目!A4:$GEM$786434</formula1>
    </dataValidation>
    <dataValidation type="list" allowBlank="1" showInputMessage="1" showErrorMessage="1" sqref="GOP786437:GOP786460">
      <formula1>項目!A4:$GOI$786434</formula1>
    </dataValidation>
    <dataValidation type="list" allowBlank="1" showInputMessage="1" showErrorMessage="1" sqref="GYL786437:GYL786460">
      <formula1>項目!A4:$GYE$786434</formula1>
    </dataValidation>
    <dataValidation type="list" allowBlank="1" showInputMessage="1" showErrorMessage="1" sqref="HIH786437:HIH786460">
      <formula1>項目!A4:$HIA$786434</formula1>
    </dataValidation>
    <dataValidation type="list" allowBlank="1" showInputMessage="1" showErrorMessage="1" sqref="HSD786437:HSD786460">
      <formula1>項目!A4:$HRW$786434</formula1>
    </dataValidation>
    <dataValidation type="list" allowBlank="1" showInputMessage="1" showErrorMessage="1" sqref="IBZ786437:IBZ786460">
      <formula1>項目!A4:$IBS$786434</formula1>
    </dataValidation>
    <dataValidation type="list" allowBlank="1" showInputMessage="1" showErrorMessage="1" sqref="ILV786437:ILV786460">
      <formula1>項目!A4:$ILO$786434</formula1>
    </dataValidation>
    <dataValidation type="list" allowBlank="1" showInputMessage="1" showErrorMessage="1" sqref="IVR786437:IVR786460">
      <formula1>項目!A4:$IVK$786434</formula1>
    </dataValidation>
    <dataValidation type="list" allowBlank="1" showInputMessage="1" showErrorMessage="1" sqref="JFN786437:JFN786460">
      <formula1>項目!A4:$JFG$786434</formula1>
    </dataValidation>
    <dataValidation type="list" allowBlank="1" showInputMessage="1" showErrorMessage="1" sqref="JPJ786437:JPJ786460">
      <formula1>項目!A4:$JPC$786434</formula1>
    </dataValidation>
    <dataValidation type="list" allowBlank="1" showInputMessage="1" showErrorMessage="1" sqref="JZF786437:JZF786460">
      <formula1>項目!A4:$JYY$786434</formula1>
    </dataValidation>
    <dataValidation type="list" allowBlank="1" showInputMessage="1" showErrorMessage="1" sqref="KJB786437:KJB786460">
      <formula1>項目!A4:$KIU$786434</formula1>
    </dataValidation>
    <dataValidation type="list" allowBlank="1" showInputMessage="1" showErrorMessage="1" sqref="KSX786437:KSX786460">
      <formula1>項目!A4:$KSQ$786434</formula1>
    </dataValidation>
    <dataValidation type="list" allowBlank="1" showInputMessage="1" showErrorMessage="1" sqref="LCT786437:LCT786460">
      <formula1>項目!A4:$LCM$786434</formula1>
    </dataValidation>
    <dataValidation type="list" allowBlank="1" showInputMessage="1" showErrorMessage="1" sqref="LMP786437:LMP786460">
      <formula1>項目!A4:$LMI$786434</formula1>
    </dataValidation>
    <dataValidation type="list" allowBlank="1" showInputMessage="1" showErrorMessage="1" sqref="LWL786437:LWL786460">
      <formula1>項目!A4:$LWE$786434</formula1>
    </dataValidation>
    <dataValidation type="list" allowBlank="1" showInputMessage="1" showErrorMessage="1" sqref="MGH786437:MGH786460">
      <formula1>項目!A4:$MGA$786434</formula1>
    </dataValidation>
    <dataValidation type="list" allowBlank="1" showInputMessage="1" showErrorMessage="1" sqref="MQD786437:MQD786460">
      <formula1>項目!A4:$MPW$786434</formula1>
    </dataValidation>
    <dataValidation type="list" allowBlank="1" showInputMessage="1" showErrorMessage="1" sqref="MZZ786437:MZZ786460">
      <formula1>項目!A4:$MZS$786434</formula1>
    </dataValidation>
    <dataValidation type="list" allowBlank="1" showInputMessage="1" showErrorMessage="1" sqref="NJV786437:NJV786460">
      <formula1>項目!A4:$NJO$786434</formula1>
    </dataValidation>
    <dataValidation type="list" allowBlank="1" showInputMessage="1" showErrorMessage="1" sqref="NTR786437:NTR786460">
      <formula1>項目!A4:$NTK$786434</formula1>
    </dataValidation>
    <dataValidation type="list" allowBlank="1" showInputMessage="1" showErrorMessage="1" sqref="ODN786437:ODN786460">
      <formula1>項目!A4:$ODG$786434</formula1>
    </dataValidation>
    <dataValidation type="list" allowBlank="1" showInputMessage="1" showErrorMessage="1" sqref="ONJ786437:ONJ786460">
      <formula1>項目!A4:$ONC$786434</formula1>
    </dataValidation>
    <dataValidation type="list" allowBlank="1" showInputMessage="1" showErrorMessage="1" sqref="OXF786437:OXF786460">
      <formula1>項目!A4:$OWY$786434</formula1>
    </dataValidation>
    <dataValidation type="list" allowBlank="1" showInputMessage="1" showErrorMessage="1" sqref="PHB786437:PHB786460">
      <formula1>項目!A4:$PGU$786434</formula1>
    </dataValidation>
    <dataValidation type="list" allowBlank="1" showInputMessage="1" showErrorMessage="1" sqref="PQX786437:PQX786460">
      <formula1>項目!A4:$PQQ$786434</formula1>
    </dataValidation>
    <dataValidation type="list" allowBlank="1" showInputMessage="1" showErrorMessage="1" sqref="QAT786437:QAT786460">
      <formula1>項目!A4:$QAM$786434</formula1>
    </dataValidation>
    <dataValidation type="list" allowBlank="1" showInputMessage="1" showErrorMessage="1" sqref="QKP786437:QKP786460">
      <formula1>項目!A4:$QKI$786434</formula1>
    </dataValidation>
    <dataValidation type="list" allowBlank="1" showInputMessage="1" showErrorMessage="1" sqref="QUL786437:QUL786460">
      <formula1>項目!A4:$QUE$786434</formula1>
    </dataValidation>
    <dataValidation type="list" allowBlank="1" showInputMessage="1" showErrorMessage="1" sqref="REH786437:REH786460">
      <formula1>項目!A4:$REA$786434</formula1>
    </dataValidation>
    <dataValidation type="list" allowBlank="1" showInputMessage="1" showErrorMessage="1" sqref="ROD786437:ROD786460">
      <formula1>項目!A4:$RNW$786434</formula1>
    </dataValidation>
    <dataValidation type="list" allowBlank="1" showInputMessage="1" showErrorMessage="1" sqref="RXZ786437:RXZ786460">
      <formula1>項目!A4:$RXS$786434</formula1>
    </dataValidation>
    <dataValidation type="list" allowBlank="1" showInputMessage="1" showErrorMessage="1" sqref="SHV786437:SHV786460">
      <formula1>項目!A4:$SHO$786434</formula1>
    </dataValidation>
    <dataValidation type="list" allowBlank="1" showInputMessage="1" showErrorMessage="1" sqref="SRR786437:SRR786460">
      <formula1>項目!A4:$SRK$786434</formula1>
    </dataValidation>
    <dataValidation type="list" allowBlank="1" showInputMessage="1" showErrorMessage="1" sqref="TBN786437:TBN786460">
      <formula1>項目!A4:$TBG$786434</formula1>
    </dataValidation>
    <dataValidation type="list" allowBlank="1" showInputMessage="1" showErrorMessage="1" sqref="TLJ786437:TLJ786460">
      <formula1>項目!A4:$TLC$786434</formula1>
    </dataValidation>
    <dataValidation type="list" allowBlank="1" showInputMessage="1" showErrorMessage="1" sqref="TVF786437:TVF786460">
      <formula1>項目!A4:$TUY$786434</formula1>
    </dataValidation>
    <dataValidation type="list" allowBlank="1" showInputMessage="1" showErrorMessage="1" sqref="UFB786437:UFB786460">
      <formula1>項目!A4:$UEU$786434</formula1>
    </dataValidation>
    <dataValidation type="list" allowBlank="1" showInputMessage="1" showErrorMessage="1" sqref="UOX786437:UOX786460">
      <formula1>項目!A4:$UOQ$786434</formula1>
    </dataValidation>
    <dataValidation type="list" allowBlank="1" showInputMessage="1" showErrorMessage="1" sqref="UYT786437:UYT786460">
      <formula1>項目!A4:$UYM$786434</formula1>
    </dataValidation>
    <dataValidation type="list" allowBlank="1" showInputMessage="1" showErrorMessage="1" sqref="VIP786437:VIP786460">
      <formula1>項目!A4:$VII$786434</formula1>
    </dataValidation>
    <dataValidation type="list" allowBlank="1" showInputMessage="1" showErrorMessage="1" sqref="VSL786437:VSL786460">
      <formula1>項目!A4:$VSE$786434</formula1>
    </dataValidation>
    <dataValidation type="list" allowBlank="1" showInputMessage="1" showErrorMessage="1" sqref="WCH786437:WCH786460">
      <formula1>項目!A4:$WCA$786434</formula1>
    </dataValidation>
    <dataValidation type="list" allowBlank="1" showInputMessage="1" showErrorMessage="1" sqref="WMD786437:WMD786460">
      <formula1>項目!A4:$WLW$786434</formula1>
    </dataValidation>
    <dataValidation type="list" allowBlank="1" showInputMessage="1" showErrorMessage="1" sqref="WVZ786437:WVZ786460">
      <formula1>項目!A4:$WVS$786434</formula1>
    </dataValidation>
    <dataValidation type="list" allowBlank="1" showInputMessage="1" showErrorMessage="1" sqref="R851973:R851996">
      <formula1>項目!A4:$K$851970</formula1>
    </dataValidation>
    <dataValidation type="list" allowBlank="1" showInputMessage="1" showErrorMessage="1" sqref="JN851973:JN851996">
      <formula1>項目!A4:$JG$851970</formula1>
    </dataValidation>
    <dataValidation type="list" allowBlank="1" showInputMessage="1" showErrorMessage="1" sqref="TJ851973:TJ851996">
      <formula1>項目!A4:$TC$851970</formula1>
    </dataValidation>
    <dataValidation type="list" allowBlank="1" showInputMessage="1" showErrorMessage="1" sqref="ADF851973:ADF851996">
      <formula1>項目!A4:$ACY$851970</formula1>
    </dataValidation>
    <dataValidation type="list" allowBlank="1" showInputMessage="1" showErrorMessage="1" sqref="ANB851973:ANB851996">
      <formula1>項目!A4:$AMU$851970</formula1>
    </dataValidation>
    <dataValidation type="list" allowBlank="1" showInputMessage="1" showErrorMessage="1" sqref="AWX851973:AWX851996">
      <formula1>項目!A4:$AWQ$851970</formula1>
    </dataValidation>
    <dataValidation type="list" allowBlank="1" showInputMessage="1" showErrorMessage="1" sqref="BGT851973:BGT851996">
      <formula1>項目!A4:$BGM$851970</formula1>
    </dataValidation>
    <dataValidation type="list" allowBlank="1" showInputMessage="1" showErrorMessage="1" sqref="BQP851973:BQP851996">
      <formula1>項目!A4:$BQI$851970</formula1>
    </dataValidation>
    <dataValidation type="list" allowBlank="1" showInputMessage="1" showErrorMessage="1" sqref="CAL851973:CAL851996">
      <formula1>項目!A4:$CAE$851970</formula1>
    </dataValidation>
    <dataValidation type="list" allowBlank="1" showInputMessage="1" showErrorMessage="1" sqref="CKH851973:CKH851996">
      <formula1>項目!A4:$CKA$851970</formula1>
    </dataValidation>
    <dataValidation type="list" allowBlank="1" showInputMessage="1" showErrorMessage="1" sqref="CUD851973:CUD851996">
      <formula1>項目!A4:$CTW$851970</formula1>
    </dataValidation>
    <dataValidation type="list" allowBlank="1" showInputMessage="1" showErrorMessage="1" sqref="DDZ851973:DDZ851996">
      <formula1>項目!A4:$DDS$851970</formula1>
    </dataValidation>
    <dataValidation type="list" allowBlank="1" showInputMessage="1" showErrorMessage="1" sqref="DNV851973:DNV851996">
      <formula1>項目!A4:$DNO$851970</formula1>
    </dataValidation>
    <dataValidation type="list" allowBlank="1" showInputMessage="1" showErrorMessage="1" sqref="DXR851973:DXR851996">
      <formula1>項目!A4:$DXK$851970</formula1>
    </dataValidation>
    <dataValidation type="list" allowBlank="1" showInputMessage="1" showErrorMessage="1" sqref="EHN851973:EHN851996">
      <formula1>項目!A4:$EHG$851970</formula1>
    </dataValidation>
    <dataValidation type="list" allowBlank="1" showInputMessage="1" showErrorMessage="1" sqref="ERJ851973:ERJ851996">
      <formula1>項目!A4:$ERC$851970</formula1>
    </dataValidation>
    <dataValidation type="list" allowBlank="1" showInputMessage="1" showErrorMessage="1" sqref="FBF851973:FBF851996">
      <formula1>項目!A4:$FAY$851970</formula1>
    </dataValidation>
    <dataValidation type="list" allowBlank="1" showInputMessage="1" showErrorMessage="1" sqref="FLB851973:FLB851996">
      <formula1>項目!A4:$FKU$851970</formula1>
    </dataValidation>
    <dataValidation type="list" allowBlank="1" showInputMessage="1" showErrorMessage="1" sqref="FUX851973:FUX851996">
      <formula1>項目!A4:$FUQ$851970</formula1>
    </dataValidation>
    <dataValidation type="list" allowBlank="1" showInputMessage="1" showErrorMessage="1" sqref="GET851973:GET851996">
      <formula1>項目!A4:$GEM$851970</formula1>
    </dataValidation>
    <dataValidation type="list" allowBlank="1" showInputMessage="1" showErrorMessage="1" sqref="GOP851973:GOP851996">
      <formula1>項目!A4:$GOI$851970</formula1>
    </dataValidation>
    <dataValidation type="list" allowBlank="1" showInputMessage="1" showErrorMessage="1" sqref="GYL851973:GYL851996">
      <formula1>項目!A4:$GYE$851970</formula1>
    </dataValidation>
    <dataValidation type="list" allowBlank="1" showInputMessage="1" showErrorMessage="1" sqref="HIH851973:HIH851996">
      <formula1>項目!A4:$HIA$851970</formula1>
    </dataValidation>
    <dataValidation type="list" allowBlank="1" showInputMessage="1" showErrorMessage="1" sqref="HSD851973:HSD851996">
      <formula1>項目!A4:$HRW$851970</formula1>
    </dataValidation>
    <dataValidation type="list" allowBlank="1" showInputMessage="1" showErrorMessage="1" sqref="IBZ851973:IBZ851996">
      <formula1>項目!A4:$IBS$851970</formula1>
    </dataValidation>
    <dataValidation type="list" allowBlank="1" showInputMessage="1" showErrorMessage="1" sqref="ILV851973:ILV851996">
      <formula1>項目!A4:$ILO$851970</formula1>
    </dataValidation>
    <dataValidation type="list" allowBlank="1" showInputMessage="1" showErrorMessage="1" sqref="IVR851973:IVR851996">
      <formula1>項目!A4:$IVK$851970</formula1>
    </dataValidation>
    <dataValidation type="list" allowBlank="1" showInputMessage="1" showErrorMessage="1" sqref="JFN851973:JFN851996">
      <formula1>項目!A4:$JFG$851970</formula1>
    </dataValidation>
    <dataValidation type="list" allowBlank="1" showInputMessage="1" showErrorMessage="1" sqref="JPJ851973:JPJ851996">
      <formula1>項目!A4:$JPC$851970</formula1>
    </dataValidation>
    <dataValidation type="list" allowBlank="1" showInputMessage="1" showErrorMessage="1" sqref="JZF851973:JZF851996">
      <formula1>項目!A4:$JYY$851970</formula1>
    </dataValidation>
    <dataValidation type="list" allowBlank="1" showInputMessage="1" showErrorMessage="1" sqref="KJB851973:KJB851996">
      <formula1>項目!A4:$KIU$851970</formula1>
    </dataValidation>
    <dataValidation type="list" allowBlank="1" showInputMessage="1" showErrorMessage="1" sqref="KSX851973:KSX851996">
      <formula1>項目!A4:$KSQ$851970</formula1>
    </dataValidation>
    <dataValidation type="list" allowBlank="1" showInputMessage="1" showErrorMessage="1" sqref="LCT851973:LCT851996">
      <formula1>項目!A4:$LCM$851970</formula1>
    </dataValidation>
    <dataValidation type="list" allowBlank="1" showInputMessage="1" showErrorMessage="1" sqref="LMP851973:LMP851996">
      <formula1>項目!A4:$LMI$851970</formula1>
    </dataValidation>
    <dataValidation type="list" allowBlank="1" showInputMessage="1" showErrorMessage="1" sqref="LWL851973:LWL851996">
      <formula1>項目!A4:$LWE$851970</formula1>
    </dataValidation>
    <dataValidation type="list" allowBlank="1" showInputMessage="1" showErrorMessage="1" sqref="MGH851973:MGH851996">
      <formula1>項目!A4:$MGA$851970</formula1>
    </dataValidation>
    <dataValidation type="list" allowBlank="1" showInputMessage="1" showErrorMessage="1" sqref="MQD851973:MQD851996">
      <formula1>項目!A4:$MPW$851970</formula1>
    </dataValidation>
    <dataValidation type="list" allowBlank="1" showInputMessage="1" showErrorMessage="1" sqref="MZZ851973:MZZ851996">
      <formula1>項目!A4:$MZS$851970</formula1>
    </dataValidation>
    <dataValidation type="list" allowBlank="1" showInputMessage="1" showErrorMessage="1" sqref="NJV851973:NJV851996">
      <formula1>項目!A4:$NJO$851970</formula1>
    </dataValidation>
    <dataValidation type="list" allowBlank="1" showInputMessage="1" showErrorMessage="1" sqref="NTR851973:NTR851996">
      <formula1>項目!A4:$NTK$851970</formula1>
    </dataValidation>
    <dataValidation type="list" allowBlank="1" showInputMessage="1" showErrorMessage="1" sqref="ODN851973:ODN851996">
      <formula1>項目!A4:$ODG$851970</formula1>
    </dataValidation>
    <dataValidation type="list" allowBlank="1" showInputMessage="1" showErrorMessage="1" sqref="ONJ851973:ONJ851996">
      <formula1>項目!A4:$ONC$851970</formula1>
    </dataValidation>
    <dataValidation type="list" allowBlank="1" showInputMessage="1" showErrorMessage="1" sqref="OXF851973:OXF851996">
      <formula1>項目!A4:$OWY$851970</formula1>
    </dataValidation>
    <dataValidation type="list" allowBlank="1" showInputMessage="1" showErrorMessage="1" sqref="PHB851973:PHB851996">
      <formula1>項目!A4:$PGU$851970</formula1>
    </dataValidation>
    <dataValidation type="list" allowBlank="1" showInputMessage="1" showErrorMessage="1" sqref="PQX851973:PQX851996">
      <formula1>項目!A4:$PQQ$851970</formula1>
    </dataValidation>
    <dataValidation type="list" allowBlank="1" showInputMessage="1" showErrorMessage="1" sqref="QAT851973:QAT851996">
      <formula1>項目!A4:$QAM$851970</formula1>
    </dataValidation>
    <dataValidation type="list" allowBlank="1" showInputMessage="1" showErrorMessage="1" sqref="QKP851973:QKP851996">
      <formula1>項目!A4:$QKI$851970</formula1>
    </dataValidation>
    <dataValidation type="list" allowBlank="1" showInputMessage="1" showErrorMessage="1" sqref="QUL851973:QUL851996">
      <formula1>項目!A4:$QUE$851970</formula1>
    </dataValidation>
    <dataValidation type="list" allowBlank="1" showInputMessage="1" showErrorMessage="1" sqref="REH851973:REH851996">
      <formula1>項目!A4:$REA$851970</formula1>
    </dataValidation>
    <dataValidation type="list" allowBlank="1" showInputMessage="1" showErrorMessage="1" sqref="ROD851973:ROD851996">
      <formula1>項目!A4:$RNW$851970</formula1>
    </dataValidation>
    <dataValidation type="list" allowBlank="1" showInputMessage="1" showErrorMessage="1" sqref="RXZ851973:RXZ851996">
      <formula1>項目!A4:$RXS$851970</formula1>
    </dataValidation>
    <dataValidation type="list" allowBlank="1" showInputMessage="1" showErrorMessage="1" sqref="SHV851973:SHV851996">
      <formula1>項目!A4:$SHO$851970</formula1>
    </dataValidation>
    <dataValidation type="list" allowBlank="1" showInputMessage="1" showErrorMessage="1" sqref="SRR851973:SRR851996">
      <formula1>項目!A4:$SRK$851970</formula1>
    </dataValidation>
    <dataValidation type="list" allowBlank="1" showInputMessage="1" showErrorMessage="1" sqref="TBN851973:TBN851996">
      <formula1>項目!A4:$TBG$851970</formula1>
    </dataValidation>
    <dataValidation type="list" allowBlank="1" showInputMessage="1" showErrorMessage="1" sqref="TLJ851973:TLJ851996">
      <formula1>項目!A4:$TLC$851970</formula1>
    </dataValidation>
    <dataValidation type="list" allowBlank="1" showInputMessage="1" showErrorMessage="1" sqref="TVF851973:TVF851996">
      <formula1>項目!A4:$TUY$851970</formula1>
    </dataValidation>
    <dataValidation type="list" allowBlank="1" showInputMessage="1" showErrorMessage="1" sqref="UFB851973:UFB851996">
      <formula1>項目!A4:$UEU$851970</formula1>
    </dataValidation>
    <dataValidation type="list" allowBlank="1" showInputMessage="1" showErrorMessage="1" sqref="UOX851973:UOX851996">
      <formula1>項目!A4:$UOQ$851970</formula1>
    </dataValidation>
    <dataValidation type="list" allowBlank="1" showInputMessage="1" showErrorMessage="1" sqref="UYT851973:UYT851996">
      <formula1>項目!A4:$UYM$851970</formula1>
    </dataValidation>
    <dataValidation type="list" allowBlank="1" showInputMessage="1" showErrorMessage="1" sqref="VIP851973:VIP851996">
      <formula1>項目!A4:$VII$851970</formula1>
    </dataValidation>
    <dataValidation type="list" allowBlank="1" showInputMessage="1" showErrorMessage="1" sqref="VSL851973:VSL851996">
      <formula1>項目!A4:$VSE$851970</formula1>
    </dataValidation>
    <dataValidation type="list" allowBlank="1" showInputMessage="1" showErrorMessage="1" sqref="WCH851973:WCH851996">
      <formula1>項目!A4:$WCA$851970</formula1>
    </dataValidation>
    <dataValidation type="list" allowBlank="1" showInputMessage="1" showErrorMessage="1" sqref="WMD851973:WMD851996">
      <formula1>項目!A4:$WLW$851970</formula1>
    </dataValidation>
    <dataValidation type="list" allowBlank="1" showInputMessage="1" showErrorMessage="1" sqref="WVZ851973:WVZ851996">
      <formula1>項目!A4:$WVS$851970</formula1>
    </dataValidation>
    <dataValidation type="list" allowBlank="1" showInputMessage="1" showErrorMessage="1" sqref="R917509:R917532">
      <formula1>項目!A4:$K$917506</formula1>
    </dataValidation>
    <dataValidation type="list" allowBlank="1" showInputMessage="1" showErrorMessage="1" sqref="JN917509:JN917532">
      <formula1>項目!A4:$JG$917506</formula1>
    </dataValidation>
    <dataValidation type="list" allowBlank="1" showInputMessage="1" showErrorMessage="1" sqref="TJ917509:TJ917532">
      <formula1>項目!A4:$TC$917506</formula1>
    </dataValidation>
    <dataValidation type="list" allowBlank="1" showInputMessage="1" showErrorMessage="1" sqref="ADF917509:ADF917532">
      <formula1>項目!A4:$ACY$917506</formula1>
    </dataValidation>
    <dataValidation type="list" allowBlank="1" showInputMessage="1" showErrorMessage="1" sqref="ANB917509:ANB917532">
      <formula1>項目!A4:$AMU$917506</formula1>
    </dataValidation>
    <dataValidation type="list" allowBlank="1" showInputMessage="1" showErrorMessage="1" sqref="AWX917509:AWX917532">
      <formula1>項目!A4:$AWQ$917506</formula1>
    </dataValidation>
    <dataValidation type="list" allowBlank="1" showInputMessage="1" showErrorMessage="1" sqref="BGT917509:BGT917532">
      <formula1>項目!A4:$BGM$917506</formula1>
    </dataValidation>
    <dataValidation type="list" allowBlank="1" showInputMessage="1" showErrorMessage="1" sqref="BQP917509:BQP917532">
      <formula1>項目!A4:$BQI$917506</formula1>
    </dataValidation>
    <dataValidation type="list" allowBlank="1" showInputMessage="1" showErrorMessage="1" sqref="CAL917509:CAL917532">
      <formula1>項目!A4:$CAE$917506</formula1>
    </dataValidation>
    <dataValidation type="list" allowBlank="1" showInputMessage="1" showErrorMessage="1" sqref="CKH917509:CKH917532">
      <formula1>項目!A4:$CKA$917506</formula1>
    </dataValidation>
    <dataValidation type="list" allowBlank="1" showInputMessage="1" showErrorMessage="1" sqref="CUD917509:CUD917532">
      <formula1>項目!A4:$CTW$917506</formula1>
    </dataValidation>
    <dataValidation type="list" allowBlank="1" showInputMessage="1" showErrorMessage="1" sqref="DDZ917509:DDZ917532">
      <formula1>項目!A4:$DDS$917506</formula1>
    </dataValidation>
    <dataValidation type="list" allowBlank="1" showInputMessage="1" showErrorMessage="1" sqref="DNV917509:DNV917532">
      <formula1>項目!A4:$DNO$917506</formula1>
    </dataValidation>
    <dataValidation type="list" allowBlank="1" showInputMessage="1" showErrorMessage="1" sqref="DXR917509:DXR917532">
      <formula1>項目!A4:$DXK$917506</formula1>
    </dataValidation>
    <dataValidation type="list" allowBlank="1" showInputMessage="1" showErrorMessage="1" sqref="EHN917509:EHN917532">
      <formula1>項目!A4:$EHG$917506</formula1>
    </dataValidation>
    <dataValidation type="list" allowBlank="1" showInputMessage="1" showErrorMessage="1" sqref="ERJ917509:ERJ917532">
      <formula1>項目!A4:$ERC$917506</formula1>
    </dataValidation>
    <dataValidation type="list" allowBlank="1" showInputMessage="1" showErrorMessage="1" sqref="FBF917509:FBF917532">
      <formula1>項目!A4:$FAY$917506</formula1>
    </dataValidation>
    <dataValidation type="list" allowBlank="1" showInputMessage="1" showErrorMessage="1" sqref="FLB917509:FLB917532">
      <formula1>項目!A4:$FKU$917506</formula1>
    </dataValidation>
    <dataValidation type="list" allowBlank="1" showInputMessage="1" showErrorMessage="1" sqref="FUX917509:FUX917532">
      <formula1>項目!A4:$FUQ$917506</formula1>
    </dataValidation>
    <dataValidation type="list" allowBlank="1" showInputMessage="1" showErrorMessage="1" sqref="GET917509:GET917532">
      <formula1>項目!A4:$GEM$917506</formula1>
    </dataValidation>
    <dataValidation type="list" allowBlank="1" showInputMessage="1" showErrorMessage="1" sqref="GOP917509:GOP917532">
      <formula1>項目!A4:$GOI$917506</formula1>
    </dataValidation>
    <dataValidation type="list" allowBlank="1" showInputMessage="1" showErrorMessage="1" sqref="GYL917509:GYL917532">
      <formula1>項目!A4:$GYE$917506</formula1>
    </dataValidation>
    <dataValidation type="list" allowBlank="1" showInputMessage="1" showErrorMessage="1" sqref="HIH917509:HIH917532">
      <formula1>項目!A4:$HIA$917506</formula1>
    </dataValidation>
    <dataValidation type="list" allowBlank="1" showInputMessage="1" showErrorMessage="1" sqref="HSD917509:HSD917532">
      <formula1>項目!A4:$HRW$917506</formula1>
    </dataValidation>
    <dataValidation type="list" allowBlank="1" showInputMessage="1" showErrorMessage="1" sqref="IBZ917509:IBZ917532">
      <formula1>項目!A4:$IBS$917506</formula1>
    </dataValidation>
    <dataValidation type="list" allowBlank="1" showInputMessage="1" showErrorMessage="1" sqref="ILV917509:ILV917532">
      <formula1>項目!A4:$ILO$917506</formula1>
    </dataValidation>
    <dataValidation type="list" allowBlank="1" showInputMessage="1" showErrorMessage="1" sqref="IVR917509:IVR917532">
      <formula1>項目!A4:$IVK$917506</formula1>
    </dataValidation>
    <dataValidation type="list" allowBlank="1" showInputMessage="1" showErrorMessage="1" sqref="JFN917509:JFN917532">
      <formula1>項目!A4:$JFG$917506</formula1>
    </dataValidation>
    <dataValidation type="list" allowBlank="1" showInputMessage="1" showErrorMessage="1" sqref="JPJ917509:JPJ917532">
      <formula1>項目!A4:$JPC$917506</formula1>
    </dataValidation>
    <dataValidation type="list" allowBlank="1" showInputMessage="1" showErrorMessage="1" sqref="JZF917509:JZF917532">
      <formula1>項目!A4:$JYY$917506</formula1>
    </dataValidation>
    <dataValidation type="list" allowBlank="1" showInputMessage="1" showErrorMessage="1" sqref="KJB917509:KJB917532">
      <formula1>項目!A4:$KIU$917506</formula1>
    </dataValidation>
    <dataValidation type="list" allowBlank="1" showInputMessage="1" showErrorMessage="1" sqref="KSX917509:KSX917532">
      <formula1>項目!A4:$KSQ$917506</formula1>
    </dataValidation>
    <dataValidation type="list" allowBlank="1" showInputMessage="1" showErrorMessage="1" sqref="LCT917509:LCT917532">
      <formula1>項目!A4:$LCM$917506</formula1>
    </dataValidation>
    <dataValidation type="list" allowBlank="1" showInputMessage="1" showErrorMessage="1" sqref="LMP917509:LMP917532">
      <formula1>項目!A4:$LMI$917506</formula1>
    </dataValidation>
    <dataValidation type="list" allowBlank="1" showInputMessage="1" showErrorMessage="1" sqref="LWL917509:LWL917532">
      <formula1>項目!A4:$LWE$917506</formula1>
    </dataValidation>
    <dataValidation type="list" allowBlank="1" showInputMessage="1" showErrorMessage="1" sqref="MGH917509:MGH917532">
      <formula1>項目!A4:$MGA$917506</formula1>
    </dataValidation>
    <dataValidation type="list" allowBlank="1" showInputMessage="1" showErrorMessage="1" sqref="MQD917509:MQD917532">
      <formula1>項目!A4:$MPW$917506</formula1>
    </dataValidation>
    <dataValidation type="list" allowBlank="1" showInputMessage="1" showErrorMessage="1" sqref="MZZ917509:MZZ917532">
      <formula1>項目!A4:$MZS$917506</formula1>
    </dataValidation>
    <dataValidation type="list" allowBlank="1" showInputMessage="1" showErrorMessage="1" sqref="NJV917509:NJV917532">
      <formula1>項目!A4:$NJO$917506</formula1>
    </dataValidation>
    <dataValidation type="list" allowBlank="1" showInputMessage="1" showErrorMessage="1" sqref="NTR917509:NTR917532">
      <formula1>項目!A4:$NTK$917506</formula1>
    </dataValidation>
    <dataValidation type="list" allowBlank="1" showInputMessage="1" showErrorMessage="1" sqref="ODN917509:ODN917532">
      <formula1>項目!A4:$ODG$917506</formula1>
    </dataValidation>
    <dataValidation type="list" allowBlank="1" showInputMessage="1" showErrorMessage="1" sqref="ONJ917509:ONJ917532">
      <formula1>項目!A4:$ONC$917506</formula1>
    </dataValidation>
    <dataValidation type="list" allowBlank="1" showInputMessage="1" showErrorMessage="1" sqref="OXF917509:OXF917532">
      <formula1>項目!A4:$OWY$917506</formula1>
    </dataValidation>
    <dataValidation type="list" allowBlank="1" showInputMessage="1" showErrorMessage="1" sqref="PHB917509:PHB917532">
      <formula1>項目!A4:$PGU$917506</formula1>
    </dataValidation>
    <dataValidation type="list" allowBlank="1" showInputMessage="1" showErrorMessage="1" sqref="PQX917509:PQX917532">
      <formula1>項目!A4:$PQQ$917506</formula1>
    </dataValidation>
    <dataValidation type="list" allowBlank="1" showInputMessage="1" showErrorMessage="1" sqref="QAT917509:QAT917532">
      <formula1>項目!A4:$QAM$917506</formula1>
    </dataValidation>
    <dataValidation type="list" allowBlank="1" showInputMessage="1" showErrorMessage="1" sqref="QKP917509:QKP917532">
      <formula1>項目!A4:$QKI$917506</formula1>
    </dataValidation>
    <dataValidation type="list" allowBlank="1" showInputMessage="1" showErrorMessage="1" sqref="QUL917509:QUL917532">
      <formula1>項目!A4:$QUE$917506</formula1>
    </dataValidation>
    <dataValidation type="list" allowBlank="1" showInputMessage="1" showErrorMessage="1" sqref="REH917509:REH917532">
      <formula1>項目!A4:$REA$917506</formula1>
    </dataValidation>
    <dataValidation type="list" allowBlank="1" showInputMessage="1" showErrorMessage="1" sqref="ROD917509:ROD917532">
      <formula1>項目!A4:$RNW$917506</formula1>
    </dataValidation>
    <dataValidation type="list" allowBlank="1" showInputMessage="1" showErrorMessage="1" sqref="RXZ917509:RXZ917532">
      <formula1>項目!A4:$RXS$917506</formula1>
    </dataValidation>
    <dataValidation type="list" allowBlank="1" showInputMessage="1" showErrorMessage="1" sqref="SHV917509:SHV917532">
      <formula1>項目!A4:$SHO$917506</formula1>
    </dataValidation>
    <dataValidation type="list" allowBlank="1" showInputMessage="1" showErrorMessage="1" sqref="SRR917509:SRR917532">
      <formula1>項目!A4:$SRK$917506</formula1>
    </dataValidation>
    <dataValidation type="list" allowBlank="1" showInputMessage="1" showErrorMessage="1" sqref="TBN917509:TBN917532">
      <formula1>項目!A4:$TBG$917506</formula1>
    </dataValidation>
    <dataValidation type="list" allowBlank="1" showInputMessage="1" showErrorMessage="1" sqref="TLJ917509:TLJ917532">
      <formula1>項目!A4:$TLC$917506</formula1>
    </dataValidation>
    <dataValidation type="list" allowBlank="1" showInputMessage="1" showErrorMessage="1" sqref="TVF917509:TVF917532">
      <formula1>項目!A4:$TUY$917506</formula1>
    </dataValidation>
    <dataValidation type="list" allowBlank="1" showInputMessage="1" showErrorMessage="1" sqref="UFB917509:UFB917532">
      <formula1>項目!A4:$UEU$917506</formula1>
    </dataValidation>
    <dataValidation type="list" allowBlank="1" showInputMessage="1" showErrorMessage="1" sqref="UOX917509:UOX917532">
      <formula1>項目!A4:$UOQ$917506</formula1>
    </dataValidation>
    <dataValidation type="list" allowBlank="1" showInputMessage="1" showErrorMessage="1" sqref="UYT917509:UYT917532">
      <formula1>項目!A4:$UYM$917506</formula1>
    </dataValidation>
    <dataValidation type="list" allowBlank="1" showInputMessage="1" showErrorMessage="1" sqref="VIP917509:VIP917532">
      <formula1>項目!A4:$VII$917506</formula1>
    </dataValidation>
    <dataValidation type="list" allowBlank="1" showInputMessage="1" showErrorMessage="1" sqref="VSL917509:VSL917532">
      <formula1>項目!A4:$VSE$917506</formula1>
    </dataValidation>
    <dataValidation type="list" allowBlank="1" showInputMessage="1" showErrorMessage="1" sqref="WCH917509:WCH917532">
      <formula1>項目!A4:$WCA$917506</formula1>
    </dataValidation>
    <dataValidation type="list" allowBlank="1" showInputMessage="1" showErrorMessage="1" sqref="WMD917509:WMD917532">
      <formula1>項目!A4:$WLW$917506</formula1>
    </dataValidation>
    <dataValidation type="list" allowBlank="1" showInputMessage="1" showErrorMessage="1" sqref="WVZ917509:WVZ917532">
      <formula1>項目!A4:$WVS$917506</formula1>
    </dataValidation>
    <dataValidation type="list" allowBlank="1" showInputMessage="1" showErrorMessage="1" sqref="R983045:R983068">
      <formula1>項目!A4:$K$983042</formula1>
    </dataValidation>
    <dataValidation type="list" allowBlank="1" showInputMessage="1" showErrorMessage="1" sqref="JN983045:JN983068">
      <formula1>項目!A4:$JG$983042</formula1>
    </dataValidation>
    <dataValidation type="list" allowBlank="1" showInputMessage="1" showErrorMessage="1" sqref="TJ983045:TJ983068">
      <formula1>項目!A4:$TC$983042</formula1>
    </dataValidation>
    <dataValidation type="list" allowBlank="1" showInputMessage="1" showErrorMessage="1" sqref="ADF983045:ADF983068">
      <formula1>項目!A4:$ACY$983042</formula1>
    </dataValidation>
    <dataValidation type="list" allowBlank="1" showInputMessage="1" showErrorMessage="1" sqref="ANB983045:ANB983068">
      <formula1>項目!A4:$AMU$983042</formula1>
    </dataValidation>
    <dataValidation type="list" allowBlank="1" showInputMessage="1" showErrorMessage="1" sqref="AWX983045:AWX983068">
      <formula1>項目!A4:$AWQ$983042</formula1>
    </dataValidation>
    <dataValidation type="list" allowBlank="1" showInputMessage="1" showErrorMessage="1" sqref="BGT983045:BGT983068">
      <formula1>項目!A4:$BGM$983042</formula1>
    </dataValidation>
    <dataValidation type="list" allowBlank="1" showInputMessage="1" showErrorMessage="1" sqref="BQP983045:BQP983068">
      <formula1>項目!A4:$BQI$983042</formula1>
    </dataValidation>
    <dataValidation type="list" allowBlank="1" showInputMessage="1" showErrorMessage="1" sqref="CAL983045:CAL983068">
      <formula1>項目!A4:$CAE$983042</formula1>
    </dataValidation>
    <dataValidation type="list" allowBlank="1" showInputMessage="1" showErrorMessage="1" sqref="CKH983045:CKH983068">
      <formula1>項目!A4:$CKA$983042</formula1>
    </dataValidation>
    <dataValidation type="list" allowBlank="1" showInputMessage="1" showErrorMessage="1" sqref="CUD983045:CUD983068">
      <formula1>項目!A4:$CTW$983042</formula1>
    </dataValidation>
    <dataValidation type="list" allowBlank="1" showInputMessage="1" showErrorMessage="1" sqref="DDZ983045:DDZ983068">
      <formula1>項目!A4:$DDS$983042</formula1>
    </dataValidation>
    <dataValidation type="list" allowBlank="1" showInputMessage="1" showErrorMessage="1" sqref="DNV983045:DNV983068">
      <formula1>項目!A4:$DNO$983042</formula1>
    </dataValidation>
    <dataValidation type="list" allowBlank="1" showInputMessage="1" showErrorMessage="1" sqref="DXR983045:DXR983068">
      <formula1>項目!A4:$DXK$983042</formula1>
    </dataValidation>
    <dataValidation type="list" allowBlank="1" showInputMessage="1" showErrorMessage="1" sqref="EHN983045:EHN983068">
      <formula1>項目!A4:$EHG$983042</formula1>
    </dataValidation>
    <dataValidation type="list" allowBlank="1" showInputMessage="1" showErrorMessage="1" sqref="ERJ983045:ERJ983068">
      <formula1>項目!A4:$ERC$983042</formula1>
    </dataValidation>
    <dataValidation type="list" allowBlank="1" showInputMessage="1" showErrorMessage="1" sqref="FBF983045:FBF983068">
      <formula1>項目!A4:$FAY$983042</formula1>
    </dataValidation>
    <dataValidation type="list" allowBlank="1" showInputMessage="1" showErrorMessage="1" sqref="FLB983045:FLB983068">
      <formula1>項目!A4:$FKU$983042</formula1>
    </dataValidation>
    <dataValidation type="list" allowBlank="1" showInputMessage="1" showErrorMessage="1" sqref="FUX983045:FUX983068">
      <formula1>項目!A4:$FUQ$983042</formula1>
    </dataValidation>
    <dataValidation type="list" allowBlank="1" showInputMessage="1" showErrorMessage="1" sqref="GET983045:GET983068">
      <formula1>項目!A4:$GEM$983042</formula1>
    </dataValidation>
    <dataValidation type="list" allowBlank="1" showInputMessage="1" showErrorMessage="1" sqref="GOP983045:GOP983068">
      <formula1>項目!A4:$GOI$983042</formula1>
    </dataValidation>
    <dataValidation type="list" allowBlank="1" showInputMessage="1" showErrorMessage="1" sqref="GYL983045:GYL983068">
      <formula1>項目!A4:$GYE$983042</formula1>
    </dataValidation>
    <dataValidation type="list" allowBlank="1" showInputMessage="1" showErrorMessage="1" sqref="HIH983045:HIH983068">
      <formula1>項目!A4:$HIA$983042</formula1>
    </dataValidation>
    <dataValidation type="list" allowBlank="1" showInputMessage="1" showErrorMessage="1" sqref="HSD983045:HSD983068">
      <formula1>項目!A4:$HRW$983042</formula1>
    </dataValidation>
    <dataValidation type="list" allowBlank="1" showInputMessage="1" showErrorMessage="1" sqref="IBZ983045:IBZ983068">
      <formula1>項目!A4:$IBS$983042</formula1>
    </dataValidation>
    <dataValidation type="list" allowBlank="1" showInputMessage="1" showErrorMessage="1" sqref="ILV983045:ILV983068">
      <formula1>項目!A4:$ILO$983042</formula1>
    </dataValidation>
    <dataValidation type="list" allowBlank="1" showInputMessage="1" showErrorMessage="1" sqref="IVR983045:IVR983068">
      <formula1>項目!A4:$IVK$983042</formula1>
    </dataValidation>
    <dataValidation type="list" allowBlank="1" showInputMessage="1" showErrorMessage="1" sqref="JFN983045:JFN983068">
      <formula1>項目!A4:$JFG$983042</formula1>
    </dataValidation>
    <dataValidation type="list" allowBlank="1" showInputMessage="1" showErrorMessage="1" sqref="JPJ983045:JPJ983068">
      <formula1>項目!A4:$JPC$983042</formula1>
    </dataValidation>
    <dataValidation type="list" allowBlank="1" showInputMessage="1" showErrorMessage="1" sqref="JZF983045:JZF983068">
      <formula1>項目!A4:$JYY$983042</formula1>
    </dataValidation>
    <dataValidation type="list" allowBlank="1" showInputMessage="1" showErrorMessage="1" sqref="KJB983045:KJB983068">
      <formula1>項目!A4:$KIU$983042</formula1>
    </dataValidation>
    <dataValidation type="list" allowBlank="1" showInputMessage="1" showErrorMessage="1" sqref="KSX983045:KSX983068">
      <formula1>項目!A4:$KSQ$983042</formula1>
    </dataValidation>
    <dataValidation type="list" allowBlank="1" showInputMessage="1" showErrorMessage="1" sqref="LCT983045:LCT983068">
      <formula1>項目!A4:$LCM$983042</formula1>
    </dataValidation>
    <dataValidation type="list" allowBlank="1" showInputMessage="1" showErrorMessage="1" sqref="LMP983045:LMP983068">
      <formula1>項目!A4:$LMI$983042</formula1>
    </dataValidation>
    <dataValidation type="list" allowBlank="1" showInputMessage="1" showErrorMessage="1" sqref="LWL983045:LWL983068">
      <formula1>項目!A4:$LWE$983042</formula1>
    </dataValidation>
    <dataValidation type="list" allowBlank="1" showInputMessage="1" showErrorMessage="1" sqref="MGH983045:MGH983068">
      <formula1>項目!A4:$MGA$983042</formula1>
    </dataValidation>
    <dataValidation type="list" allowBlank="1" showInputMessage="1" showErrorMessage="1" sqref="MQD983045:MQD983068">
      <formula1>項目!A4:$MPW$983042</formula1>
    </dataValidation>
    <dataValidation type="list" allowBlank="1" showInputMessage="1" showErrorMessage="1" sqref="MZZ983045:MZZ983068">
      <formula1>項目!A4:$MZS$983042</formula1>
    </dataValidation>
    <dataValidation type="list" allowBlank="1" showInputMessage="1" showErrorMessage="1" sqref="NJV983045:NJV983068">
      <formula1>項目!A4:$NJO$983042</formula1>
    </dataValidation>
    <dataValidation type="list" allowBlank="1" showInputMessage="1" showErrorMessage="1" sqref="NTR983045:NTR983068">
      <formula1>項目!A4:$NTK$983042</formula1>
    </dataValidation>
    <dataValidation type="list" allowBlank="1" showInputMessage="1" showErrorMessage="1" sqref="ODN983045:ODN983068">
      <formula1>項目!A4:$ODG$983042</formula1>
    </dataValidation>
    <dataValidation type="list" allowBlank="1" showInputMessage="1" showErrorMessage="1" sqref="ONJ983045:ONJ983068">
      <formula1>項目!A4:$ONC$983042</formula1>
    </dataValidation>
    <dataValidation type="list" allowBlank="1" showInputMessage="1" showErrorMessage="1" sqref="OXF983045:OXF983068">
      <formula1>項目!A4:$OWY$983042</formula1>
    </dataValidation>
    <dataValidation type="list" allowBlank="1" showInputMessage="1" showErrorMessage="1" sqref="PHB983045:PHB983068">
      <formula1>項目!A4:$PGU$983042</formula1>
    </dataValidation>
    <dataValidation type="list" allowBlank="1" showInputMessage="1" showErrorMessage="1" sqref="PQX983045:PQX983068">
      <formula1>項目!A4:$PQQ$983042</formula1>
    </dataValidation>
    <dataValidation type="list" allowBlank="1" showInputMessage="1" showErrorMessage="1" sqref="QAT983045:QAT983068">
      <formula1>項目!A4:$QAM$983042</formula1>
    </dataValidation>
    <dataValidation type="list" allowBlank="1" showInputMessage="1" showErrorMessage="1" sqref="QKP983045:QKP983068">
      <formula1>項目!A4:$QKI$983042</formula1>
    </dataValidation>
    <dataValidation type="list" allowBlank="1" showInputMessage="1" showErrorMessage="1" sqref="QUL983045:QUL983068">
      <formula1>項目!A4:$QUE$983042</formula1>
    </dataValidation>
    <dataValidation type="list" allowBlank="1" showInputMessage="1" showErrorMessage="1" sqref="REH983045:REH983068">
      <formula1>項目!A4:$REA$983042</formula1>
    </dataValidation>
    <dataValidation type="list" allowBlank="1" showInputMessage="1" showErrorMessage="1" sqref="ROD983045:ROD983068">
      <formula1>項目!A4:$RNW$983042</formula1>
    </dataValidation>
    <dataValidation type="list" allowBlank="1" showInputMessage="1" showErrorMessage="1" sqref="RXZ983045:RXZ983068">
      <formula1>項目!A4:$RXS$983042</formula1>
    </dataValidation>
    <dataValidation type="list" allowBlank="1" showInputMessage="1" showErrorMessage="1" sqref="SHV983045:SHV983068">
      <formula1>項目!A4:$SHO$983042</formula1>
    </dataValidation>
    <dataValidation type="list" allowBlank="1" showInputMessage="1" showErrorMessage="1" sqref="SRR983045:SRR983068">
      <formula1>項目!A4:$SRK$983042</formula1>
    </dataValidation>
    <dataValidation type="list" allowBlank="1" showInputMessage="1" showErrorMessage="1" sqref="TBN983045:TBN983068">
      <formula1>項目!A4:$TBG$983042</formula1>
    </dataValidation>
    <dataValidation type="list" allowBlank="1" showInputMessage="1" showErrorMessage="1" sqref="TLJ983045:TLJ983068">
      <formula1>項目!A4:$TLC$983042</formula1>
    </dataValidation>
    <dataValidation type="list" allowBlank="1" showInputMessage="1" showErrorMessage="1" sqref="TVF983045:TVF983068">
      <formula1>項目!A4:$TUY$983042</formula1>
    </dataValidation>
    <dataValidation type="list" allowBlank="1" showInputMessage="1" showErrorMessage="1" sqref="UFB983045:UFB983068">
      <formula1>項目!A4:$UEU$983042</formula1>
    </dataValidation>
    <dataValidation type="list" allowBlank="1" showInputMessage="1" showErrorMessage="1" sqref="UOX983045:UOX983068">
      <formula1>項目!A4:$UOQ$983042</formula1>
    </dataValidation>
    <dataValidation type="list" allowBlank="1" showInputMessage="1" showErrorMessage="1" sqref="UYT983045:UYT983068">
      <formula1>項目!A4:$UYM$983042</formula1>
    </dataValidation>
    <dataValidation type="list" allowBlank="1" showInputMessage="1" showErrorMessage="1" sqref="VIP983045:VIP983068">
      <formula1>項目!A4:$VII$983042</formula1>
    </dataValidation>
    <dataValidation type="list" allowBlank="1" showInputMessage="1" showErrorMessage="1" sqref="VSL983045:VSL983068">
      <formula1>項目!A4:$VSE$983042</formula1>
    </dataValidation>
    <dataValidation type="list" allowBlank="1" showInputMessage="1" showErrorMessage="1" sqref="WCH983045:WCH983068">
      <formula1>項目!A4:$WCA$983042</formula1>
    </dataValidation>
    <dataValidation type="list" allowBlank="1" showInputMessage="1" showErrorMessage="1" sqref="WMD983045:WMD983068">
      <formula1>項目!A4:$WLW$983042</formula1>
    </dataValidation>
    <dataValidation type="list" allowBlank="1" showInputMessage="1" showErrorMessage="1" sqref="WVZ983045:WVZ983068">
      <formula1>項目!A4:$WVS$983042</formula1>
    </dataValidation>
    <dataValidation type="list" allowBlank="1" showInputMessage="1" showErrorMessage="1" sqref="ACT5:ACT28">
      <formula1>項目!A2:$ACM$4</formula1>
    </dataValidation>
    <dataValidation type="list" allowBlank="1" showInputMessage="1" showErrorMessage="1" sqref="JR5:JR28">
      <formula1>項目!A2:$JK$4</formula1>
    </dataValidation>
    <dataValidation type="list" allowBlank="1" showInputMessage="1" showErrorMessage="1" sqref="TN5:TN28">
      <formula1>項目!A2:$TG$4</formula1>
    </dataValidation>
    <dataValidation type="list" allowBlank="1" showInputMessage="1" showErrorMessage="1" sqref="ADJ5:ADJ28">
      <formula1>項目!A2:$ADC$4</formula1>
    </dataValidation>
    <dataValidation type="list" allowBlank="1" showInputMessage="1" showErrorMessage="1" sqref="ANF5:ANF28">
      <formula1>項目!A2:$AMY$4</formula1>
    </dataValidation>
    <dataValidation type="list" allowBlank="1" showInputMessage="1" showErrorMessage="1" sqref="AXB5:AXB28">
      <formula1>項目!A2:$AWU$4</formula1>
    </dataValidation>
    <dataValidation type="list" allowBlank="1" showInputMessage="1" showErrorMessage="1" sqref="BGX5:BGX28">
      <formula1>項目!A2:$BGQ$4</formula1>
    </dataValidation>
    <dataValidation type="list" allowBlank="1" showInputMessage="1" showErrorMessage="1" sqref="BQT5:BQT28">
      <formula1>項目!A2:$BQM$4</formula1>
    </dataValidation>
    <dataValidation type="list" allowBlank="1" showInputMessage="1" showErrorMessage="1" sqref="CAP5:CAP28">
      <formula1>項目!A2:$CAI$4</formula1>
    </dataValidation>
    <dataValidation type="list" allowBlank="1" showInputMessage="1" showErrorMessage="1" sqref="CKL5:CKL28">
      <formula1>項目!A2:$CKE$4</formula1>
    </dataValidation>
    <dataValidation type="list" allowBlank="1" showInputMessage="1" showErrorMessage="1" sqref="CUH5:CUH28">
      <formula1>項目!A2:$CUA$4</formula1>
    </dataValidation>
    <dataValidation type="list" allowBlank="1" showInputMessage="1" showErrorMessage="1" sqref="DED5:DED28">
      <formula1>項目!A2:$DDW$4</formula1>
    </dataValidation>
    <dataValidation type="list" allowBlank="1" showInputMessage="1" showErrorMessage="1" sqref="DNZ5:DNZ28">
      <formula1>項目!A2:$DNS$4</formula1>
    </dataValidation>
    <dataValidation type="list" allowBlank="1" showInputMessage="1" showErrorMessage="1" sqref="DXV5:DXV28">
      <formula1>項目!A2:$DXO$4</formula1>
    </dataValidation>
    <dataValidation type="list" allowBlank="1" showInputMessage="1" showErrorMessage="1" sqref="EHR5:EHR28">
      <formula1>項目!A2:$EHK$4</formula1>
    </dataValidation>
    <dataValidation type="list" allowBlank="1" showInputMessage="1" showErrorMessage="1" sqref="ERN5:ERN28">
      <formula1>項目!A2:$ERG$4</formula1>
    </dataValidation>
    <dataValidation type="list" allowBlank="1" showInputMessage="1" showErrorMessage="1" sqref="FBJ5:FBJ28">
      <formula1>項目!A2:$FBC$4</formula1>
    </dataValidation>
    <dataValidation type="list" allowBlank="1" showInputMessage="1" showErrorMessage="1" sqref="FLF5:FLF28">
      <formula1>項目!A2:$FKY$4</formula1>
    </dataValidation>
    <dataValidation type="list" allowBlank="1" showInputMessage="1" showErrorMessage="1" sqref="FVB5:FVB28">
      <formula1>項目!A2:$FUU$4</formula1>
    </dataValidation>
    <dataValidation type="list" allowBlank="1" showInputMessage="1" showErrorMessage="1" sqref="GEX5:GEX28">
      <formula1>項目!A2:$GEQ$4</formula1>
    </dataValidation>
    <dataValidation type="list" allowBlank="1" showInputMessage="1" showErrorMessage="1" sqref="GOT5:GOT28">
      <formula1>項目!A2:$GOM$4</formula1>
    </dataValidation>
    <dataValidation type="list" allowBlank="1" showInputMessage="1" showErrorMessage="1" sqref="GYP5:GYP28">
      <formula1>項目!A2:$GYI$4</formula1>
    </dataValidation>
    <dataValidation type="list" allowBlank="1" showInputMessage="1" showErrorMessage="1" sqref="HIL5:HIL28">
      <formula1>項目!A2:$HIE$4</formula1>
    </dataValidation>
    <dataValidation type="list" allowBlank="1" showInputMessage="1" showErrorMessage="1" sqref="HSH5:HSH28">
      <formula1>項目!A2:$HSA$4</formula1>
    </dataValidation>
    <dataValidation type="list" allowBlank="1" showInputMessage="1" showErrorMessage="1" sqref="ICD5:ICD28">
      <formula1>項目!A2:$IBW$4</formula1>
    </dataValidation>
    <dataValidation type="list" allowBlank="1" showInputMessage="1" showErrorMessage="1" sqref="ILZ5:ILZ28">
      <formula1>項目!A2:$ILS$4</formula1>
    </dataValidation>
    <dataValidation type="list" allowBlank="1" showInputMessage="1" showErrorMessage="1" sqref="IVV5:IVV28">
      <formula1>項目!A2:$IVO$4</formula1>
    </dataValidation>
    <dataValidation type="list" allowBlank="1" showInputMessage="1" showErrorMessage="1" sqref="JFR5:JFR28">
      <formula1>項目!A2:$JFK$4</formula1>
    </dataValidation>
    <dataValidation type="list" allowBlank="1" showInputMessage="1" showErrorMessage="1" sqref="JPN5:JPN28">
      <formula1>項目!A2:$JPG$4</formula1>
    </dataValidation>
    <dataValidation type="list" allowBlank="1" showInputMessage="1" showErrorMessage="1" sqref="JZJ5:JZJ28">
      <formula1>項目!A2:$JZC$4</formula1>
    </dataValidation>
    <dataValidation type="list" allowBlank="1" showInputMessage="1" showErrorMessage="1" sqref="KJF5:KJF28">
      <formula1>項目!A2:$KIY$4</formula1>
    </dataValidation>
    <dataValidation type="list" allowBlank="1" showInputMessage="1" showErrorMessage="1" sqref="KTB5:KTB28">
      <formula1>項目!A2:$KSU$4</formula1>
    </dataValidation>
    <dataValidation type="list" allowBlank="1" showInputMessage="1" showErrorMessage="1" sqref="LCX5:LCX28">
      <formula1>項目!A2:$LCQ$4</formula1>
    </dataValidation>
    <dataValidation type="list" allowBlank="1" showInputMessage="1" showErrorMessage="1" sqref="LMT5:LMT28">
      <formula1>項目!A2:$LMM$4</formula1>
    </dataValidation>
    <dataValidation type="list" allowBlank="1" showInputMessage="1" showErrorMessage="1" sqref="LWP5:LWP28">
      <formula1>項目!A2:$LWI$4</formula1>
    </dataValidation>
    <dataValidation type="list" allowBlank="1" showInputMessage="1" showErrorMessage="1" sqref="MGL5:MGL28">
      <formula1>項目!A2:$MGE$4</formula1>
    </dataValidation>
    <dataValidation type="list" allowBlank="1" showInputMessage="1" showErrorMessage="1" sqref="MQH5:MQH28">
      <formula1>項目!A2:$MQA$4</formula1>
    </dataValidation>
    <dataValidation type="list" allowBlank="1" showInputMessage="1" showErrorMessage="1" sqref="NAD5:NAD28">
      <formula1>項目!A2:$MZW$4</formula1>
    </dataValidation>
    <dataValidation type="list" allowBlank="1" showInputMessage="1" showErrorMessage="1" sqref="NJZ5:NJZ28">
      <formula1>項目!A2:$NJS$4</formula1>
    </dataValidation>
    <dataValidation type="list" allowBlank="1" showInputMessage="1" showErrorMessage="1" sqref="NTV5:NTV28">
      <formula1>項目!A2:$NTO$4</formula1>
    </dataValidation>
    <dataValidation type="list" allowBlank="1" showInputMessage="1" showErrorMessage="1" sqref="ODR5:ODR28">
      <formula1>項目!A2:$ODK$4</formula1>
    </dataValidation>
    <dataValidation type="list" allowBlank="1" showInputMessage="1" showErrorMessage="1" sqref="ONN5:ONN28">
      <formula1>項目!A2:$ONG$4</formula1>
    </dataValidation>
    <dataValidation type="list" allowBlank="1" showInputMessage="1" showErrorMessage="1" sqref="OXJ5:OXJ28">
      <formula1>項目!A2:$OXC$4</formula1>
    </dataValidation>
    <dataValidation type="list" allowBlank="1" showInputMessage="1" showErrorMessage="1" sqref="PHF5:PHF28">
      <formula1>項目!A2:$PGY$4</formula1>
    </dataValidation>
    <dataValidation type="list" allowBlank="1" showInputMessage="1" showErrorMessage="1" sqref="PRB5:PRB28">
      <formula1>項目!A2:$PQU$4</formula1>
    </dataValidation>
    <dataValidation type="list" allowBlank="1" showInputMessage="1" showErrorMessage="1" sqref="QAX5:QAX28">
      <formula1>項目!A2:$QAQ$4</formula1>
    </dataValidation>
    <dataValidation type="list" allowBlank="1" showInputMessage="1" showErrorMessage="1" sqref="QKT5:QKT28">
      <formula1>項目!A2:$QKM$4</formula1>
    </dataValidation>
    <dataValidation type="list" allowBlank="1" showInputMessage="1" showErrorMessage="1" sqref="QUP5:QUP28">
      <formula1>項目!A2:$QUI$4</formula1>
    </dataValidation>
    <dataValidation type="list" allowBlank="1" showInputMessage="1" showErrorMessage="1" sqref="REL5:REL28">
      <formula1>項目!A2:$REE$4</formula1>
    </dataValidation>
    <dataValidation type="list" allowBlank="1" showInputMessage="1" showErrorMessage="1" sqref="ROH5:ROH28">
      <formula1>項目!A2:$ROA$4</formula1>
    </dataValidation>
    <dataValidation type="list" allowBlank="1" showInputMessage="1" showErrorMessage="1" sqref="RYD5:RYD28">
      <formula1>項目!A2:$RXW$4</formula1>
    </dataValidation>
    <dataValidation type="list" allowBlank="1" showInputMessage="1" showErrorMessage="1" sqref="SHZ5:SHZ28">
      <formula1>項目!A2:$SHS$4</formula1>
    </dataValidation>
    <dataValidation type="list" allowBlank="1" showInputMessage="1" showErrorMessage="1" sqref="SRV5:SRV28">
      <formula1>項目!A2:$SRO$4</formula1>
    </dataValidation>
    <dataValidation type="list" allowBlank="1" showInputMessage="1" showErrorMessage="1" sqref="TBR5:TBR28">
      <formula1>項目!A2:$TBK$4</formula1>
    </dataValidation>
    <dataValidation type="list" allowBlank="1" showInputMessage="1" showErrorMessage="1" sqref="TLN5:TLN28">
      <formula1>項目!A2:$TLG$4</formula1>
    </dataValidation>
    <dataValidation type="list" allowBlank="1" showInputMessage="1" showErrorMessage="1" sqref="TVJ5:TVJ28">
      <formula1>項目!A2:$TVC$4</formula1>
    </dataValidation>
    <dataValidation type="list" allowBlank="1" showInputMessage="1" showErrorMessage="1" sqref="UFF5:UFF28">
      <formula1>項目!A2:$UEY$4</formula1>
    </dataValidation>
    <dataValidation type="list" allowBlank="1" showInputMessage="1" showErrorMessage="1" sqref="UPB5:UPB28">
      <formula1>項目!A2:$UOU$4</formula1>
    </dataValidation>
    <dataValidation type="list" allowBlank="1" showInputMessage="1" showErrorMessage="1" sqref="UYX5:UYX28">
      <formula1>項目!A2:$UYQ$4</formula1>
    </dataValidation>
    <dataValidation type="list" allowBlank="1" showInputMessage="1" showErrorMessage="1" sqref="VIT5:VIT28">
      <formula1>項目!A2:$VIM$4</formula1>
    </dataValidation>
    <dataValidation type="list" allowBlank="1" showInputMessage="1" showErrorMessage="1" sqref="VSP5:VSP28">
      <formula1>項目!A2:$VSI$4</formula1>
    </dataValidation>
    <dataValidation type="list" allowBlank="1" showInputMessage="1" showErrorMessage="1" sqref="WCL5:WCL28">
      <formula1>項目!A2:$WCE$4</formula1>
    </dataValidation>
    <dataValidation type="list" allowBlank="1" showInputMessage="1" showErrorMessage="1" sqref="WMH5:WMH28">
      <formula1>項目!A2:$WMA$4</formula1>
    </dataValidation>
    <dataValidation type="list" allowBlank="1" showInputMessage="1" showErrorMessage="1" sqref="WWD5:WWD28">
      <formula1>項目!A2:$WVW$4</formula1>
    </dataValidation>
    <dataValidation type="list" allowBlank="1" showInputMessage="1" showErrorMessage="1" sqref="V65541:V65564">
      <formula1>項目!A4:$O$65538</formula1>
    </dataValidation>
    <dataValidation type="list" allowBlank="1" showInputMessage="1" showErrorMessage="1" sqref="JR65541:JR65564">
      <formula1>項目!A4:$JK$65538</formula1>
    </dataValidation>
    <dataValidation type="list" allowBlank="1" showInputMessage="1" showErrorMessage="1" sqref="TN65541:TN65564">
      <formula1>項目!A4:$TG$65538</formula1>
    </dataValidation>
    <dataValidation type="list" allowBlank="1" showInputMessage="1" showErrorMessage="1" sqref="ADJ65541:ADJ65564">
      <formula1>項目!A4:$ADC$65538</formula1>
    </dataValidation>
    <dataValidation type="list" allowBlank="1" showInputMessage="1" showErrorMessage="1" sqref="ANF65541:ANF65564">
      <formula1>項目!A4:$AMY$65538</formula1>
    </dataValidation>
    <dataValidation type="list" allowBlank="1" showInputMessage="1" showErrorMessage="1" sqref="AXB65541:AXB65564">
      <formula1>項目!A4:$AWU$65538</formula1>
    </dataValidation>
    <dataValidation type="list" allowBlank="1" showInputMessage="1" showErrorMessage="1" sqref="BGX65541:BGX65564">
      <formula1>項目!A4:$BGQ$65538</formula1>
    </dataValidation>
    <dataValidation type="list" allowBlank="1" showInputMessage="1" showErrorMessage="1" sqref="BQT65541:BQT65564">
      <formula1>項目!A4:$BQM$65538</formula1>
    </dataValidation>
    <dataValidation type="list" allowBlank="1" showInputMessage="1" showErrorMessage="1" sqref="CAP65541:CAP65564">
      <formula1>項目!A4:$CAI$65538</formula1>
    </dataValidation>
    <dataValidation type="list" allowBlank="1" showInputMessage="1" showErrorMessage="1" sqref="CKL65541:CKL65564">
      <formula1>項目!A4:$CKE$65538</formula1>
    </dataValidation>
    <dataValidation type="list" allowBlank="1" showInputMessage="1" showErrorMessage="1" sqref="CUH65541:CUH65564">
      <formula1>項目!A4:$CUA$65538</formula1>
    </dataValidation>
    <dataValidation type="list" allowBlank="1" showInputMessage="1" showErrorMessage="1" sqref="DED65541:DED65564">
      <formula1>項目!A4:$DDW$65538</formula1>
    </dataValidation>
    <dataValidation type="list" allowBlank="1" showInputMessage="1" showErrorMessage="1" sqref="DNZ65541:DNZ65564">
      <formula1>項目!A4:$DNS$65538</formula1>
    </dataValidation>
    <dataValidation type="list" allowBlank="1" showInputMessage="1" showErrorMessage="1" sqref="DXV65541:DXV65564">
      <formula1>項目!A4:$DXO$65538</formula1>
    </dataValidation>
    <dataValidation type="list" allowBlank="1" showInputMessage="1" showErrorMessage="1" sqref="EHR65541:EHR65564">
      <formula1>項目!A4:$EHK$65538</formula1>
    </dataValidation>
    <dataValidation type="list" allowBlank="1" showInputMessage="1" showErrorMessage="1" sqref="ERN65541:ERN65564">
      <formula1>項目!A4:$ERG$65538</formula1>
    </dataValidation>
    <dataValidation type="list" allowBlank="1" showInputMessage="1" showErrorMessage="1" sqref="FBJ65541:FBJ65564">
      <formula1>項目!A4:$FBC$65538</formula1>
    </dataValidation>
    <dataValidation type="list" allowBlank="1" showInputMessage="1" showErrorMessage="1" sqref="FLF65541:FLF65564">
      <formula1>項目!A4:$FKY$65538</formula1>
    </dataValidation>
    <dataValidation type="list" allowBlank="1" showInputMessage="1" showErrorMessage="1" sqref="FVB65541:FVB65564">
      <formula1>項目!A4:$FUU$65538</formula1>
    </dataValidation>
    <dataValidation type="list" allowBlank="1" showInputMessage="1" showErrorMessage="1" sqref="GEX65541:GEX65564">
      <formula1>項目!A4:$GEQ$65538</formula1>
    </dataValidation>
    <dataValidation type="list" allowBlank="1" showInputMessage="1" showErrorMessage="1" sqref="GOT65541:GOT65564">
      <formula1>項目!A4:$GOM$65538</formula1>
    </dataValidation>
    <dataValidation type="list" allowBlank="1" showInputMessage="1" showErrorMessage="1" sqref="GYP65541:GYP65564">
      <formula1>項目!A4:$GYI$65538</formula1>
    </dataValidation>
    <dataValidation type="list" allowBlank="1" showInputMessage="1" showErrorMessage="1" sqref="HIL65541:HIL65564">
      <formula1>項目!A4:$HIE$65538</formula1>
    </dataValidation>
    <dataValidation type="list" allowBlank="1" showInputMessage="1" showErrorMessage="1" sqref="HSH65541:HSH65564">
      <formula1>項目!A4:$HSA$65538</formula1>
    </dataValidation>
    <dataValidation type="list" allowBlank="1" showInputMessage="1" showErrorMessage="1" sqref="ICD65541:ICD65564">
      <formula1>項目!A4:$IBW$65538</formula1>
    </dataValidation>
    <dataValidation type="list" allowBlank="1" showInputMessage="1" showErrorMessage="1" sqref="ILZ65541:ILZ65564">
      <formula1>項目!A4:$ILS$65538</formula1>
    </dataValidation>
    <dataValidation type="list" allowBlank="1" showInputMessage="1" showErrorMessage="1" sqref="IVV65541:IVV65564">
      <formula1>項目!A4:$IVO$65538</formula1>
    </dataValidation>
    <dataValidation type="list" allowBlank="1" showInputMessage="1" showErrorMessage="1" sqref="JFR65541:JFR65564">
      <formula1>項目!A4:$JFK$65538</formula1>
    </dataValidation>
    <dataValidation type="list" allowBlank="1" showInputMessage="1" showErrorMessage="1" sqref="JPN65541:JPN65564">
      <formula1>項目!A4:$JPG$65538</formula1>
    </dataValidation>
    <dataValidation type="list" allowBlank="1" showInputMessage="1" showErrorMessage="1" sqref="JZJ65541:JZJ65564">
      <formula1>項目!A4:$JZC$65538</formula1>
    </dataValidation>
    <dataValidation type="list" allowBlank="1" showInputMessage="1" showErrorMessage="1" sqref="KJF65541:KJF65564">
      <formula1>項目!A4:$KIY$65538</formula1>
    </dataValidation>
    <dataValidation type="list" allowBlank="1" showInputMessage="1" showErrorMessage="1" sqref="KTB65541:KTB65564">
      <formula1>項目!A4:$KSU$65538</formula1>
    </dataValidation>
    <dataValidation type="list" allowBlank="1" showInputMessage="1" showErrorMessage="1" sqref="LCX65541:LCX65564">
      <formula1>項目!A4:$LCQ$65538</formula1>
    </dataValidation>
    <dataValidation type="list" allowBlank="1" showInputMessage="1" showErrorMessage="1" sqref="LMT65541:LMT65564">
      <formula1>項目!A4:$LMM$65538</formula1>
    </dataValidation>
    <dataValidation type="list" allowBlank="1" showInputMessage="1" showErrorMessage="1" sqref="LWP65541:LWP65564">
      <formula1>項目!A4:$LWI$65538</formula1>
    </dataValidation>
    <dataValidation type="list" allowBlank="1" showInputMessage="1" showErrorMessage="1" sqref="MGL65541:MGL65564">
      <formula1>項目!A4:$MGE$65538</formula1>
    </dataValidation>
    <dataValidation type="list" allowBlank="1" showInputMessage="1" showErrorMessage="1" sqref="MQH65541:MQH65564">
      <formula1>項目!A4:$MQA$65538</formula1>
    </dataValidation>
    <dataValidation type="list" allowBlank="1" showInputMessage="1" showErrorMessage="1" sqref="NAD65541:NAD65564">
      <formula1>項目!A4:$MZW$65538</formula1>
    </dataValidation>
    <dataValidation type="list" allowBlank="1" showInputMessage="1" showErrorMessage="1" sqref="NJZ65541:NJZ65564">
      <formula1>項目!A4:$NJS$65538</formula1>
    </dataValidation>
    <dataValidation type="list" allowBlank="1" showInputMessage="1" showErrorMessage="1" sqref="NTV65541:NTV65564">
      <formula1>項目!A4:$NTO$65538</formula1>
    </dataValidation>
    <dataValidation type="list" allowBlank="1" showInputMessage="1" showErrorMessage="1" sqref="ODR65541:ODR65564">
      <formula1>項目!A4:$ODK$65538</formula1>
    </dataValidation>
    <dataValidation type="list" allowBlank="1" showInputMessage="1" showErrorMessage="1" sqref="ONN65541:ONN65564">
      <formula1>項目!A4:$ONG$65538</formula1>
    </dataValidation>
    <dataValidation type="list" allowBlank="1" showInputMessage="1" showErrorMessage="1" sqref="OXJ65541:OXJ65564">
      <formula1>項目!A4:$OXC$65538</formula1>
    </dataValidation>
    <dataValidation type="list" allowBlank="1" showInputMessage="1" showErrorMessage="1" sqref="PHF65541:PHF65564">
      <formula1>項目!A4:$PGY$65538</formula1>
    </dataValidation>
    <dataValidation type="list" allowBlank="1" showInputMessage="1" showErrorMessage="1" sqref="PRB65541:PRB65564">
      <formula1>項目!A4:$PQU$65538</formula1>
    </dataValidation>
    <dataValidation type="list" allowBlank="1" showInputMessage="1" showErrorMessage="1" sqref="QAX65541:QAX65564">
      <formula1>項目!A4:$QAQ$65538</formula1>
    </dataValidation>
    <dataValidation type="list" allowBlank="1" showInputMessage="1" showErrorMessage="1" sqref="QKT65541:QKT65564">
      <formula1>項目!A4:$QKM$65538</formula1>
    </dataValidation>
    <dataValidation type="list" allowBlank="1" showInputMessage="1" showErrorMessage="1" sqref="QUP65541:QUP65564">
      <formula1>項目!A4:$QUI$65538</formula1>
    </dataValidation>
    <dataValidation type="list" allowBlank="1" showInputMessage="1" showErrorMessage="1" sqref="REL65541:REL65564">
      <formula1>項目!A4:$REE$65538</formula1>
    </dataValidation>
    <dataValidation type="list" allowBlank="1" showInputMessage="1" showErrorMessage="1" sqref="ROH65541:ROH65564">
      <formula1>項目!A4:$ROA$65538</formula1>
    </dataValidation>
    <dataValidation type="list" allowBlank="1" showInputMessage="1" showErrorMessage="1" sqref="RYD65541:RYD65564">
      <formula1>項目!A4:$RXW$65538</formula1>
    </dataValidation>
    <dataValidation type="list" allowBlank="1" showInputMessage="1" showErrorMessage="1" sqref="SHZ65541:SHZ65564">
      <formula1>項目!A4:$SHS$65538</formula1>
    </dataValidation>
    <dataValidation type="list" allowBlank="1" showInputMessage="1" showErrorMessage="1" sqref="SRV65541:SRV65564">
      <formula1>項目!A4:$SRO$65538</formula1>
    </dataValidation>
    <dataValidation type="list" allowBlank="1" showInputMessage="1" showErrorMessage="1" sqref="TBR65541:TBR65564">
      <formula1>項目!A4:$TBK$65538</formula1>
    </dataValidation>
    <dataValidation type="list" allowBlank="1" showInputMessage="1" showErrorMessage="1" sqref="TLN65541:TLN65564">
      <formula1>項目!A4:$TLG$65538</formula1>
    </dataValidation>
    <dataValidation type="list" allowBlank="1" showInputMessage="1" showErrorMessage="1" sqref="TVJ65541:TVJ65564">
      <formula1>項目!A4:$TVC$65538</formula1>
    </dataValidation>
    <dataValidation type="list" allowBlank="1" showInputMessage="1" showErrorMessage="1" sqref="UFF65541:UFF65564">
      <formula1>項目!A4:$UEY$65538</formula1>
    </dataValidation>
    <dataValidation type="list" allowBlank="1" showInputMessage="1" showErrorMessage="1" sqref="UPB65541:UPB65564">
      <formula1>項目!A4:$UOU$65538</formula1>
    </dataValidation>
    <dataValidation type="list" allowBlank="1" showInputMessage="1" showErrorMessage="1" sqref="UYX65541:UYX65564">
      <formula1>項目!A4:$UYQ$65538</formula1>
    </dataValidation>
    <dataValidation type="list" allowBlank="1" showInputMessage="1" showErrorMessage="1" sqref="VIT65541:VIT65564">
      <formula1>項目!A4:$VIM$65538</formula1>
    </dataValidation>
    <dataValidation type="list" allowBlank="1" showInputMessage="1" showErrorMessage="1" sqref="VSP65541:VSP65564">
      <formula1>項目!A4:$VSI$65538</formula1>
    </dataValidation>
    <dataValidation type="list" allowBlank="1" showInputMessage="1" showErrorMessage="1" sqref="WCL65541:WCL65564">
      <formula1>項目!A4:$WCE$65538</formula1>
    </dataValidation>
    <dataValidation type="list" allowBlank="1" showInputMessage="1" showErrorMessage="1" sqref="WMH65541:WMH65564">
      <formula1>項目!A4:$WMA$65538</formula1>
    </dataValidation>
    <dataValidation type="list" allowBlank="1" showInputMessage="1" showErrorMessage="1" sqref="WWD65541:WWD65564">
      <formula1>項目!A4:$WVW$65538</formula1>
    </dataValidation>
    <dataValidation type="list" allowBlank="1" showInputMessage="1" showErrorMessage="1" sqref="V131077:V131100">
      <formula1>項目!A4:$O$131074</formula1>
    </dataValidation>
    <dataValidation type="list" allowBlank="1" showInputMessage="1" showErrorMessage="1" sqref="JR131077:JR131100">
      <formula1>項目!A4:$JK$131074</formula1>
    </dataValidation>
    <dataValidation type="list" allowBlank="1" showInputMessage="1" showErrorMessage="1" sqref="TN131077:TN131100">
      <formula1>項目!A4:$TG$131074</formula1>
    </dataValidation>
    <dataValidation type="list" allowBlank="1" showInputMessage="1" showErrorMessage="1" sqref="ADJ131077:ADJ131100">
      <formula1>項目!A4:$ADC$131074</formula1>
    </dataValidation>
    <dataValidation type="list" allowBlank="1" showInputMessage="1" showErrorMessage="1" sqref="ANF131077:ANF131100">
      <formula1>項目!A4:$AMY$131074</formula1>
    </dataValidation>
    <dataValidation type="list" allowBlank="1" showInputMessage="1" showErrorMessage="1" sqref="AXB131077:AXB131100">
      <formula1>項目!A4:$AWU$131074</formula1>
    </dataValidation>
    <dataValidation type="list" allowBlank="1" showInputMessage="1" showErrorMessage="1" sqref="BGX131077:BGX131100">
      <formula1>項目!A4:$BGQ$131074</formula1>
    </dataValidation>
    <dataValidation type="list" allowBlank="1" showInputMessage="1" showErrorMessage="1" sqref="BQT131077:BQT131100">
      <formula1>項目!A4:$BQM$131074</formula1>
    </dataValidation>
    <dataValidation type="list" allowBlank="1" showInputMessage="1" showErrorMessage="1" sqref="CAP131077:CAP131100">
      <formula1>項目!A4:$CAI$131074</formula1>
    </dataValidation>
    <dataValidation type="list" allowBlank="1" showInputMessage="1" showErrorMessage="1" sqref="CKL131077:CKL131100">
      <formula1>項目!A4:$CKE$131074</formula1>
    </dataValidation>
    <dataValidation type="list" allowBlank="1" showInputMessage="1" showErrorMessage="1" sqref="CUH131077:CUH131100">
      <formula1>項目!A4:$CUA$131074</formula1>
    </dataValidation>
    <dataValidation type="list" allowBlank="1" showInputMessage="1" showErrorMessage="1" sqref="DED131077:DED131100">
      <formula1>項目!A4:$DDW$131074</formula1>
    </dataValidation>
    <dataValidation type="list" allowBlank="1" showInputMessage="1" showErrorMessage="1" sqref="DNZ131077:DNZ131100">
      <formula1>項目!A4:$DNS$131074</formula1>
    </dataValidation>
    <dataValidation type="list" allowBlank="1" showInputMessage="1" showErrorMessage="1" sqref="DXV131077:DXV131100">
      <formula1>項目!A4:$DXO$131074</formula1>
    </dataValidation>
    <dataValidation type="list" allowBlank="1" showInputMessage="1" showErrorMessage="1" sqref="EHR131077:EHR131100">
      <formula1>項目!A4:$EHK$131074</formula1>
    </dataValidation>
    <dataValidation type="list" allowBlank="1" showInputMessage="1" showErrorMessage="1" sqref="ERN131077:ERN131100">
      <formula1>項目!A4:$ERG$131074</formula1>
    </dataValidation>
    <dataValidation type="list" allowBlank="1" showInputMessage="1" showErrorMessage="1" sqref="FBJ131077:FBJ131100">
      <formula1>項目!A4:$FBC$131074</formula1>
    </dataValidation>
    <dataValidation type="list" allowBlank="1" showInputMessage="1" showErrorMessage="1" sqref="FLF131077:FLF131100">
      <formula1>項目!A4:$FKY$131074</formula1>
    </dataValidation>
    <dataValidation type="list" allowBlank="1" showInputMessage="1" showErrorMessage="1" sqref="FVB131077:FVB131100">
      <formula1>項目!A4:$FUU$131074</formula1>
    </dataValidation>
    <dataValidation type="list" allowBlank="1" showInputMessage="1" showErrorMessage="1" sqref="GEX131077:GEX131100">
      <formula1>項目!A4:$GEQ$131074</formula1>
    </dataValidation>
    <dataValidation type="list" allowBlank="1" showInputMessage="1" showErrorMessage="1" sqref="GOT131077:GOT131100">
      <formula1>項目!A4:$GOM$131074</formula1>
    </dataValidation>
    <dataValidation type="list" allowBlank="1" showInputMessage="1" showErrorMessage="1" sqref="GYP131077:GYP131100">
      <formula1>項目!A4:$GYI$131074</formula1>
    </dataValidation>
    <dataValidation type="list" allowBlank="1" showInputMessage="1" showErrorMessage="1" sqref="HIL131077:HIL131100">
      <formula1>項目!A4:$HIE$131074</formula1>
    </dataValidation>
    <dataValidation type="list" allowBlank="1" showInputMessage="1" showErrorMessage="1" sqref="HSH131077:HSH131100">
      <formula1>項目!A4:$HSA$131074</formula1>
    </dataValidation>
    <dataValidation type="list" allowBlank="1" showInputMessage="1" showErrorMessage="1" sqref="ICD131077:ICD131100">
      <formula1>項目!A4:$IBW$131074</formula1>
    </dataValidation>
    <dataValidation type="list" allowBlank="1" showInputMessage="1" showErrorMessage="1" sqref="ILZ131077:ILZ131100">
      <formula1>項目!A4:$ILS$131074</formula1>
    </dataValidation>
    <dataValidation type="list" allowBlank="1" showInputMessage="1" showErrorMessage="1" sqref="IVV131077:IVV131100">
      <formula1>項目!A4:$IVO$131074</formula1>
    </dataValidation>
    <dataValidation type="list" allowBlank="1" showInputMessage="1" showErrorMessage="1" sqref="JFR131077:JFR131100">
      <formula1>項目!A4:$JFK$131074</formula1>
    </dataValidation>
    <dataValidation type="list" allowBlank="1" showInputMessage="1" showErrorMessage="1" sqref="JPN131077:JPN131100">
      <formula1>項目!A4:$JPG$131074</formula1>
    </dataValidation>
    <dataValidation type="list" allowBlank="1" showInputMessage="1" showErrorMessage="1" sqref="JZJ131077:JZJ131100">
      <formula1>項目!A4:$JZC$131074</formula1>
    </dataValidation>
    <dataValidation type="list" allowBlank="1" showInputMessage="1" showErrorMessage="1" sqref="KJF131077:KJF131100">
      <formula1>項目!A4:$KIY$131074</formula1>
    </dataValidation>
    <dataValidation type="list" allowBlank="1" showInputMessage="1" showErrorMessage="1" sqref="KTB131077:KTB131100">
      <formula1>項目!A4:$KSU$131074</formula1>
    </dataValidation>
    <dataValidation type="list" allowBlank="1" showInputMessage="1" showErrorMessage="1" sqref="LCX131077:LCX131100">
      <formula1>項目!A4:$LCQ$131074</formula1>
    </dataValidation>
    <dataValidation type="list" allowBlank="1" showInputMessage="1" showErrorMessage="1" sqref="LMT131077:LMT131100">
      <formula1>項目!A4:$LMM$131074</formula1>
    </dataValidation>
    <dataValidation type="list" allowBlank="1" showInputMessage="1" showErrorMessage="1" sqref="LWP131077:LWP131100">
      <formula1>項目!A4:$LWI$131074</formula1>
    </dataValidation>
    <dataValidation type="list" allowBlank="1" showInputMessage="1" showErrorMessage="1" sqref="MGL131077:MGL131100">
      <formula1>項目!A4:$MGE$131074</formula1>
    </dataValidation>
    <dataValidation type="list" allowBlank="1" showInputMessage="1" showErrorMessage="1" sqref="MQH131077:MQH131100">
      <formula1>項目!A4:$MQA$131074</formula1>
    </dataValidation>
    <dataValidation type="list" allowBlank="1" showInputMessage="1" showErrorMessage="1" sqref="NAD131077:NAD131100">
      <formula1>項目!A4:$MZW$131074</formula1>
    </dataValidation>
    <dataValidation type="list" allowBlank="1" showInputMessage="1" showErrorMessage="1" sqref="NJZ131077:NJZ131100">
      <formula1>項目!A4:$NJS$131074</formula1>
    </dataValidation>
    <dataValidation type="list" allowBlank="1" showInputMessage="1" showErrorMessage="1" sqref="NTV131077:NTV131100">
      <formula1>項目!A4:$NTO$131074</formula1>
    </dataValidation>
    <dataValidation type="list" allowBlank="1" showInputMessage="1" showErrorMessage="1" sqref="ODR131077:ODR131100">
      <formula1>項目!A4:$ODK$131074</formula1>
    </dataValidation>
    <dataValidation type="list" allowBlank="1" showInputMessage="1" showErrorMessage="1" sqref="ONN131077:ONN131100">
      <formula1>項目!A4:$ONG$131074</formula1>
    </dataValidation>
    <dataValidation type="list" allowBlank="1" showInputMessage="1" showErrorMessage="1" sqref="OXJ131077:OXJ131100">
      <formula1>項目!A4:$OXC$131074</formula1>
    </dataValidation>
    <dataValidation type="list" allowBlank="1" showInputMessage="1" showErrorMessage="1" sqref="PHF131077:PHF131100">
      <formula1>項目!A4:$PGY$131074</formula1>
    </dataValidation>
    <dataValidation type="list" allowBlank="1" showInputMessage="1" showErrorMessage="1" sqref="PRB131077:PRB131100">
      <formula1>項目!A4:$PQU$131074</formula1>
    </dataValidation>
    <dataValidation type="list" allowBlank="1" showInputMessage="1" showErrorMessage="1" sqref="QAX131077:QAX131100">
      <formula1>項目!A4:$QAQ$131074</formula1>
    </dataValidation>
    <dataValidation type="list" allowBlank="1" showInputMessage="1" showErrorMessage="1" sqref="QKT131077:QKT131100">
      <formula1>項目!A4:$QKM$131074</formula1>
    </dataValidation>
    <dataValidation type="list" allowBlank="1" showInputMessage="1" showErrorMessage="1" sqref="QUP131077:QUP131100">
      <formula1>項目!A4:$QUI$131074</formula1>
    </dataValidation>
    <dataValidation type="list" allowBlank="1" showInputMessage="1" showErrorMessage="1" sqref="REL131077:REL131100">
      <formula1>項目!A4:$REE$131074</formula1>
    </dataValidation>
    <dataValidation type="list" allowBlank="1" showInputMessage="1" showErrorMessage="1" sqref="ROH131077:ROH131100">
      <formula1>項目!A4:$ROA$131074</formula1>
    </dataValidation>
    <dataValidation type="list" allowBlank="1" showInputMessage="1" showErrorMessage="1" sqref="RYD131077:RYD131100">
      <formula1>項目!A4:$RXW$131074</formula1>
    </dataValidation>
    <dataValidation type="list" allowBlank="1" showInputMessage="1" showErrorMessage="1" sqref="SHZ131077:SHZ131100">
      <formula1>項目!A4:$SHS$131074</formula1>
    </dataValidation>
    <dataValidation type="list" allowBlank="1" showInputMessage="1" showErrorMessage="1" sqref="SRV131077:SRV131100">
      <formula1>項目!A4:$SRO$131074</formula1>
    </dataValidation>
    <dataValidation type="list" allowBlank="1" showInputMessage="1" showErrorMessage="1" sqref="TBR131077:TBR131100">
      <formula1>項目!A4:$TBK$131074</formula1>
    </dataValidation>
    <dataValidation type="list" allowBlank="1" showInputMessage="1" showErrorMessage="1" sqref="TLN131077:TLN131100">
      <formula1>項目!A4:$TLG$131074</formula1>
    </dataValidation>
    <dataValidation type="list" allowBlank="1" showInputMessage="1" showErrorMessage="1" sqref="TVJ131077:TVJ131100">
      <formula1>項目!A4:$TVC$131074</formula1>
    </dataValidation>
    <dataValidation type="list" allowBlank="1" showInputMessage="1" showErrorMessage="1" sqref="UFF131077:UFF131100">
      <formula1>項目!A4:$UEY$131074</formula1>
    </dataValidation>
    <dataValidation type="list" allowBlank="1" showInputMessage="1" showErrorMessage="1" sqref="UPB131077:UPB131100">
      <formula1>項目!A4:$UOU$131074</formula1>
    </dataValidation>
    <dataValidation type="list" allowBlank="1" showInputMessage="1" showErrorMessage="1" sqref="UYX131077:UYX131100">
      <formula1>項目!A4:$UYQ$131074</formula1>
    </dataValidation>
    <dataValidation type="list" allowBlank="1" showInputMessage="1" showErrorMessage="1" sqref="VIT131077:VIT131100">
      <formula1>項目!A4:$VIM$131074</formula1>
    </dataValidation>
    <dataValidation type="list" allowBlank="1" showInputMessage="1" showErrorMessage="1" sqref="VSP131077:VSP131100">
      <formula1>項目!A4:$VSI$131074</formula1>
    </dataValidation>
    <dataValidation type="list" allowBlank="1" showInputMessage="1" showErrorMessage="1" sqref="WCL131077:WCL131100">
      <formula1>項目!A4:$WCE$131074</formula1>
    </dataValidation>
    <dataValidation type="list" allowBlank="1" showInputMessage="1" showErrorMessage="1" sqref="WMH131077:WMH131100">
      <formula1>項目!A4:$WMA$131074</formula1>
    </dataValidation>
    <dataValidation type="list" allowBlank="1" showInputMessage="1" showErrorMessage="1" sqref="WWD131077:WWD131100">
      <formula1>項目!A4:$WVW$131074</formula1>
    </dataValidation>
    <dataValidation type="list" allowBlank="1" showInputMessage="1" showErrorMessage="1" sqref="V196613:V196636">
      <formula1>項目!A4:$O$196610</formula1>
    </dataValidation>
    <dataValidation type="list" allowBlank="1" showInputMessage="1" showErrorMessage="1" sqref="JR196613:JR196636">
      <formula1>項目!A4:$JK$196610</formula1>
    </dataValidation>
    <dataValidation type="list" allowBlank="1" showInputMessage="1" showErrorMessage="1" sqref="TN196613:TN196636">
      <formula1>項目!A4:$TG$196610</formula1>
    </dataValidation>
    <dataValidation type="list" allowBlank="1" showInputMessage="1" showErrorMessage="1" sqref="ADJ196613:ADJ196636">
      <formula1>項目!A4:$ADC$196610</formula1>
    </dataValidation>
    <dataValidation type="list" allowBlank="1" showInputMessage="1" showErrorMessage="1" sqref="ANF196613:ANF196636">
      <formula1>項目!A4:$AMY$196610</formula1>
    </dataValidation>
    <dataValidation type="list" allowBlank="1" showInputMessage="1" showErrorMessage="1" sqref="AXB196613:AXB196636">
      <formula1>項目!A4:$AWU$196610</formula1>
    </dataValidation>
    <dataValidation type="list" allowBlank="1" showInputMessage="1" showErrorMessage="1" sqref="BGX196613:BGX196636">
      <formula1>項目!A4:$BGQ$196610</formula1>
    </dataValidation>
    <dataValidation type="list" allowBlank="1" showInputMessage="1" showErrorMessage="1" sqref="BQT196613:BQT196636">
      <formula1>項目!A4:$BQM$196610</formula1>
    </dataValidation>
    <dataValidation type="list" allowBlank="1" showInputMessage="1" showErrorMessage="1" sqref="CAP196613:CAP196636">
      <formula1>項目!A4:$CAI$196610</formula1>
    </dataValidation>
    <dataValidation type="list" allowBlank="1" showInputMessage="1" showErrorMessage="1" sqref="CKL196613:CKL196636">
      <formula1>項目!A4:$CKE$196610</formula1>
    </dataValidation>
    <dataValidation type="list" allowBlank="1" showInputMessage="1" showErrorMessage="1" sqref="CUH196613:CUH196636">
      <formula1>項目!A4:$CUA$196610</formula1>
    </dataValidation>
    <dataValidation type="list" allowBlank="1" showInputMessage="1" showErrorMessage="1" sqref="DED196613:DED196636">
      <formula1>項目!A4:$DDW$196610</formula1>
    </dataValidation>
    <dataValidation type="list" allowBlank="1" showInputMessage="1" showErrorMessage="1" sqref="DNZ196613:DNZ196636">
      <formula1>項目!A4:$DNS$196610</formula1>
    </dataValidation>
    <dataValidation type="list" allowBlank="1" showInputMessage="1" showErrorMessage="1" sqref="DXV196613:DXV196636">
      <formula1>項目!A4:$DXO$196610</formula1>
    </dataValidation>
    <dataValidation type="list" allowBlank="1" showInputMessage="1" showErrorMessage="1" sqref="EHR196613:EHR196636">
      <formula1>項目!A4:$EHK$196610</formula1>
    </dataValidation>
    <dataValidation type="list" allowBlank="1" showInputMessage="1" showErrorMessage="1" sqref="ERN196613:ERN196636">
      <formula1>項目!A4:$ERG$196610</formula1>
    </dataValidation>
    <dataValidation type="list" allowBlank="1" showInputMessage="1" showErrorMessage="1" sqref="FBJ196613:FBJ196636">
      <formula1>項目!A4:$FBC$196610</formula1>
    </dataValidation>
    <dataValidation type="list" allowBlank="1" showInputMessage="1" showErrorMessage="1" sqref="FLF196613:FLF196636">
      <formula1>項目!A4:$FKY$196610</formula1>
    </dataValidation>
    <dataValidation type="list" allowBlank="1" showInputMessage="1" showErrorMessage="1" sqref="FVB196613:FVB196636">
      <formula1>項目!A4:$FUU$196610</formula1>
    </dataValidation>
    <dataValidation type="list" allowBlank="1" showInputMessage="1" showErrorMessage="1" sqref="GEX196613:GEX196636">
      <formula1>項目!A4:$GEQ$196610</formula1>
    </dataValidation>
    <dataValidation type="list" allowBlank="1" showInputMessage="1" showErrorMessage="1" sqref="GOT196613:GOT196636">
      <formula1>項目!A4:$GOM$196610</formula1>
    </dataValidation>
    <dataValidation type="list" allowBlank="1" showInputMessage="1" showErrorMessage="1" sqref="GYP196613:GYP196636">
      <formula1>項目!A4:$GYI$196610</formula1>
    </dataValidation>
    <dataValidation type="list" allowBlank="1" showInputMessage="1" showErrorMessage="1" sqref="HIL196613:HIL196636">
      <formula1>項目!A4:$HIE$196610</formula1>
    </dataValidation>
    <dataValidation type="list" allowBlank="1" showInputMessage="1" showErrorMessage="1" sqref="HSH196613:HSH196636">
      <formula1>項目!A4:$HSA$196610</formula1>
    </dataValidation>
    <dataValidation type="list" allowBlank="1" showInputMessage="1" showErrorMessage="1" sqref="ICD196613:ICD196636">
      <formula1>項目!A4:$IBW$196610</formula1>
    </dataValidation>
    <dataValidation type="list" allowBlank="1" showInputMessage="1" showErrorMessage="1" sqref="ILZ196613:ILZ196636">
      <formula1>項目!A4:$ILS$196610</formula1>
    </dataValidation>
    <dataValidation type="list" allowBlank="1" showInputMessage="1" showErrorMessage="1" sqref="IVV196613:IVV196636">
      <formula1>項目!A4:$IVO$196610</formula1>
    </dataValidation>
    <dataValidation type="list" allowBlank="1" showInputMessage="1" showErrorMessage="1" sqref="JFR196613:JFR196636">
      <formula1>項目!A4:$JFK$196610</formula1>
    </dataValidation>
    <dataValidation type="list" allowBlank="1" showInputMessage="1" showErrorMessage="1" sqref="JPN196613:JPN196636">
      <formula1>項目!A4:$JPG$196610</formula1>
    </dataValidation>
    <dataValidation type="list" allowBlank="1" showInputMessage="1" showErrorMessage="1" sqref="JZJ196613:JZJ196636">
      <formula1>項目!A4:$JZC$196610</formula1>
    </dataValidation>
    <dataValidation type="list" allowBlank="1" showInputMessage="1" showErrorMessage="1" sqref="KJF196613:KJF196636">
      <formula1>項目!A4:$KIY$196610</formula1>
    </dataValidation>
    <dataValidation type="list" allowBlank="1" showInputMessage="1" showErrorMessage="1" sqref="KTB196613:KTB196636">
      <formula1>項目!A4:$KSU$196610</formula1>
    </dataValidation>
    <dataValidation type="list" allowBlank="1" showInputMessage="1" showErrorMessage="1" sqref="LCX196613:LCX196636">
      <formula1>項目!A4:$LCQ$196610</formula1>
    </dataValidation>
    <dataValidation type="list" allowBlank="1" showInputMessage="1" showErrorMessage="1" sqref="LMT196613:LMT196636">
      <formula1>項目!A4:$LMM$196610</formula1>
    </dataValidation>
    <dataValidation type="list" allowBlank="1" showInputMessage="1" showErrorMessage="1" sqref="LWP196613:LWP196636">
      <formula1>項目!A4:$LWI$196610</formula1>
    </dataValidation>
    <dataValidation type="list" allowBlank="1" showInputMessage="1" showErrorMessage="1" sqref="MGL196613:MGL196636">
      <formula1>項目!A4:$MGE$196610</formula1>
    </dataValidation>
    <dataValidation type="list" allowBlank="1" showInputMessage="1" showErrorMessage="1" sqref="MQH196613:MQH196636">
      <formula1>項目!A4:$MQA$196610</formula1>
    </dataValidation>
    <dataValidation type="list" allowBlank="1" showInputMessage="1" showErrorMessage="1" sqref="NAD196613:NAD196636">
      <formula1>項目!A4:$MZW$196610</formula1>
    </dataValidation>
    <dataValidation type="list" allowBlank="1" showInputMessage="1" showErrorMessage="1" sqref="NJZ196613:NJZ196636">
      <formula1>項目!A4:$NJS$196610</formula1>
    </dataValidation>
    <dataValidation type="list" allowBlank="1" showInputMessage="1" showErrorMessage="1" sqref="NTV196613:NTV196636">
      <formula1>項目!A4:$NTO$196610</formula1>
    </dataValidation>
    <dataValidation type="list" allowBlank="1" showInputMessage="1" showErrorMessage="1" sqref="ODR196613:ODR196636">
      <formula1>項目!A4:$ODK$196610</formula1>
    </dataValidation>
    <dataValidation type="list" allowBlank="1" showInputMessage="1" showErrorMessage="1" sqref="ONN196613:ONN196636">
      <formula1>項目!A4:$ONG$196610</formula1>
    </dataValidation>
    <dataValidation type="list" allowBlank="1" showInputMessage="1" showErrorMessage="1" sqref="OXJ196613:OXJ196636">
      <formula1>項目!A4:$OXC$196610</formula1>
    </dataValidation>
    <dataValidation type="list" allowBlank="1" showInputMessage="1" showErrorMessage="1" sqref="PHF196613:PHF196636">
      <formula1>項目!A4:$PGY$196610</formula1>
    </dataValidation>
    <dataValidation type="list" allowBlank="1" showInputMessage="1" showErrorMessage="1" sqref="PRB196613:PRB196636">
      <formula1>項目!A4:$PQU$196610</formula1>
    </dataValidation>
    <dataValidation type="list" allowBlank="1" showInputMessage="1" showErrorMessage="1" sqref="QAX196613:QAX196636">
      <formula1>項目!A4:$QAQ$196610</formula1>
    </dataValidation>
    <dataValidation type="list" allowBlank="1" showInputMessage="1" showErrorMessage="1" sqref="QKT196613:QKT196636">
      <formula1>項目!A4:$QKM$196610</formula1>
    </dataValidation>
    <dataValidation type="list" allowBlank="1" showInputMessage="1" showErrorMessage="1" sqref="QUP196613:QUP196636">
      <formula1>項目!A4:$QUI$196610</formula1>
    </dataValidation>
    <dataValidation type="list" allowBlank="1" showInputMessage="1" showErrorMessage="1" sqref="REL196613:REL196636">
      <formula1>項目!A4:$REE$196610</formula1>
    </dataValidation>
    <dataValidation type="list" allowBlank="1" showInputMessage="1" showErrorMessage="1" sqref="ROH196613:ROH196636">
      <formula1>項目!A4:$ROA$196610</formula1>
    </dataValidation>
    <dataValidation type="list" allowBlank="1" showInputMessage="1" showErrorMessage="1" sqref="RYD196613:RYD196636">
      <formula1>項目!A4:$RXW$196610</formula1>
    </dataValidation>
    <dataValidation type="list" allowBlank="1" showInputMessage="1" showErrorMessage="1" sqref="SHZ196613:SHZ196636">
      <formula1>項目!A4:$SHS$196610</formula1>
    </dataValidation>
    <dataValidation type="list" allowBlank="1" showInputMessage="1" showErrorMessage="1" sqref="SRV196613:SRV196636">
      <formula1>項目!A4:$SRO$196610</formula1>
    </dataValidation>
    <dataValidation type="list" allowBlank="1" showInputMessage="1" showErrorMessage="1" sqref="TBR196613:TBR196636">
      <formula1>項目!A4:$TBK$196610</formula1>
    </dataValidation>
    <dataValidation type="list" allowBlank="1" showInputMessage="1" showErrorMessage="1" sqref="TLN196613:TLN196636">
      <formula1>項目!A4:$TLG$196610</formula1>
    </dataValidation>
    <dataValidation type="list" allowBlank="1" showInputMessage="1" showErrorMessage="1" sqref="TVJ196613:TVJ196636">
      <formula1>項目!A4:$TVC$196610</formula1>
    </dataValidation>
    <dataValidation type="list" allowBlank="1" showInputMessage="1" showErrorMessage="1" sqref="UFF196613:UFF196636">
      <formula1>項目!A4:$UEY$196610</formula1>
    </dataValidation>
    <dataValidation type="list" allowBlank="1" showInputMessage="1" showErrorMessage="1" sqref="UPB196613:UPB196636">
      <formula1>項目!A4:$UOU$196610</formula1>
    </dataValidation>
    <dataValidation type="list" allowBlank="1" showInputMessage="1" showErrorMessage="1" sqref="UYX196613:UYX196636">
      <formula1>項目!A4:$UYQ$196610</formula1>
    </dataValidation>
    <dataValidation type="list" allowBlank="1" showInputMessage="1" showErrorMessage="1" sqref="VIT196613:VIT196636">
      <formula1>項目!A4:$VIM$196610</formula1>
    </dataValidation>
    <dataValidation type="list" allowBlank="1" showInputMessage="1" showErrorMessage="1" sqref="VSP196613:VSP196636">
      <formula1>項目!A4:$VSI$196610</formula1>
    </dataValidation>
    <dataValidation type="list" allowBlank="1" showInputMessage="1" showErrorMessage="1" sqref="WCL196613:WCL196636">
      <formula1>項目!A4:$WCE$196610</formula1>
    </dataValidation>
    <dataValidation type="list" allowBlank="1" showInputMessage="1" showErrorMessage="1" sqref="WMH196613:WMH196636">
      <formula1>項目!A4:$WMA$196610</formula1>
    </dataValidation>
    <dataValidation type="list" allowBlank="1" showInputMessage="1" showErrorMessage="1" sqref="WWD196613:WWD196636">
      <formula1>項目!A4:$WVW$196610</formula1>
    </dataValidation>
    <dataValidation type="list" allowBlank="1" showInputMessage="1" showErrorMessage="1" sqref="V262149:V262172">
      <formula1>項目!A4:$O$262146</formula1>
    </dataValidation>
    <dataValidation type="list" allowBlank="1" showInputMessage="1" showErrorMessage="1" sqref="JR262149:JR262172">
      <formula1>項目!A4:$JK$262146</formula1>
    </dataValidation>
    <dataValidation type="list" allowBlank="1" showInputMessage="1" showErrorMessage="1" sqref="TN262149:TN262172">
      <formula1>項目!A4:$TG$262146</formula1>
    </dataValidation>
    <dataValidation type="list" allowBlank="1" showInputMessage="1" showErrorMessage="1" sqref="ADJ262149:ADJ262172">
      <formula1>項目!A4:$ADC$262146</formula1>
    </dataValidation>
    <dataValidation type="list" allowBlank="1" showInputMessage="1" showErrorMessage="1" sqref="ANF262149:ANF262172">
      <formula1>項目!A4:$AMY$262146</formula1>
    </dataValidation>
    <dataValidation type="list" allowBlank="1" showInputMessage="1" showErrorMessage="1" sqref="AXB262149:AXB262172">
      <formula1>項目!A4:$AWU$262146</formula1>
    </dataValidation>
    <dataValidation type="list" allowBlank="1" showInputMessage="1" showErrorMessage="1" sqref="BGX262149:BGX262172">
      <formula1>項目!A4:$BGQ$262146</formula1>
    </dataValidation>
    <dataValidation type="list" allowBlank="1" showInputMessage="1" showErrorMessage="1" sqref="BQT262149:BQT262172">
      <formula1>項目!A4:$BQM$262146</formula1>
    </dataValidation>
    <dataValidation type="list" allowBlank="1" showInputMessage="1" showErrorMessage="1" sqref="CAP262149:CAP262172">
      <formula1>項目!A4:$CAI$262146</formula1>
    </dataValidation>
    <dataValidation type="list" allowBlank="1" showInputMessage="1" showErrorMessage="1" sqref="CKL262149:CKL262172">
      <formula1>項目!A4:$CKE$262146</formula1>
    </dataValidation>
    <dataValidation type="list" allowBlank="1" showInputMessage="1" showErrorMessage="1" sqref="CUH262149:CUH262172">
      <formula1>項目!A4:$CUA$262146</formula1>
    </dataValidation>
    <dataValidation type="list" allowBlank="1" showInputMessage="1" showErrorMessage="1" sqref="DED262149:DED262172">
      <formula1>項目!A4:$DDW$262146</formula1>
    </dataValidation>
    <dataValidation type="list" allowBlank="1" showInputMessage="1" showErrorMessage="1" sqref="DNZ262149:DNZ262172">
      <formula1>項目!A4:$DNS$262146</formula1>
    </dataValidation>
    <dataValidation type="list" allowBlank="1" showInputMessage="1" showErrorMessage="1" sqref="DXV262149:DXV262172">
      <formula1>項目!A4:$DXO$262146</formula1>
    </dataValidation>
    <dataValidation type="list" allowBlank="1" showInputMessage="1" showErrorMessage="1" sqref="EHR262149:EHR262172">
      <formula1>項目!A4:$EHK$262146</formula1>
    </dataValidation>
    <dataValidation type="list" allowBlank="1" showInputMessage="1" showErrorMessage="1" sqref="ERN262149:ERN262172">
      <formula1>項目!A4:$ERG$262146</formula1>
    </dataValidation>
    <dataValidation type="list" allowBlank="1" showInputMessage="1" showErrorMessage="1" sqref="FBJ262149:FBJ262172">
      <formula1>項目!A4:$FBC$262146</formula1>
    </dataValidation>
    <dataValidation type="list" allowBlank="1" showInputMessage="1" showErrorMessage="1" sqref="FLF262149:FLF262172">
      <formula1>項目!A4:$FKY$262146</formula1>
    </dataValidation>
    <dataValidation type="list" allowBlank="1" showInputMessage="1" showErrorMessage="1" sqref="FVB262149:FVB262172">
      <formula1>項目!A4:$FUU$262146</formula1>
    </dataValidation>
    <dataValidation type="list" allowBlank="1" showInputMessage="1" showErrorMessage="1" sqref="GEX262149:GEX262172">
      <formula1>項目!A4:$GEQ$262146</formula1>
    </dataValidation>
    <dataValidation type="list" allowBlank="1" showInputMessage="1" showErrorMessage="1" sqref="GOT262149:GOT262172">
      <formula1>項目!A4:$GOM$262146</formula1>
    </dataValidation>
    <dataValidation type="list" allowBlank="1" showInputMessage="1" showErrorMessage="1" sqref="GYP262149:GYP262172">
      <formula1>項目!A4:$GYI$262146</formula1>
    </dataValidation>
    <dataValidation type="list" allowBlank="1" showInputMessage="1" showErrorMessage="1" sqref="HIL262149:HIL262172">
      <formula1>項目!A4:$HIE$262146</formula1>
    </dataValidation>
    <dataValidation type="list" allowBlank="1" showInputMessage="1" showErrorMessage="1" sqref="HSH262149:HSH262172">
      <formula1>項目!A4:$HSA$262146</formula1>
    </dataValidation>
    <dataValidation type="list" allowBlank="1" showInputMessage="1" showErrorMessage="1" sqref="ICD262149:ICD262172">
      <formula1>項目!A4:$IBW$262146</formula1>
    </dataValidation>
    <dataValidation type="list" allowBlank="1" showInputMessage="1" showErrorMessage="1" sqref="ILZ262149:ILZ262172">
      <formula1>項目!A4:$ILS$262146</formula1>
    </dataValidation>
    <dataValidation type="list" allowBlank="1" showInputMessage="1" showErrorMessage="1" sqref="IVV262149:IVV262172">
      <formula1>項目!A4:$IVO$262146</formula1>
    </dataValidation>
    <dataValidation type="list" allowBlank="1" showInputMessage="1" showErrorMessage="1" sqref="JFR262149:JFR262172">
      <formula1>項目!A4:$JFK$262146</formula1>
    </dataValidation>
    <dataValidation type="list" allowBlank="1" showInputMessage="1" showErrorMessage="1" sqref="JPN262149:JPN262172">
      <formula1>項目!A4:$JPG$262146</formula1>
    </dataValidation>
    <dataValidation type="list" allowBlank="1" showInputMessage="1" showErrorMessage="1" sqref="JZJ262149:JZJ262172">
      <formula1>項目!A4:$JZC$262146</formula1>
    </dataValidation>
    <dataValidation type="list" allowBlank="1" showInputMessage="1" showErrorMessage="1" sqref="KJF262149:KJF262172">
      <formula1>項目!A4:$KIY$262146</formula1>
    </dataValidation>
    <dataValidation type="list" allowBlank="1" showInputMessage="1" showErrorMessage="1" sqref="KTB262149:KTB262172">
      <formula1>項目!A4:$KSU$262146</formula1>
    </dataValidation>
    <dataValidation type="list" allowBlank="1" showInputMessage="1" showErrorMessage="1" sqref="LCX262149:LCX262172">
      <formula1>項目!A4:$LCQ$262146</formula1>
    </dataValidation>
    <dataValidation type="list" allowBlank="1" showInputMessage="1" showErrorMessage="1" sqref="LMT262149:LMT262172">
      <formula1>項目!A4:$LMM$262146</formula1>
    </dataValidation>
    <dataValidation type="list" allowBlank="1" showInputMessage="1" showErrorMessage="1" sqref="LWP262149:LWP262172">
      <formula1>項目!A4:$LWI$262146</formula1>
    </dataValidation>
    <dataValidation type="list" allowBlank="1" showInputMessage="1" showErrorMessage="1" sqref="MGL262149:MGL262172">
      <formula1>項目!A4:$MGE$262146</formula1>
    </dataValidation>
    <dataValidation type="list" allowBlank="1" showInputMessage="1" showErrorMessage="1" sqref="MQH262149:MQH262172">
      <formula1>項目!A4:$MQA$262146</formula1>
    </dataValidation>
    <dataValidation type="list" allowBlank="1" showInputMessage="1" showErrorMessage="1" sqref="NAD262149:NAD262172">
      <formula1>項目!A4:$MZW$262146</formula1>
    </dataValidation>
    <dataValidation type="list" allowBlank="1" showInputMessage="1" showErrorMessage="1" sqref="NJZ262149:NJZ262172">
      <formula1>項目!A4:$NJS$262146</formula1>
    </dataValidation>
    <dataValidation type="list" allowBlank="1" showInputMessage="1" showErrorMessage="1" sqref="NTV262149:NTV262172">
      <formula1>項目!A4:$NTO$262146</formula1>
    </dataValidation>
    <dataValidation type="list" allowBlank="1" showInputMessage="1" showErrorMessage="1" sqref="ODR262149:ODR262172">
      <formula1>項目!A4:$ODK$262146</formula1>
    </dataValidation>
    <dataValidation type="list" allowBlank="1" showInputMessage="1" showErrorMessage="1" sqref="ONN262149:ONN262172">
      <formula1>項目!A4:$ONG$262146</formula1>
    </dataValidation>
    <dataValidation type="list" allowBlank="1" showInputMessage="1" showErrorMessage="1" sqref="OXJ262149:OXJ262172">
      <formula1>項目!A4:$OXC$262146</formula1>
    </dataValidation>
    <dataValidation type="list" allowBlank="1" showInputMessage="1" showErrorMessage="1" sqref="PHF262149:PHF262172">
      <formula1>項目!A4:$PGY$262146</formula1>
    </dataValidation>
    <dataValidation type="list" allowBlank="1" showInputMessage="1" showErrorMessage="1" sqref="PRB262149:PRB262172">
      <formula1>項目!A4:$PQU$262146</formula1>
    </dataValidation>
    <dataValidation type="list" allowBlank="1" showInputMessage="1" showErrorMessage="1" sqref="QAX262149:QAX262172">
      <formula1>項目!A4:$QAQ$262146</formula1>
    </dataValidation>
    <dataValidation type="list" allowBlank="1" showInputMessage="1" showErrorMessage="1" sqref="QKT262149:QKT262172">
      <formula1>項目!A4:$QKM$262146</formula1>
    </dataValidation>
    <dataValidation type="list" allowBlank="1" showInputMessage="1" showErrorMessage="1" sqref="QUP262149:QUP262172">
      <formula1>項目!A4:$QUI$262146</formula1>
    </dataValidation>
    <dataValidation type="list" allowBlank="1" showInputMessage="1" showErrorMessage="1" sqref="REL262149:REL262172">
      <formula1>項目!A4:$REE$262146</formula1>
    </dataValidation>
    <dataValidation type="list" allowBlank="1" showInputMessage="1" showErrorMessage="1" sqref="ROH262149:ROH262172">
      <formula1>項目!A4:$ROA$262146</formula1>
    </dataValidation>
    <dataValidation type="list" allowBlank="1" showInputMessage="1" showErrorMessage="1" sqref="RYD262149:RYD262172">
      <formula1>項目!A4:$RXW$262146</formula1>
    </dataValidation>
    <dataValidation type="list" allowBlank="1" showInputMessage="1" showErrorMessage="1" sqref="SHZ262149:SHZ262172">
      <formula1>項目!A4:$SHS$262146</formula1>
    </dataValidation>
    <dataValidation type="list" allowBlank="1" showInputMessage="1" showErrorMessage="1" sqref="SRV262149:SRV262172">
      <formula1>項目!A4:$SRO$262146</formula1>
    </dataValidation>
    <dataValidation type="list" allowBlank="1" showInputMessage="1" showErrorMessage="1" sqref="TBR262149:TBR262172">
      <formula1>項目!A4:$TBK$262146</formula1>
    </dataValidation>
    <dataValidation type="list" allowBlank="1" showInputMessage="1" showErrorMessage="1" sqref="TLN262149:TLN262172">
      <formula1>項目!A4:$TLG$262146</formula1>
    </dataValidation>
    <dataValidation type="list" allowBlank="1" showInputMessage="1" showErrorMessage="1" sqref="TVJ262149:TVJ262172">
      <formula1>項目!A4:$TVC$262146</formula1>
    </dataValidation>
    <dataValidation type="list" allowBlank="1" showInputMessage="1" showErrorMessage="1" sqref="UFF262149:UFF262172">
      <formula1>項目!A4:$UEY$262146</formula1>
    </dataValidation>
    <dataValidation type="list" allowBlank="1" showInputMessage="1" showErrorMessage="1" sqref="UPB262149:UPB262172">
      <formula1>項目!A4:$UOU$262146</formula1>
    </dataValidation>
    <dataValidation type="list" allowBlank="1" showInputMessage="1" showErrorMessage="1" sqref="UYX262149:UYX262172">
      <formula1>項目!A4:$UYQ$262146</formula1>
    </dataValidation>
    <dataValidation type="list" allowBlank="1" showInputMessage="1" showErrorMessage="1" sqref="VIT262149:VIT262172">
      <formula1>項目!A4:$VIM$262146</formula1>
    </dataValidation>
    <dataValidation type="list" allowBlank="1" showInputMessage="1" showErrorMessage="1" sqref="VSP262149:VSP262172">
      <formula1>項目!A4:$VSI$262146</formula1>
    </dataValidation>
    <dataValidation type="list" allowBlank="1" showInputMessage="1" showErrorMessage="1" sqref="WCL262149:WCL262172">
      <formula1>項目!A4:$WCE$262146</formula1>
    </dataValidation>
    <dataValidation type="list" allowBlank="1" showInputMessage="1" showErrorMessage="1" sqref="WMH262149:WMH262172">
      <formula1>項目!A4:$WMA$262146</formula1>
    </dataValidation>
    <dataValidation type="list" allowBlank="1" showInputMessage="1" showErrorMessage="1" sqref="WWD262149:WWD262172">
      <formula1>項目!A4:$WVW$262146</formula1>
    </dataValidation>
    <dataValidation type="list" allowBlank="1" showInputMessage="1" showErrorMessage="1" sqref="V327685:V327708">
      <formula1>項目!A4:$O$327682</formula1>
    </dataValidation>
    <dataValidation type="list" allowBlank="1" showInputMessage="1" showErrorMessage="1" sqref="JR327685:JR327708">
      <formula1>項目!A4:$JK$327682</formula1>
    </dataValidation>
    <dataValidation type="list" allowBlank="1" showInputMessage="1" showErrorMessage="1" sqref="TN327685:TN327708">
      <formula1>項目!A4:$TG$327682</formula1>
    </dataValidation>
    <dataValidation type="list" allowBlank="1" showInputMessage="1" showErrorMessage="1" sqref="ADJ327685:ADJ327708">
      <formula1>項目!A4:$ADC$327682</formula1>
    </dataValidation>
    <dataValidation type="list" allowBlank="1" showInputMessage="1" showErrorMessage="1" sqref="ANF327685:ANF327708">
      <formula1>項目!A4:$AMY$327682</formula1>
    </dataValidation>
    <dataValidation type="list" allowBlank="1" showInputMessage="1" showErrorMessage="1" sqref="AXB327685:AXB327708">
      <formula1>項目!A4:$AWU$327682</formula1>
    </dataValidation>
    <dataValidation type="list" allowBlank="1" showInputMessage="1" showErrorMessage="1" sqref="BGX327685:BGX327708">
      <formula1>項目!A4:$BGQ$327682</formula1>
    </dataValidation>
    <dataValidation type="list" allowBlank="1" showInputMessage="1" showErrorMessage="1" sqref="BQT327685:BQT327708">
      <formula1>項目!A4:$BQM$327682</formula1>
    </dataValidation>
    <dataValidation type="list" allowBlank="1" showInputMessage="1" showErrorMessage="1" sqref="CAP327685:CAP327708">
      <formula1>項目!A4:$CAI$327682</formula1>
    </dataValidation>
    <dataValidation type="list" allowBlank="1" showInputMessage="1" showErrorMessage="1" sqref="CKL327685:CKL327708">
      <formula1>項目!A4:$CKE$327682</formula1>
    </dataValidation>
    <dataValidation type="list" allowBlank="1" showInputMessage="1" showErrorMessage="1" sqref="CUH327685:CUH327708">
      <formula1>項目!A4:$CUA$327682</formula1>
    </dataValidation>
    <dataValidation type="list" allowBlank="1" showInputMessage="1" showErrorMessage="1" sqref="DED327685:DED327708">
      <formula1>項目!A4:$DDW$327682</formula1>
    </dataValidation>
    <dataValidation type="list" allowBlank="1" showInputMessage="1" showErrorMessage="1" sqref="DNZ327685:DNZ327708">
      <formula1>項目!A4:$DNS$327682</formula1>
    </dataValidation>
    <dataValidation type="list" allowBlank="1" showInputMessage="1" showErrorMessage="1" sqref="DXV327685:DXV327708">
      <formula1>項目!A4:$DXO$327682</formula1>
    </dataValidation>
    <dataValidation type="list" allowBlank="1" showInputMessage="1" showErrorMessage="1" sqref="EHR327685:EHR327708">
      <formula1>項目!A4:$EHK$327682</formula1>
    </dataValidation>
    <dataValidation type="list" allowBlank="1" showInputMessage="1" showErrorMessage="1" sqref="ERN327685:ERN327708">
      <formula1>項目!A4:$ERG$327682</formula1>
    </dataValidation>
    <dataValidation type="list" allowBlank="1" showInputMessage="1" showErrorMessage="1" sqref="FBJ327685:FBJ327708">
      <formula1>項目!A4:$FBC$327682</formula1>
    </dataValidation>
    <dataValidation type="list" allowBlank="1" showInputMessage="1" showErrorMessage="1" sqref="FLF327685:FLF327708">
      <formula1>項目!A4:$FKY$327682</formula1>
    </dataValidation>
    <dataValidation type="list" allowBlank="1" showInputMessage="1" showErrorMessage="1" sqref="FVB327685:FVB327708">
      <formula1>項目!A4:$FUU$327682</formula1>
    </dataValidation>
    <dataValidation type="list" allowBlank="1" showInputMessage="1" showErrorMessage="1" sqref="GEX327685:GEX327708">
      <formula1>項目!A4:$GEQ$327682</formula1>
    </dataValidation>
    <dataValidation type="list" allowBlank="1" showInputMessage="1" showErrorMessage="1" sqref="GOT327685:GOT327708">
      <formula1>項目!A4:$GOM$327682</formula1>
    </dataValidation>
    <dataValidation type="list" allowBlank="1" showInputMessage="1" showErrorMessage="1" sqref="GYP327685:GYP327708">
      <formula1>項目!A4:$GYI$327682</formula1>
    </dataValidation>
    <dataValidation type="list" allowBlank="1" showInputMessage="1" showErrorMessage="1" sqref="HIL327685:HIL327708">
      <formula1>項目!A4:$HIE$327682</formula1>
    </dataValidation>
    <dataValidation type="list" allowBlank="1" showInputMessage="1" showErrorMessage="1" sqref="HSH327685:HSH327708">
      <formula1>項目!A4:$HSA$327682</formula1>
    </dataValidation>
    <dataValidation type="list" allowBlank="1" showInputMessage="1" showErrorMessage="1" sqref="ICD327685:ICD327708">
      <formula1>項目!A4:$IBW$327682</formula1>
    </dataValidation>
    <dataValidation type="list" allowBlank="1" showInputMessage="1" showErrorMessage="1" sqref="ILZ327685:ILZ327708">
      <formula1>項目!A4:$ILS$327682</formula1>
    </dataValidation>
    <dataValidation type="list" allowBlank="1" showInputMessage="1" showErrorMessage="1" sqref="IVV327685:IVV327708">
      <formula1>項目!A4:$IVO$327682</formula1>
    </dataValidation>
    <dataValidation type="list" allowBlank="1" showInputMessage="1" showErrorMessage="1" sqref="JFR327685:JFR327708">
      <formula1>項目!A4:$JFK$327682</formula1>
    </dataValidation>
    <dataValidation type="list" allowBlank="1" showInputMessage="1" showErrorMessage="1" sqref="JPN327685:JPN327708">
      <formula1>項目!A4:$JPG$327682</formula1>
    </dataValidation>
    <dataValidation type="list" allowBlank="1" showInputMessage="1" showErrorMessage="1" sqref="JZJ327685:JZJ327708">
      <formula1>項目!A4:$JZC$327682</formula1>
    </dataValidation>
    <dataValidation type="list" allowBlank="1" showInputMessage="1" showErrorMessage="1" sqref="KJF327685:KJF327708">
      <formula1>項目!A4:$KIY$327682</formula1>
    </dataValidation>
    <dataValidation type="list" allowBlank="1" showInputMessage="1" showErrorMessage="1" sqref="KTB327685:KTB327708">
      <formula1>項目!A4:$KSU$327682</formula1>
    </dataValidation>
    <dataValidation type="list" allowBlank="1" showInputMessage="1" showErrorMessage="1" sqref="LCX327685:LCX327708">
      <formula1>項目!A4:$LCQ$327682</formula1>
    </dataValidation>
    <dataValidation type="list" allowBlank="1" showInputMessage="1" showErrorMessage="1" sqref="LMT327685:LMT327708">
      <formula1>項目!A4:$LMM$327682</formula1>
    </dataValidation>
    <dataValidation type="list" allowBlank="1" showInputMessage="1" showErrorMessage="1" sqref="LWP327685:LWP327708">
      <formula1>項目!A4:$LWI$327682</formula1>
    </dataValidation>
    <dataValidation type="list" allowBlank="1" showInputMessage="1" showErrorMessage="1" sqref="MGL327685:MGL327708">
      <formula1>項目!A4:$MGE$327682</formula1>
    </dataValidation>
    <dataValidation type="list" allowBlank="1" showInputMessage="1" showErrorMessage="1" sqref="MQH327685:MQH327708">
      <formula1>項目!A4:$MQA$327682</formula1>
    </dataValidation>
    <dataValidation type="list" allowBlank="1" showInputMessage="1" showErrorMessage="1" sqref="NAD327685:NAD327708">
      <formula1>項目!A4:$MZW$327682</formula1>
    </dataValidation>
    <dataValidation type="list" allowBlank="1" showInputMessage="1" showErrorMessage="1" sqref="NJZ327685:NJZ327708">
      <formula1>項目!A4:$NJS$327682</formula1>
    </dataValidation>
    <dataValidation type="list" allowBlank="1" showInputMessage="1" showErrorMessage="1" sqref="NTV327685:NTV327708">
      <formula1>項目!A4:$NTO$327682</formula1>
    </dataValidation>
    <dataValidation type="list" allowBlank="1" showInputMessage="1" showErrorMessage="1" sqref="ODR327685:ODR327708">
      <formula1>項目!A4:$ODK$327682</formula1>
    </dataValidation>
    <dataValidation type="list" allowBlank="1" showInputMessage="1" showErrorMessage="1" sqref="ONN327685:ONN327708">
      <formula1>項目!A4:$ONG$327682</formula1>
    </dataValidation>
    <dataValidation type="list" allowBlank="1" showInputMessage="1" showErrorMessage="1" sqref="OXJ327685:OXJ327708">
      <formula1>項目!A4:$OXC$327682</formula1>
    </dataValidation>
    <dataValidation type="list" allowBlank="1" showInputMessage="1" showErrorMessage="1" sqref="PHF327685:PHF327708">
      <formula1>項目!A4:$PGY$327682</formula1>
    </dataValidation>
    <dataValidation type="list" allowBlank="1" showInputMessage="1" showErrorMessage="1" sqref="PRB327685:PRB327708">
      <formula1>項目!A4:$PQU$327682</formula1>
    </dataValidation>
    <dataValidation type="list" allowBlank="1" showInputMessage="1" showErrorMessage="1" sqref="QAX327685:QAX327708">
      <formula1>項目!A4:$QAQ$327682</formula1>
    </dataValidation>
    <dataValidation type="list" allowBlank="1" showInputMessage="1" showErrorMessage="1" sqref="QKT327685:QKT327708">
      <formula1>項目!A4:$QKM$327682</formula1>
    </dataValidation>
    <dataValidation type="list" allowBlank="1" showInputMessage="1" showErrorMessage="1" sqref="QUP327685:QUP327708">
      <formula1>項目!A4:$QUI$327682</formula1>
    </dataValidation>
    <dataValidation type="list" allowBlank="1" showInputMessage="1" showErrorMessage="1" sqref="REL327685:REL327708">
      <formula1>項目!A4:$REE$327682</formula1>
    </dataValidation>
    <dataValidation type="list" allowBlank="1" showInputMessage="1" showErrorMessage="1" sqref="ROH327685:ROH327708">
      <formula1>項目!A4:$ROA$327682</formula1>
    </dataValidation>
    <dataValidation type="list" allowBlank="1" showInputMessage="1" showErrorMessage="1" sqref="RYD327685:RYD327708">
      <formula1>項目!A4:$RXW$327682</formula1>
    </dataValidation>
    <dataValidation type="list" allowBlank="1" showInputMessage="1" showErrorMessage="1" sqref="SHZ327685:SHZ327708">
      <formula1>項目!A4:$SHS$327682</formula1>
    </dataValidation>
    <dataValidation type="list" allowBlank="1" showInputMessage="1" showErrorMessage="1" sqref="SRV327685:SRV327708">
      <formula1>項目!A4:$SRO$327682</formula1>
    </dataValidation>
    <dataValidation type="list" allowBlank="1" showInputMessage="1" showErrorMessage="1" sqref="TBR327685:TBR327708">
      <formula1>項目!A4:$TBK$327682</formula1>
    </dataValidation>
    <dataValidation type="list" allowBlank="1" showInputMessage="1" showErrorMessage="1" sqref="TLN327685:TLN327708">
      <formula1>項目!A4:$TLG$327682</formula1>
    </dataValidation>
    <dataValidation type="list" allowBlank="1" showInputMessage="1" showErrorMessage="1" sqref="TVJ327685:TVJ327708">
      <formula1>項目!A4:$TVC$327682</formula1>
    </dataValidation>
    <dataValidation type="list" allowBlank="1" showInputMessage="1" showErrorMessage="1" sqref="UFF327685:UFF327708">
      <formula1>項目!A4:$UEY$327682</formula1>
    </dataValidation>
    <dataValidation type="list" allowBlank="1" showInputMessage="1" showErrorMessage="1" sqref="UPB327685:UPB327708">
      <formula1>項目!A4:$UOU$327682</formula1>
    </dataValidation>
    <dataValidation type="list" allowBlank="1" showInputMessage="1" showErrorMessage="1" sqref="UYX327685:UYX327708">
      <formula1>項目!A4:$UYQ$327682</formula1>
    </dataValidation>
    <dataValidation type="list" allowBlank="1" showInputMessage="1" showErrorMessage="1" sqref="VIT327685:VIT327708">
      <formula1>項目!A4:$VIM$327682</formula1>
    </dataValidation>
    <dataValidation type="list" allowBlank="1" showInputMessage="1" showErrorMessage="1" sqref="VSP327685:VSP327708">
      <formula1>項目!A4:$VSI$327682</formula1>
    </dataValidation>
    <dataValidation type="list" allowBlank="1" showInputMessage="1" showErrorMessage="1" sqref="WCL327685:WCL327708">
      <formula1>項目!A4:$WCE$327682</formula1>
    </dataValidation>
    <dataValidation type="list" allowBlank="1" showInputMessage="1" showErrorMessage="1" sqref="WMH327685:WMH327708">
      <formula1>項目!A4:$WMA$327682</formula1>
    </dataValidation>
    <dataValidation type="list" allowBlank="1" showInputMessage="1" showErrorMessage="1" sqref="WWD327685:WWD327708">
      <formula1>項目!A4:$WVW$327682</formula1>
    </dataValidation>
    <dataValidation type="list" allowBlank="1" showInputMessage="1" showErrorMessage="1" sqref="V393221:V393244">
      <formula1>項目!A4:$O$393218</formula1>
    </dataValidation>
    <dataValidation type="list" allowBlank="1" showInputMessage="1" showErrorMessage="1" sqref="JR393221:JR393244">
      <formula1>項目!A4:$JK$393218</formula1>
    </dataValidation>
    <dataValidation type="list" allowBlank="1" showInputMessage="1" showErrorMessage="1" sqref="TN393221:TN393244">
      <formula1>項目!A4:$TG$393218</formula1>
    </dataValidation>
    <dataValidation type="list" allowBlank="1" showInputMessage="1" showErrorMessage="1" sqref="ADJ393221:ADJ393244">
      <formula1>項目!A4:$ADC$393218</formula1>
    </dataValidation>
    <dataValidation type="list" allowBlank="1" showInputMessage="1" showErrorMessage="1" sqref="ANF393221:ANF393244">
      <formula1>項目!A4:$AMY$393218</formula1>
    </dataValidation>
    <dataValidation type="list" allowBlank="1" showInputMessage="1" showErrorMessage="1" sqref="AXB393221:AXB393244">
      <formula1>項目!A4:$AWU$393218</formula1>
    </dataValidation>
    <dataValidation type="list" allowBlank="1" showInputMessage="1" showErrorMessage="1" sqref="BGX393221:BGX393244">
      <formula1>項目!A4:$BGQ$393218</formula1>
    </dataValidation>
    <dataValidation type="list" allowBlank="1" showInputMessage="1" showErrorMessage="1" sqref="BQT393221:BQT393244">
      <formula1>項目!A4:$BQM$393218</formula1>
    </dataValidation>
    <dataValidation type="list" allowBlank="1" showInputMessage="1" showErrorMessage="1" sqref="CAP393221:CAP393244">
      <formula1>項目!A4:$CAI$393218</formula1>
    </dataValidation>
    <dataValidation type="list" allowBlank="1" showInputMessage="1" showErrorMessage="1" sqref="CKL393221:CKL393244">
      <formula1>項目!A4:$CKE$393218</formula1>
    </dataValidation>
    <dataValidation type="list" allowBlank="1" showInputMessage="1" showErrorMessage="1" sqref="CUH393221:CUH393244">
      <formula1>項目!A4:$CUA$393218</formula1>
    </dataValidation>
    <dataValidation type="list" allowBlank="1" showInputMessage="1" showErrorMessage="1" sqref="DED393221:DED393244">
      <formula1>項目!A4:$DDW$393218</formula1>
    </dataValidation>
    <dataValidation type="list" allowBlank="1" showInputMessage="1" showErrorMessage="1" sqref="DNZ393221:DNZ393244">
      <formula1>項目!A4:$DNS$393218</formula1>
    </dataValidation>
    <dataValidation type="list" allowBlank="1" showInputMessage="1" showErrorMessage="1" sqref="DXV393221:DXV393244">
      <formula1>項目!A4:$DXO$393218</formula1>
    </dataValidation>
    <dataValidation type="list" allowBlank="1" showInputMessage="1" showErrorMessage="1" sqref="EHR393221:EHR393244">
      <formula1>項目!A4:$EHK$393218</formula1>
    </dataValidation>
    <dataValidation type="list" allowBlank="1" showInputMessage="1" showErrorMessage="1" sqref="ERN393221:ERN393244">
      <formula1>項目!A4:$ERG$393218</formula1>
    </dataValidation>
    <dataValidation type="list" allowBlank="1" showInputMessage="1" showErrorMessage="1" sqref="FBJ393221:FBJ393244">
      <formula1>項目!A4:$FBC$393218</formula1>
    </dataValidation>
    <dataValidation type="list" allowBlank="1" showInputMessage="1" showErrorMessage="1" sqref="FLF393221:FLF393244">
      <formula1>項目!A4:$FKY$393218</formula1>
    </dataValidation>
    <dataValidation type="list" allowBlank="1" showInputMessage="1" showErrorMessage="1" sqref="FVB393221:FVB393244">
      <formula1>項目!A4:$FUU$393218</formula1>
    </dataValidation>
    <dataValidation type="list" allowBlank="1" showInputMessage="1" showErrorMessage="1" sqref="GEX393221:GEX393244">
      <formula1>項目!A4:$GEQ$393218</formula1>
    </dataValidation>
    <dataValidation type="list" allowBlank="1" showInputMessage="1" showErrorMessage="1" sqref="GOT393221:GOT393244">
      <formula1>項目!A4:$GOM$393218</formula1>
    </dataValidation>
    <dataValidation type="list" allowBlank="1" showInputMessage="1" showErrorMessage="1" sqref="GYP393221:GYP393244">
      <formula1>項目!A4:$GYI$393218</formula1>
    </dataValidation>
    <dataValidation type="list" allowBlank="1" showInputMessage="1" showErrorMessage="1" sqref="HIL393221:HIL393244">
      <formula1>項目!A4:$HIE$393218</formula1>
    </dataValidation>
    <dataValidation type="list" allowBlank="1" showInputMessage="1" showErrorMessage="1" sqref="HSH393221:HSH393244">
      <formula1>項目!A4:$HSA$393218</formula1>
    </dataValidation>
    <dataValidation type="list" allowBlank="1" showInputMessage="1" showErrorMessage="1" sqref="ICD393221:ICD393244">
      <formula1>項目!A4:$IBW$393218</formula1>
    </dataValidation>
    <dataValidation type="list" allowBlank="1" showInputMessage="1" showErrorMessage="1" sqref="ILZ393221:ILZ393244">
      <formula1>項目!A4:$ILS$393218</formula1>
    </dataValidation>
    <dataValidation type="list" allowBlank="1" showInputMessage="1" showErrorMessage="1" sqref="IVV393221:IVV393244">
      <formula1>項目!A4:$IVO$393218</formula1>
    </dataValidation>
    <dataValidation type="list" allowBlank="1" showInputMessage="1" showErrorMessage="1" sqref="JFR393221:JFR393244">
      <formula1>項目!A4:$JFK$393218</formula1>
    </dataValidation>
    <dataValidation type="list" allowBlank="1" showInputMessage="1" showErrorMessage="1" sqref="JPN393221:JPN393244">
      <formula1>項目!A4:$JPG$393218</formula1>
    </dataValidation>
    <dataValidation type="list" allowBlank="1" showInputMessage="1" showErrorMessage="1" sqref="JZJ393221:JZJ393244">
      <formula1>項目!A4:$JZC$393218</formula1>
    </dataValidation>
    <dataValidation type="list" allowBlank="1" showInputMessage="1" showErrorMessage="1" sqref="KJF393221:KJF393244">
      <formula1>項目!A4:$KIY$393218</formula1>
    </dataValidation>
    <dataValidation type="list" allowBlank="1" showInputMessage="1" showErrorMessage="1" sqref="KTB393221:KTB393244">
      <formula1>項目!A4:$KSU$393218</formula1>
    </dataValidation>
    <dataValidation type="list" allowBlank="1" showInputMessage="1" showErrorMessage="1" sqref="LCX393221:LCX393244">
      <formula1>項目!A4:$LCQ$393218</formula1>
    </dataValidation>
    <dataValidation type="list" allowBlank="1" showInputMessage="1" showErrorMessage="1" sqref="LMT393221:LMT393244">
      <formula1>項目!A4:$LMM$393218</formula1>
    </dataValidation>
    <dataValidation type="list" allowBlank="1" showInputMessage="1" showErrorMessage="1" sqref="LWP393221:LWP393244">
      <formula1>項目!A4:$LWI$393218</formula1>
    </dataValidation>
    <dataValidation type="list" allowBlank="1" showInputMessage="1" showErrorMessage="1" sqref="MGL393221:MGL393244">
      <formula1>項目!A4:$MGE$393218</formula1>
    </dataValidation>
    <dataValidation type="list" allowBlank="1" showInputMessage="1" showErrorMessage="1" sqref="MQH393221:MQH393244">
      <formula1>項目!A4:$MQA$393218</formula1>
    </dataValidation>
    <dataValidation type="list" allowBlank="1" showInputMessage="1" showErrorMessage="1" sqref="NAD393221:NAD393244">
      <formula1>項目!A4:$MZW$393218</formula1>
    </dataValidation>
    <dataValidation type="list" allowBlank="1" showInputMessage="1" showErrorMessage="1" sqref="NJZ393221:NJZ393244">
      <formula1>項目!A4:$NJS$393218</formula1>
    </dataValidation>
    <dataValidation type="list" allowBlank="1" showInputMessage="1" showErrorMessage="1" sqref="NTV393221:NTV393244">
      <formula1>項目!A4:$NTO$393218</formula1>
    </dataValidation>
    <dataValidation type="list" allowBlank="1" showInputMessage="1" showErrorMessage="1" sqref="ODR393221:ODR393244">
      <formula1>項目!A4:$ODK$393218</formula1>
    </dataValidation>
    <dataValidation type="list" allowBlank="1" showInputMessage="1" showErrorMessage="1" sqref="ONN393221:ONN393244">
      <formula1>項目!A4:$ONG$393218</formula1>
    </dataValidation>
    <dataValidation type="list" allowBlank="1" showInputMessage="1" showErrorMessage="1" sqref="OXJ393221:OXJ393244">
      <formula1>項目!A4:$OXC$393218</formula1>
    </dataValidation>
    <dataValidation type="list" allowBlank="1" showInputMessage="1" showErrorMessage="1" sqref="PHF393221:PHF393244">
      <formula1>項目!A4:$PGY$393218</formula1>
    </dataValidation>
    <dataValidation type="list" allowBlank="1" showInputMessage="1" showErrorMessage="1" sqref="PRB393221:PRB393244">
      <formula1>項目!A4:$PQU$393218</formula1>
    </dataValidation>
    <dataValidation type="list" allowBlank="1" showInputMessage="1" showErrorMessage="1" sqref="QAX393221:QAX393244">
      <formula1>項目!A4:$QAQ$393218</formula1>
    </dataValidation>
    <dataValidation type="list" allowBlank="1" showInputMessage="1" showErrorMessage="1" sqref="QKT393221:QKT393244">
      <formula1>項目!A4:$QKM$393218</formula1>
    </dataValidation>
    <dataValidation type="list" allowBlank="1" showInputMessage="1" showErrorMessage="1" sqref="QUP393221:QUP393244">
      <formula1>項目!A4:$QUI$393218</formula1>
    </dataValidation>
    <dataValidation type="list" allowBlank="1" showInputMessage="1" showErrorMessage="1" sqref="REL393221:REL393244">
      <formula1>項目!A4:$REE$393218</formula1>
    </dataValidation>
    <dataValidation type="list" allowBlank="1" showInputMessage="1" showErrorMessage="1" sqref="ROH393221:ROH393244">
      <formula1>項目!A4:$ROA$393218</formula1>
    </dataValidation>
    <dataValidation type="list" allowBlank="1" showInputMessage="1" showErrorMessage="1" sqref="RYD393221:RYD393244">
      <formula1>項目!A4:$RXW$393218</formula1>
    </dataValidation>
    <dataValidation type="list" allowBlank="1" showInputMessage="1" showErrorMessage="1" sqref="SHZ393221:SHZ393244">
      <formula1>項目!A4:$SHS$393218</formula1>
    </dataValidation>
    <dataValidation type="list" allowBlank="1" showInputMessage="1" showErrorMessage="1" sqref="SRV393221:SRV393244">
      <formula1>項目!A4:$SRO$393218</formula1>
    </dataValidation>
    <dataValidation type="list" allowBlank="1" showInputMessage="1" showErrorMessage="1" sqref="TBR393221:TBR393244">
      <formula1>項目!A4:$TBK$393218</formula1>
    </dataValidation>
    <dataValidation type="list" allowBlank="1" showInputMessage="1" showErrorMessage="1" sqref="TLN393221:TLN393244">
      <formula1>項目!A4:$TLG$393218</formula1>
    </dataValidation>
    <dataValidation type="list" allowBlank="1" showInputMessage="1" showErrorMessage="1" sqref="TVJ393221:TVJ393244">
      <formula1>項目!A4:$TVC$393218</formula1>
    </dataValidation>
    <dataValidation type="list" allowBlank="1" showInputMessage="1" showErrorMessage="1" sqref="UFF393221:UFF393244">
      <formula1>項目!A4:$UEY$393218</formula1>
    </dataValidation>
    <dataValidation type="list" allowBlank="1" showInputMessage="1" showErrorMessage="1" sqref="UPB393221:UPB393244">
      <formula1>項目!A4:$UOU$393218</formula1>
    </dataValidation>
    <dataValidation type="list" allowBlank="1" showInputMessage="1" showErrorMessage="1" sqref="UYX393221:UYX393244">
      <formula1>項目!A4:$UYQ$393218</formula1>
    </dataValidation>
    <dataValidation type="list" allowBlank="1" showInputMessage="1" showErrorMessage="1" sqref="VIT393221:VIT393244">
      <formula1>項目!A4:$VIM$393218</formula1>
    </dataValidation>
    <dataValidation type="list" allowBlank="1" showInputMessage="1" showErrorMessage="1" sqref="VSP393221:VSP393244">
      <formula1>項目!A4:$VSI$393218</formula1>
    </dataValidation>
    <dataValidation type="list" allowBlank="1" showInputMessage="1" showErrorMessage="1" sqref="WCL393221:WCL393244">
      <formula1>項目!A4:$WCE$393218</formula1>
    </dataValidation>
    <dataValidation type="list" allowBlank="1" showInputMessage="1" showErrorMessage="1" sqref="WMH393221:WMH393244">
      <formula1>項目!A4:$WMA$393218</formula1>
    </dataValidation>
    <dataValidation type="list" allowBlank="1" showInputMessage="1" showErrorMessage="1" sqref="WWD393221:WWD393244">
      <formula1>項目!A4:$WVW$393218</formula1>
    </dataValidation>
    <dataValidation type="list" allowBlank="1" showInputMessage="1" showErrorMessage="1" sqref="V458757:V458780">
      <formula1>項目!A4:$O$458754</formula1>
    </dataValidation>
    <dataValidation type="list" allowBlank="1" showInputMessage="1" showErrorMessage="1" sqref="JR458757:JR458780">
      <formula1>項目!A4:$JK$458754</formula1>
    </dataValidation>
    <dataValidation type="list" allowBlank="1" showInputMessage="1" showErrorMessage="1" sqref="TN458757:TN458780">
      <formula1>項目!A4:$TG$458754</formula1>
    </dataValidation>
    <dataValidation type="list" allowBlank="1" showInputMessage="1" showErrorMessage="1" sqref="ADJ458757:ADJ458780">
      <formula1>項目!A4:$ADC$458754</formula1>
    </dataValidation>
    <dataValidation type="list" allowBlank="1" showInputMessage="1" showErrorMessage="1" sqref="ANF458757:ANF458780">
      <formula1>項目!A4:$AMY$458754</formula1>
    </dataValidation>
    <dataValidation type="list" allowBlank="1" showInputMessage="1" showErrorMessage="1" sqref="AXB458757:AXB458780">
      <formula1>項目!A4:$AWU$458754</formula1>
    </dataValidation>
    <dataValidation type="list" allowBlank="1" showInputMessage="1" showErrorMessage="1" sqref="BGX458757:BGX458780">
      <formula1>項目!A4:$BGQ$458754</formula1>
    </dataValidation>
    <dataValidation type="list" allowBlank="1" showInputMessage="1" showErrorMessage="1" sqref="BQT458757:BQT458780">
      <formula1>項目!A4:$BQM$458754</formula1>
    </dataValidation>
    <dataValidation type="list" allowBlank="1" showInputMessage="1" showErrorMessage="1" sqref="CAP458757:CAP458780">
      <formula1>項目!A4:$CAI$458754</formula1>
    </dataValidation>
    <dataValidation type="list" allowBlank="1" showInputMessage="1" showErrorMessage="1" sqref="CKL458757:CKL458780">
      <formula1>項目!A4:$CKE$458754</formula1>
    </dataValidation>
    <dataValidation type="list" allowBlank="1" showInputMessage="1" showErrorMessage="1" sqref="CUH458757:CUH458780">
      <formula1>項目!A4:$CUA$458754</formula1>
    </dataValidation>
    <dataValidation type="list" allowBlank="1" showInputMessage="1" showErrorMessage="1" sqref="DED458757:DED458780">
      <formula1>項目!A4:$DDW$458754</formula1>
    </dataValidation>
    <dataValidation type="list" allowBlank="1" showInputMessage="1" showErrorMessage="1" sqref="DNZ458757:DNZ458780">
      <formula1>項目!A4:$DNS$458754</formula1>
    </dataValidation>
    <dataValidation type="list" allowBlank="1" showInputMessage="1" showErrorMessage="1" sqref="DXV458757:DXV458780">
      <formula1>項目!A4:$DXO$458754</formula1>
    </dataValidation>
    <dataValidation type="list" allowBlank="1" showInputMessage="1" showErrorMessage="1" sqref="EHR458757:EHR458780">
      <formula1>項目!A4:$EHK$458754</formula1>
    </dataValidation>
    <dataValidation type="list" allowBlank="1" showInputMessage="1" showErrorMessage="1" sqref="ERN458757:ERN458780">
      <formula1>項目!A4:$ERG$458754</formula1>
    </dataValidation>
    <dataValidation type="list" allowBlank="1" showInputMessage="1" showErrorMessage="1" sqref="FBJ458757:FBJ458780">
      <formula1>項目!A4:$FBC$458754</formula1>
    </dataValidation>
    <dataValidation type="list" allowBlank="1" showInputMessage="1" showErrorMessage="1" sqref="FLF458757:FLF458780">
      <formula1>項目!A4:$FKY$458754</formula1>
    </dataValidation>
    <dataValidation type="list" allowBlank="1" showInputMessage="1" showErrorMessage="1" sqref="FVB458757:FVB458780">
      <formula1>項目!A4:$FUU$458754</formula1>
    </dataValidation>
    <dataValidation type="list" allowBlank="1" showInputMessage="1" showErrorMessage="1" sqref="GEX458757:GEX458780">
      <formula1>項目!A4:$GEQ$458754</formula1>
    </dataValidation>
    <dataValidation type="list" allowBlank="1" showInputMessage="1" showErrorMessage="1" sqref="GOT458757:GOT458780">
      <formula1>項目!A4:$GOM$458754</formula1>
    </dataValidation>
    <dataValidation type="list" allowBlank="1" showInputMessage="1" showErrorMessage="1" sqref="GYP458757:GYP458780">
      <formula1>項目!A4:$GYI$458754</formula1>
    </dataValidation>
    <dataValidation type="list" allowBlank="1" showInputMessage="1" showErrorMessage="1" sqref="HIL458757:HIL458780">
      <formula1>項目!A4:$HIE$458754</formula1>
    </dataValidation>
    <dataValidation type="list" allowBlank="1" showInputMessage="1" showErrorMessage="1" sqref="HSH458757:HSH458780">
      <formula1>項目!A4:$HSA$458754</formula1>
    </dataValidation>
    <dataValidation type="list" allowBlank="1" showInputMessage="1" showErrorMessage="1" sqref="ICD458757:ICD458780">
      <formula1>項目!A4:$IBW$458754</formula1>
    </dataValidation>
    <dataValidation type="list" allowBlank="1" showInputMessage="1" showErrorMessage="1" sqref="ILZ458757:ILZ458780">
      <formula1>項目!A4:$ILS$458754</formula1>
    </dataValidation>
    <dataValidation type="list" allowBlank="1" showInputMessage="1" showErrorMessage="1" sqref="IVV458757:IVV458780">
      <formula1>項目!A4:$IVO$458754</formula1>
    </dataValidation>
    <dataValidation type="list" allowBlank="1" showInputMessage="1" showErrorMessage="1" sqref="JFR458757:JFR458780">
      <formula1>項目!A4:$JFK$458754</formula1>
    </dataValidation>
    <dataValidation type="list" allowBlank="1" showInputMessage="1" showErrorMessage="1" sqref="JPN458757:JPN458780">
      <formula1>項目!A4:$JPG$458754</formula1>
    </dataValidation>
    <dataValidation type="list" allowBlank="1" showInputMessage="1" showErrorMessage="1" sqref="JZJ458757:JZJ458780">
      <formula1>項目!A4:$JZC$458754</formula1>
    </dataValidation>
    <dataValidation type="list" allowBlank="1" showInputMessage="1" showErrorMessage="1" sqref="KJF458757:KJF458780">
      <formula1>項目!A4:$KIY$458754</formula1>
    </dataValidation>
    <dataValidation type="list" allowBlank="1" showInputMessage="1" showErrorMessage="1" sqref="KTB458757:KTB458780">
      <formula1>項目!A4:$KSU$458754</formula1>
    </dataValidation>
    <dataValidation type="list" allowBlank="1" showInputMessage="1" showErrorMessage="1" sqref="LCX458757:LCX458780">
      <formula1>項目!A4:$LCQ$458754</formula1>
    </dataValidation>
    <dataValidation type="list" allowBlank="1" showInputMessage="1" showErrorMessage="1" sqref="LMT458757:LMT458780">
      <formula1>項目!A4:$LMM$458754</formula1>
    </dataValidation>
    <dataValidation type="list" allowBlank="1" showInputMessage="1" showErrorMessage="1" sqref="LWP458757:LWP458780">
      <formula1>項目!A4:$LWI$458754</formula1>
    </dataValidation>
    <dataValidation type="list" allowBlank="1" showInputMessage="1" showErrorMessage="1" sqref="MGL458757:MGL458780">
      <formula1>項目!A4:$MGE$458754</formula1>
    </dataValidation>
    <dataValidation type="list" allowBlank="1" showInputMessage="1" showErrorMessage="1" sqref="MQH458757:MQH458780">
      <formula1>項目!A4:$MQA$458754</formula1>
    </dataValidation>
    <dataValidation type="list" allowBlank="1" showInputMessage="1" showErrorMessage="1" sqref="NAD458757:NAD458780">
      <formula1>項目!A4:$MZW$458754</formula1>
    </dataValidation>
    <dataValidation type="list" allowBlank="1" showInputMessage="1" showErrorMessage="1" sqref="NJZ458757:NJZ458780">
      <formula1>項目!A4:$NJS$458754</formula1>
    </dataValidation>
    <dataValidation type="list" allowBlank="1" showInputMessage="1" showErrorMessage="1" sqref="NTV458757:NTV458780">
      <formula1>項目!A4:$NTO$458754</formula1>
    </dataValidation>
    <dataValidation type="list" allowBlank="1" showInputMessage="1" showErrorMessage="1" sqref="ODR458757:ODR458780">
      <formula1>項目!A4:$ODK$458754</formula1>
    </dataValidation>
    <dataValidation type="list" allowBlank="1" showInputMessage="1" showErrorMessage="1" sqref="ONN458757:ONN458780">
      <formula1>項目!A4:$ONG$458754</formula1>
    </dataValidation>
    <dataValidation type="list" allowBlank="1" showInputMessage="1" showErrorMessage="1" sqref="OXJ458757:OXJ458780">
      <formula1>項目!A4:$OXC$458754</formula1>
    </dataValidation>
    <dataValidation type="list" allowBlank="1" showInputMessage="1" showErrorMessage="1" sqref="PHF458757:PHF458780">
      <formula1>項目!A4:$PGY$458754</formula1>
    </dataValidation>
    <dataValidation type="list" allowBlank="1" showInputMessage="1" showErrorMessage="1" sqref="PRB458757:PRB458780">
      <formula1>項目!A4:$PQU$458754</formula1>
    </dataValidation>
    <dataValidation type="list" allowBlank="1" showInputMessage="1" showErrorMessage="1" sqref="QAX458757:QAX458780">
      <formula1>項目!A4:$QAQ$458754</formula1>
    </dataValidation>
    <dataValidation type="list" allowBlank="1" showInputMessage="1" showErrorMessage="1" sqref="QKT458757:QKT458780">
      <formula1>項目!A4:$QKM$458754</formula1>
    </dataValidation>
    <dataValidation type="list" allowBlank="1" showInputMessage="1" showErrorMessage="1" sqref="QUP458757:QUP458780">
      <formula1>項目!A4:$QUI$458754</formula1>
    </dataValidation>
    <dataValidation type="list" allowBlank="1" showInputMessage="1" showErrorMessage="1" sqref="REL458757:REL458780">
      <formula1>項目!A4:$REE$458754</formula1>
    </dataValidation>
    <dataValidation type="list" allowBlank="1" showInputMessage="1" showErrorMessage="1" sqref="ROH458757:ROH458780">
      <formula1>項目!A4:$ROA$458754</formula1>
    </dataValidation>
    <dataValidation type="list" allowBlank="1" showInputMessage="1" showErrorMessage="1" sqref="RYD458757:RYD458780">
      <formula1>項目!A4:$RXW$458754</formula1>
    </dataValidation>
    <dataValidation type="list" allowBlank="1" showInputMessage="1" showErrorMessage="1" sqref="SHZ458757:SHZ458780">
      <formula1>項目!A4:$SHS$458754</formula1>
    </dataValidation>
    <dataValidation type="list" allowBlank="1" showInputMessage="1" showErrorMessage="1" sqref="SRV458757:SRV458780">
      <formula1>項目!A4:$SRO$458754</formula1>
    </dataValidation>
    <dataValidation type="list" allowBlank="1" showInputMessage="1" showErrorMessage="1" sqref="TBR458757:TBR458780">
      <formula1>項目!A4:$TBK$458754</formula1>
    </dataValidation>
    <dataValidation type="list" allowBlank="1" showInputMessage="1" showErrorMessage="1" sqref="TLN458757:TLN458780">
      <formula1>項目!A4:$TLG$458754</formula1>
    </dataValidation>
    <dataValidation type="list" allowBlank="1" showInputMessage="1" showErrorMessage="1" sqref="TVJ458757:TVJ458780">
      <formula1>項目!A4:$TVC$458754</formula1>
    </dataValidation>
    <dataValidation type="list" allowBlank="1" showInputMessage="1" showErrorMessage="1" sqref="UFF458757:UFF458780">
      <formula1>項目!A4:$UEY$458754</formula1>
    </dataValidation>
    <dataValidation type="list" allowBlank="1" showInputMessage="1" showErrorMessage="1" sqref="UPB458757:UPB458780">
      <formula1>項目!A4:$UOU$458754</formula1>
    </dataValidation>
    <dataValidation type="list" allowBlank="1" showInputMessage="1" showErrorMessage="1" sqref="UYX458757:UYX458780">
      <formula1>項目!A4:$UYQ$458754</formula1>
    </dataValidation>
    <dataValidation type="list" allowBlank="1" showInputMessage="1" showErrorMessage="1" sqref="VIT458757:VIT458780">
      <formula1>項目!A4:$VIM$458754</formula1>
    </dataValidation>
    <dataValidation type="list" allowBlank="1" showInputMessage="1" showErrorMessage="1" sqref="VSP458757:VSP458780">
      <formula1>項目!A4:$VSI$458754</formula1>
    </dataValidation>
    <dataValidation type="list" allowBlank="1" showInputMessage="1" showErrorMessage="1" sqref="WCL458757:WCL458780">
      <formula1>項目!A4:$WCE$458754</formula1>
    </dataValidation>
    <dataValidation type="list" allowBlank="1" showInputMessage="1" showErrorMessage="1" sqref="WMH458757:WMH458780">
      <formula1>項目!A4:$WMA$458754</formula1>
    </dataValidation>
    <dataValidation type="list" allowBlank="1" showInputMessage="1" showErrorMessage="1" sqref="WWD458757:WWD458780">
      <formula1>項目!A4:$WVW$458754</formula1>
    </dataValidation>
    <dataValidation type="list" allowBlank="1" showInputMessage="1" showErrorMessage="1" sqref="V524293:V524316">
      <formula1>項目!A4:$O$524290</formula1>
    </dataValidation>
    <dataValidation type="list" allowBlank="1" showInputMessage="1" showErrorMessage="1" sqref="JR524293:JR524316">
      <formula1>項目!A4:$JK$524290</formula1>
    </dataValidation>
    <dataValidation type="list" allowBlank="1" showInputMessage="1" showErrorMessage="1" sqref="TN524293:TN524316">
      <formula1>項目!A4:$TG$524290</formula1>
    </dataValidation>
    <dataValidation type="list" allowBlank="1" showInputMessage="1" showErrorMessage="1" sqref="ADJ524293:ADJ524316">
      <formula1>項目!A4:$ADC$524290</formula1>
    </dataValidation>
    <dataValidation type="list" allowBlank="1" showInputMessage="1" showErrorMessage="1" sqref="ANF524293:ANF524316">
      <formula1>項目!A4:$AMY$524290</formula1>
    </dataValidation>
    <dataValidation type="list" allowBlank="1" showInputMessage="1" showErrorMessage="1" sqref="AXB524293:AXB524316">
      <formula1>項目!A4:$AWU$524290</formula1>
    </dataValidation>
    <dataValidation type="list" allowBlank="1" showInputMessage="1" showErrorMessage="1" sqref="BGX524293:BGX524316">
      <formula1>項目!A4:$BGQ$524290</formula1>
    </dataValidation>
    <dataValidation type="list" allowBlank="1" showInputMessage="1" showErrorMessage="1" sqref="BQT524293:BQT524316">
      <formula1>項目!A4:$BQM$524290</formula1>
    </dataValidation>
    <dataValidation type="list" allowBlank="1" showInputMessage="1" showErrorMessage="1" sqref="CAP524293:CAP524316">
      <formula1>項目!A4:$CAI$524290</formula1>
    </dataValidation>
    <dataValidation type="list" allowBlank="1" showInputMessage="1" showErrorMessage="1" sqref="CKL524293:CKL524316">
      <formula1>項目!A4:$CKE$524290</formula1>
    </dataValidation>
    <dataValidation type="list" allowBlank="1" showInputMessage="1" showErrorMessage="1" sqref="CUH524293:CUH524316">
      <formula1>項目!A4:$CUA$524290</formula1>
    </dataValidation>
    <dataValidation type="list" allowBlank="1" showInputMessage="1" showErrorMessage="1" sqref="DED524293:DED524316">
      <formula1>項目!A4:$DDW$524290</formula1>
    </dataValidation>
    <dataValidation type="list" allowBlank="1" showInputMessage="1" showErrorMessage="1" sqref="DNZ524293:DNZ524316">
      <formula1>項目!A4:$DNS$524290</formula1>
    </dataValidation>
    <dataValidation type="list" allowBlank="1" showInputMessage="1" showErrorMessage="1" sqref="DXV524293:DXV524316">
      <formula1>項目!A4:$DXO$524290</formula1>
    </dataValidation>
    <dataValidation type="list" allowBlank="1" showInputMessage="1" showErrorMessage="1" sqref="EHR524293:EHR524316">
      <formula1>項目!A4:$EHK$524290</formula1>
    </dataValidation>
    <dataValidation type="list" allowBlank="1" showInputMessage="1" showErrorMessage="1" sqref="ERN524293:ERN524316">
      <formula1>項目!A4:$ERG$524290</formula1>
    </dataValidation>
    <dataValidation type="list" allowBlank="1" showInputMessage="1" showErrorMessage="1" sqref="FBJ524293:FBJ524316">
      <formula1>項目!A4:$FBC$524290</formula1>
    </dataValidation>
    <dataValidation type="list" allowBlank="1" showInputMessage="1" showErrorMessage="1" sqref="FLF524293:FLF524316">
      <formula1>項目!A4:$FKY$524290</formula1>
    </dataValidation>
    <dataValidation type="list" allowBlank="1" showInputMessage="1" showErrorMessage="1" sqref="FVB524293:FVB524316">
      <formula1>項目!A4:$FUU$524290</formula1>
    </dataValidation>
    <dataValidation type="list" allowBlank="1" showInputMessage="1" showErrorMessage="1" sqref="GEX524293:GEX524316">
      <formula1>項目!A4:$GEQ$524290</formula1>
    </dataValidation>
    <dataValidation type="list" allowBlank="1" showInputMessage="1" showErrorMessage="1" sqref="GOT524293:GOT524316">
      <formula1>項目!A4:$GOM$524290</formula1>
    </dataValidation>
    <dataValidation type="list" allowBlank="1" showInputMessage="1" showErrorMessage="1" sqref="GYP524293:GYP524316">
      <formula1>項目!A4:$GYI$524290</formula1>
    </dataValidation>
    <dataValidation type="list" allowBlank="1" showInputMessage="1" showErrorMessage="1" sqref="HIL524293:HIL524316">
      <formula1>項目!A4:$HIE$524290</formula1>
    </dataValidation>
    <dataValidation type="list" allowBlank="1" showInputMessage="1" showErrorMessage="1" sqref="HSH524293:HSH524316">
      <formula1>項目!A4:$HSA$524290</formula1>
    </dataValidation>
    <dataValidation type="list" allowBlank="1" showInputMessage="1" showErrorMessage="1" sqref="ICD524293:ICD524316">
      <formula1>項目!A4:$IBW$524290</formula1>
    </dataValidation>
    <dataValidation type="list" allowBlank="1" showInputMessage="1" showErrorMessage="1" sqref="ILZ524293:ILZ524316">
      <formula1>項目!A4:$ILS$524290</formula1>
    </dataValidation>
    <dataValidation type="list" allowBlank="1" showInputMessage="1" showErrorMessage="1" sqref="IVV524293:IVV524316">
      <formula1>項目!A4:$IVO$524290</formula1>
    </dataValidation>
    <dataValidation type="list" allowBlank="1" showInputMessage="1" showErrorMessage="1" sqref="JFR524293:JFR524316">
      <formula1>項目!A4:$JFK$524290</formula1>
    </dataValidation>
    <dataValidation type="list" allowBlank="1" showInputMessage="1" showErrorMessage="1" sqref="JPN524293:JPN524316">
      <formula1>項目!A4:$JPG$524290</formula1>
    </dataValidation>
    <dataValidation type="list" allowBlank="1" showInputMessage="1" showErrorMessage="1" sqref="JZJ524293:JZJ524316">
      <formula1>項目!A4:$JZC$524290</formula1>
    </dataValidation>
    <dataValidation type="list" allowBlank="1" showInputMessage="1" showErrorMessage="1" sqref="KJF524293:KJF524316">
      <formula1>項目!A4:$KIY$524290</formula1>
    </dataValidation>
    <dataValidation type="list" allowBlank="1" showInputMessage="1" showErrorMessage="1" sqref="KTB524293:KTB524316">
      <formula1>項目!A4:$KSU$524290</formula1>
    </dataValidation>
    <dataValidation type="list" allowBlank="1" showInputMessage="1" showErrorMessage="1" sqref="LCX524293:LCX524316">
      <formula1>項目!A4:$LCQ$524290</formula1>
    </dataValidation>
    <dataValidation type="list" allowBlank="1" showInputMessage="1" showErrorMessage="1" sqref="LMT524293:LMT524316">
      <formula1>項目!A4:$LMM$524290</formula1>
    </dataValidation>
    <dataValidation type="list" allowBlank="1" showInputMessage="1" showErrorMessage="1" sqref="LWP524293:LWP524316">
      <formula1>項目!A4:$LWI$524290</formula1>
    </dataValidation>
    <dataValidation type="list" allowBlank="1" showInputMessage="1" showErrorMessage="1" sqref="MGL524293:MGL524316">
      <formula1>項目!A4:$MGE$524290</formula1>
    </dataValidation>
    <dataValidation type="list" allowBlank="1" showInputMessage="1" showErrorMessage="1" sqref="MQH524293:MQH524316">
      <formula1>項目!A4:$MQA$524290</formula1>
    </dataValidation>
    <dataValidation type="list" allowBlank="1" showInputMessage="1" showErrorMessage="1" sqref="NAD524293:NAD524316">
      <formula1>項目!A4:$MZW$524290</formula1>
    </dataValidation>
    <dataValidation type="list" allowBlank="1" showInputMessage="1" showErrorMessage="1" sqref="NJZ524293:NJZ524316">
      <formula1>項目!A4:$NJS$524290</formula1>
    </dataValidation>
    <dataValidation type="list" allowBlank="1" showInputMessage="1" showErrorMessage="1" sqref="NTV524293:NTV524316">
      <formula1>項目!A4:$NTO$524290</formula1>
    </dataValidation>
    <dataValidation type="list" allowBlank="1" showInputMessage="1" showErrorMessage="1" sqref="ODR524293:ODR524316">
      <formula1>項目!A4:$ODK$524290</formula1>
    </dataValidation>
    <dataValidation type="list" allowBlank="1" showInputMessage="1" showErrorMessage="1" sqref="ONN524293:ONN524316">
      <formula1>項目!A4:$ONG$524290</formula1>
    </dataValidation>
    <dataValidation type="list" allowBlank="1" showInputMessage="1" showErrorMessage="1" sqref="OXJ524293:OXJ524316">
      <formula1>項目!A4:$OXC$524290</formula1>
    </dataValidation>
    <dataValidation type="list" allowBlank="1" showInputMessage="1" showErrorMessage="1" sqref="PHF524293:PHF524316">
      <formula1>項目!A4:$PGY$524290</formula1>
    </dataValidation>
    <dataValidation type="list" allowBlank="1" showInputMessage="1" showErrorMessage="1" sqref="PRB524293:PRB524316">
      <formula1>項目!A4:$PQU$524290</formula1>
    </dataValidation>
    <dataValidation type="list" allowBlank="1" showInputMessage="1" showErrorMessage="1" sqref="QAX524293:QAX524316">
      <formula1>項目!A4:$QAQ$524290</formula1>
    </dataValidation>
    <dataValidation type="list" allowBlank="1" showInputMessage="1" showErrorMessage="1" sqref="QKT524293:QKT524316">
      <formula1>項目!A4:$QKM$524290</formula1>
    </dataValidation>
    <dataValidation type="list" allowBlank="1" showInputMessage="1" showErrorMessage="1" sqref="QUP524293:QUP524316">
      <formula1>項目!A4:$QUI$524290</formula1>
    </dataValidation>
    <dataValidation type="list" allowBlank="1" showInputMessage="1" showErrorMessage="1" sqref="REL524293:REL524316">
      <formula1>項目!A4:$REE$524290</formula1>
    </dataValidation>
    <dataValidation type="list" allowBlank="1" showInputMessage="1" showErrorMessage="1" sqref="ROH524293:ROH524316">
      <formula1>項目!A4:$ROA$524290</formula1>
    </dataValidation>
    <dataValidation type="list" allowBlank="1" showInputMessage="1" showErrorMessage="1" sqref="RYD524293:RYD524316">
      <formula1>項目!A4:$RXW$524290</formula1>
    </dataValidation>
    <dataValidation type="list" allowBlank="1" showInputMessage="1" showErrorMessage="1" sqref="SHZ524293:SHZ524316">
      <formula1>項目!A4:$SHS$524290</formula1>
    </dataValidation>
    <dataValidation type="list" allowBlank="1" showInputMessage="1" showErrorMessage="1" sqref="SRV524293:SRV524316">
      <formula1>項目!A4:$SRO$524290</formula1>
    </dataValidation>
    <dataValidation type="list" allowBlank="1" showInputMessage="1" showErrorMessage="1" sqref="TBR524293:TBR524316">
      <formula1>項目!A4:$TBK$524290</formula1>
    </dataValidation>
    <dataValidation type="list" allowBlank="1" showInputMessage="1" showErrorMessage="1" sqref="TLN524293:TLN524316">
      <formula1>項目!A4:$TLG$524290</formula1>
    </dataValidation>
    <dataValidation type="list" allowBlank="1" showInputMessage="1" showErrorMessage="1" sqref="TVJ524293:TVJ524316">
      <formula1>項目!A4:$TVC$524290</formula1>
    </dataValidation>
    <dataValidation type="list" allowBlank="1" showInputMessage="1" showErrorMessage="1" sqref="UFF524293:UFF524316">
      <formula1>項目!A4:$UEY$524290</formula1>
    </dataValidation>
    <dataValidation type="list" allowBlank="1" showInputMessage="1" showErrorMessage="1" sqref="UPB524293:UPB524316">
      <formula1>項目!A4:$UOU$524290</formula1>
    </dataValidation>
    <dataValidation type="list" allowBlank="1" showInputMessage="1" showErrorMessage="1" sqref="UYX524293:UYX524316">
      <formula1>項目!A4:$UYQ$524290</formula1>
    </dataValidation>
    <dataValidation type="list" allowBlank="1" showInputMessage="1" showErrorMessage="1" sqref="VIT524293:VIT524316">
      <formula1>項目!A4:$VIM$524290</formula1>
    </dataValidation>
    <dataValidation type="list" allowBlank="1" showInputMessage="1" showErrorMessage="1" sqref="VSP524293:VSP524316">
      <formula1>項目!A4:$VSI$524290</formula1>
    </dataValidation>
    <dataValidation type="list" allowBlank="1" showInputMessage="1" showErrorMessage="1" sqref="WCL524293:WCL524316">
      <formula1>項目!A4:$WCE$524290</formula1>
    </dataValidation>
    <dataValidation type="list" allowBlank="1" showInputMessage="1" showErrorMessage="1" sqref="WMH524293:WMH524316">
      <formula1>項目!A4:$WMA$524290</formula1>
    </dataValidation>
    <dataValidation type="list" allowBlank="1" showInputMessage="1" showErrorMessage="1" sqref="WWD524293:WWD524316">
      <formula1>項目!A4:$WVW$524290</formula1>
    </dataValidation>
    <dataValidation type="list" allowBlank="1" showInputMessage="1" showErrorMessage="1" sqref="V589829:V589852">
      <formula1>項目!A4:$O$589826</formula1>
    </dataValidation>
    <dataValidation type="list" allowBlank="1" showInputMessage="1" showErrorMessage="1" sqref="JR589829:JR589852">
      <formula1>項目!A4:$JK$589826</formula1>
    </dataValidation>
    <dataValidation type="list" allowBlank="1" showInputMessage="1" showErrorMessage="1" sqref="TN589829:TN589852">
      <formula1>項目!A4:$TG$589826</formula1>
    </dataValidation>
    <dataValidation type="list" allowBlank="1" showInputMessage="1" showErrorMessage="1" sqref="ADJ589829:ADJ589852">
      <formula1>項目!A4:$ADC$589826</formula1>
    </dataValidation>
    <dataValidation type="list" allowBlank="1" showInputMessage="1" showErrorMessage="1" sqref="ANF589829:ANF589852">
      <formula1>項目!A4:$AMY$589826</formula1>
    </dataValidation>
    <dataValidation type="list" allowBlank="1" showInputMessage="1" showErrorMessage="1" sqref="AXB589829:AXB589852">
      <formula1>項目!A4:$AWU$589826</formula1>
    </dataValidation>
    <dataValidation type="list" allowBlank="1" showInputMessage="1" showErrorMessage="1" sqref="BGX589829:BGX589852">
      <formula1>項目!A4:$BGQ$589826</formula1>
    </dataValidation>
    <dataValidation type="list" allowBlank="1" showInputMessage="1" showErrorMessage="1" sqref="BQT589829:BQT589852">
      <formula1>項目!A4:$BQM$589826</formula1>
    </dataValidation>
    <dataValidation type="list" allowBlank="1" showInputMessage="1" showErrorMessage="1" sqref="CAP589829:CAP589852">
      <formula1>項目!A4:$CAI$589826</formula1>
    </dataValidation>
    <dataValidation type="list" allowBlank="1" showInputMessage="1" showErrorMessage="1" sqref="CKL589829:CKL589852">
      <formula1>項目!A4:$CKE$589826</formula1>
    </dataValidation>
    <dataValidation type="list" allowBlank="1" showInputMessage="1" showErrorMessage="1" sqref="CUH589829:CUH589852">
      <formula1>項目!A4:$CUA$589826</formula1>
    </dataValidation>
    <dataValidation type="list" allowBlank="1" showInputMessage="1" showErrorMessage="1" sqref="DED589829:DED589852">
      <formula1>項目!A4:$DDW$589826</formula1>
    </dataValidation>
    <dataValidation type="list" allowBlank="1" showInputMessage="1" showErrorMessage="1" sqref="DNZ589829:DNZ589852">
      <formula1>項目!A4:$DNS$589826</formula1>
    </dataValidation>
    <dataValidation type="list" allowBlank="1" showInputMessage="1" showErrorMessage="1" sqref="DXV589829:DXV589852">
      <formula1>項目!A4:$DXO$589826</formula1>
    </dataValidation>
    <dataValidation type="list" allowBlank="1" showInputMessage="1" showErrorMessage="1" sqref="EHR589829:EHR589852">
      <formula1>項目!A4:$EHK$589826</formula1>
    </dataValidation>
    <dataValidation type="list" allowBlank="1" showInputMessage="1" showErrorMessage="1" sqref="ERN589829:ERN589852">
      <formula1>項目!A4:$ERG$589826</formula1>
    </dataValidation>
    <dataValidation type="list" allowBlank="1" showInputMessage="1" showErrorMessage="1" sqref="FBJ589829:FBJ589852">
      <formula1>項目!A4:$FBC$589826</formula1>
    </dataValidation>
    <dataValidation type="list" allowBlank="1" showInputMessage="1" showErrorMessage="1" sqref="FLF589829:FLF589852">
      <formula1>項目!A4:$FKY$589826</formula1>
    </dataValidation>
    <dataValidation type="list" allowBlank="1" showInputMessage="1" showErrorMessage="1" sqref="FVB589829:FVB589852">
      <formula1>項目!A4:$FUU$589826</formula1>
    </dataValidation>
    <dataValidation type="list" allowBlank="1" showInputMessage="1" showErrorMessage="1" sqref="GEX589829:GEX589852">
      <formula1>項目!A4:$GEQ$589826</formula1>
    </dataValidation>
    <dataValidation type="list" allowBlank="1" showInputMessage="1" showErrorMessage="1" sqref="GOT589829:GOT589852">
      <formula1>項目!A4:$GOM$589826</formula1>
    </dataValidation>
    <dataValidation type="list" allowBlank="1" showInputMessage="1" showErrorMessage="1" sqref="GYP589829:GYP589852">
      <formula1>項目!A4:$GYI$589826</formula1>
    </dataValidation>
    <dataValidation type="list" allowBlank="1" showInputMessage="1" showErrorMessage="1" sqref="HIL589829:HIL589852">
      <formula1>項目!A4:$HIE$589826</formula1>
    </dataValidation>
    <dataValidation type="list" allowBlank="1" showInputMessage="1" showErrorMessage="1" sqref="HSH589829:HSH589852">
      <formula1>項目!A4:$HSA$589826</formula1>
    </dataValidation>
    <dataValidation type="list" allowBlank="1" showInputMessage="1" showErrorMessage="1" sqref="ICD589829:ICD589852">
      <formula1>項目!A4:$IBW$589826</formula1>
    </dataValidation>
    <dataValidation type="list" allowBlank="1" showInputMessage="1" showErrorMessage="1" sqref="ILZ589829:ILZ589852">
      <formula1>項目!A4:$ILS$589826</formula1>
    </dataValidation>
    <dataValidation type="list" allowBlank="1" showInputMessage="1" showErrorMessage="1" sqref="IVV589829:IVV589852">
      <formula1>項目!A4:$IVO$589826</formula1>
    </dataValidation>
    <dataValidation type="list" allowBlank="1" showInputMessage="1" showErrorMessage="1" sqref="JFR589829:JFR589852">
      <formula1>項目!A4:$JFK$589826</formula1>
    </dataValidation>
    <dataValidation type="list" allowBlank="1" showInputMessage="1" showErrorMessage="1" sqref="JPN589829:JPN589852">
      <formula1>項目!A4:$JPG$589826</formula1>
    </dataValidation>
    <dataValidation type="list" allowBlank="1" showInputMessage="1" showErrorMessage="1" sqref="JZJ589829:JZJ589852">
      <formula1>項目!A4:$JZC$589826</formula1>
    </dataValidation>
    <dataValidation type="list" allowBlank="1" showInputMessage="1" showErrorMessage="1" sqref="KJF589829:KJF589852">
      <formula1>項目!A4:$KIY$589826</formula1>
    </dataValidation>
    <dataValidation type="list" allowBlank="1" showInputMessage="1" showErrorMessage="1" sqref="KTB589829:KTB589852">
      <formula1>項目!A4:$KSU$589826</formula1>
    </dataValidation>
    <dataValidation type="list" allowBlank="1" showInputMessage="1" showErrorMessage="1" sqref="LCX589829:LCX589852">
      <formula1>項目!A4:$LCQ$589826</formula1>
    </dataValidation>
    <dataValidation type="list" allowBlank="1" showInputMessage="1" showErrorMessage="1" sqref="LMT589829:LMT589852">
      <formula1>項目!A4:$LMM$589826</formula1>
    </dataValidation>
    <dataValidation type="list" allowBlank="1" showInputMessage="1" showErrorMessage="1" sqref="LWP589829:LWP589852">
      <formula1>項目!A4:$LWI$589826</formula1>
    </dataValidation>
    <dataValidation type="list" allowBlank="1" showInputMessage="1" showErrorMessage="1" sqref="MGL589829:MGL589852">
      <formula1>項目!A4:$MGE$589826</formula1>
    </dataValidation>
    <dataValidation type="list" allowBlank="1" showInputMessage="1" showErrorMessage="1" sqref="MQH589829:MQH589852">
      <formula1>項目!A4:$MQA$589826</formula1>
    </dataValidation>
    <dataValidation type="list" allowBlank="1" showInputMessage="1" showErrorMessage="1" sqref="NAD589829:NAD589852">
      <formula1>項目!A4:$MZW$589826</formula1>
    </dataValidation>
    <dataValidation type="list" allowBlank="1" showInputMessage="1" showErrorMessage="1" sqref="NJZ589829:NJZ589852">
      <formula1>項目!A4:$NJS$589826</formula1>
    </dataValidation>
    <dataValidation type="list" allowBlank="1" showInputMessage="1" showErrorMessage="1" sqref="NTV589829:NTV589852">
      <formula1>項目!A4:$NTO$589826</formula1>
    </dataValidation>
    <dataValidation type="list" allowBlank="1" showInputMessage="1" showErrorMessage="1" sqref="ODR589829:ODR589852">
      <formula1>項目!A4:$ODK$589826</formula1>
    </dataValidation>
    <dataValidation type="list" allowBlank="1" showInputMessage="1" showErrorMessage="1" sqref="ONN589829:ONN589852">
      <formula1>項目!A4:$ONG$589826</formula1>
    </dataValidation>
    <dataValidation type="list" allowBlank="1" showInputMessage="1" showErrorMessage="1" sqref="OXJ589829:OXJ589852">
      <formula1>項目!A4:$OXC$589826</formula1>
    </dataValidation>
    <dataValidation type="list" allowBlank="1" showInputMessage="1" showErrorMessage="1" sqref="PHF589829:PHF589852">
      <formula1>項目!A4:$PGY$589826</formula1>
    </dataValidation>
    <dataValidation type="list" allowBlank="1" showInputMessage="1" showErrorMessage="1" sqref="PRB589829:PRB589852">
      <formula1>項目!A4:$PQU$589826</formula1>
    </dataValidation>
    <dataValidation type="list" allowBlank="1" showInputMessage="1" showErrorMessage="1" sqref="QAX589829:QAX589852">
      <formula1>項目!A4:$QAQ$589826</formula1>
    </dataValidation>
    <dataValidation type="list" allowBlank="1" showInputMessage="1" showErrorMessage="1" sqref="QKT589829:QKT589852">
      <formula1>項目!A4:$QKM$589826</formula1>
    </dataValidation>
    <dataValidation type="list" allowBlank="1" showInputMessage="1" showErrorMessage="1" sqref="QUP589829:QUP589852">
      <formula1>項目!A4:$QUI$589826</formula1>
    </dataValidation>
    <dataValidation type="list" allowBlank="1" showInputMessage="1" showErrorMessage="1" sqref="REL589829:REL589852">
      <formula1>項目!A4:$REE$589826</formula1>
    </dataValidation>
    <dataValidation type="list" allowBlank="1" showInputMessage="1" showErrorMessage="1" sqref="ROH589829:ROH589852">
      <formula1>項目!A4:$ROA$589826</formula1>
    </dataValidation>
    <dataValidation type="list" allowBlank="1" showInputMessage="1" showErrorMessage="1" sqref="RYD589829:RYD589852">
      <formula1>項目!A4:$RXW$589826</formula1>
    </dataValidation>
    <dataValidation type="list" allowBlank="1" showInputMessage="1" showErrorMessage="1" sqref="SHZ589829:SHZ589852">
      <formula1>項目!A4:$SHS$589826</formula1>
    </dataValidation>
    <dataValidation type="list" allowBlank="1" showInputMessage="1" showErrorMessage="1" sqref="SRV589829:SRV589852">
      <formula1>項目!A4:$SRO$589826</formula1>
    </dataValidation>
    <dataValidation type="list" allowBlank="1" showInputMessage="1" showErrorMessage="1" sqref="TBR589829:TBR589852">
      <formula1>項目!A4:$TBK$589826</formula1>
    </dataValidation>
    <dataValidation type="list" allowBlank="1" showInputMessage="1" showErrorMessage="1" sqref="TLN589829:TLN589852">
      <formula1>項目!A4:$TLG$589826</formula1>
    </dataValidation>
    <dataValidation type="list" allowBlank="1" showInputMessage="1" showErrorMessage="1" sqref="TVJ589829:TVJ589852">
      <formula1>項目!A4:$TVC$589826</formula1>
    </dataValidation>
    <dataValidation type="list" allowBlank="1" showInputMessage="1" showErrorMessage="1" sqref="UFF589829:UFF589852">
      <formula1>項目!A4:$UEY$589826</formula1>
    </dataValidation>
    <dataValidation type="list" allowBlank="1" showInputMessage="1" showErrorMessage="1" sqref="UPB589829:UPB589852">
      <formula1>項目!A4:$UOU$589826</formula1>
    </dataValidation>
    <dataValidation type="list" allowBlank="1" showInputMessage="1" showErrorMessage="1" sqref="UYX589829:UYX589852">
      <formula1>項目!A4:$UYQ$589826</formula1>
    </dataValidation>
    <dataValidation type="list" allowBlank="1" showInputMessage="1" showErrorMessage="1" sqref="VIT589829:VIT589852">
      <formula1>項目!A4:$VIM$589826</formula1>
    </dataValidation>
    <dataValidation type="list" allowBlank="1" showInputMessage="1" showErrorMessage="1" sqref="VSP589829:VSP589852">
      <formula1>項目!A4:$VSI$589826</formula1>
    </dataValidation>
    <dataValidation type="list" allowBlank="1" showInputMessage="1" showErrorMessage="1" sqref="WCL589829:WCL589852">
      <formula1>項目!A4:$WCE$589826</formula1>
    </dataValidation>
    <dataValidation type="list" allowBlank="1" showInputMessage="1" showErrorMessage="1" sqref="WMH589829:WMH589852">
      <formula1>項目!A4:$WMA$589826</formula1>
    </dataValidation>
    <dataValidation type="list" allowBlank="1" showInputMessage="1" showErrorMessage="1" sqref="WWD589829:WWD589852">
      <formula1>項目!A4:$WVW$589826</formula1>
    </dataValidation>
    <dataValidation type="list" allowBlank="1" showInputMessage="1" showErrorMessage="1" sqref="V655365:V655388">
      <formula1>項目!A4:$O$655362</formula1>
    </dataValidation>
    <dataValidation type="list" allowBlank="1" showInputMessage="1" showErrorMessage="1" sqref="JR655365:JR655388">
      <formula1>項目!A4:$JK$655362</formula1>
    </dataValidation>
    <dataValidation type="list" allowBlank="1" showInputMessage="1" showErrorMessage="1" sqref="TN655365:TN655388">
      <formula1>項目!A4:$TG$655362</formula1>
    </dataValidation>
    <dataValidation type="list" allowBlank="1" showInputMessage="1" showErrorMessage="1" sqref="ADJ655365:ADJ655388">
      <formula1>項目!A4:$ADC$655362</formula1>
    </dataValidation>
    <dataValidation type="list" allowBlank="1" showInputMessage="1" showErrorMessage="1" sqref="ANF655365:ANF655388">
      <formula1>項目!A4:$AMY$655362</formula1>
    </dataValidation>
    <dataValidation type="list" allowBlank="1" showInputMessage="1" showErrorMessage="1" sqref="AXB655365:AXB655388">
      <formula1>項目!A4:$AWU$655362</formula1>
    </dataValidation>
    <dataValidation type="list" allowBlank="1" showInputMessage="1" showErrorMessage="1" sqref="BGX655365:BGX655388">
      <formula1>項目!A4:$BGQ$655362</formula1>
    </dataValidation>
    <dataValidation type="list" allowBlank="1" showInputMessage="1" showErrorMessage="1" sqref="BQT655365:BQT655388">
      <formula1>項目!A4:$BQM$655362</formula1>
    </dataValidation>
    <dataValidation type="list" allowBlank="1" showInputMessage="1" showErrorMessage="1" sqref="CAP655365:CAP655388">
      <formula1>項目!A4:$CAI$655362</formula1>
    </dataValidation>
    <dataValidation type="list" allowBlank="1" showInputMessage="1" showErrorMessage="1" sqref="CKL655365:CKL655388">
      <formula1>項目!A4:$CKE$655362</formula1>
    </dataValidation>
    <dataValidation type="list" allowBlank="1" showInputMessage="1" showErrorMessage="1" sqref="CUH655365:CUH655388">
      <formula1>項目!A4:$CUA$655362</formula1>
    </dataValidation>
    <dataValidation type="list" allowBlank="1" showInputMessage="1" showErrorMessage="1" sqref="DED655365:DED655388">
      <formula1>項目!A4:$DDW$655362</formula1>
    </dataValidation>
    <dataValidation type="list" allowBlank="1" showInputMessage="1" showErrorMessage="1" sqref="DNZ655365:DNZ655388">
      <formula1>項目!A4:$DNS$655362</formula1>
    </dataValidation>
    <dataValidation type="list" allowBlank="1" showInputMessage="1" showErrorMessage="1" sqref="DXV655365:DXV655388">
      <formula1>項目!A4:$DXO$655362</formula1>
    </dataValidation>
    <dataValidation type="list" allowBlank="1" showInputMessage="1" showErrorMessage="1" sqref="EHR655365:EHR655388">
      <formula1>項目!A4:$EHK$655362</formula1>
    </dataValidation>
    <dataValidation type="list" allowBlank="1" showInputMessage="1" showErrorMessage="1" sqref="ERN655365:ERN655388">
      <formula1>項目!A4:$ERG$655362</formula1>
    </dataValidation>
    <dataValidation type="list" allowBlank="1" showInputMessage="1" showErrorMessage="1" sqref="FBJ655365:FBJ655388">
      <formula1>項目!A4:$FBC$655362</formula1>
    </dataValidation>
    <dataValidation type="list" allowBlank="1" showInputMessage="1" showErrorMessage="1" sqref="FLF655365:FLF655388">
      <formula1>項目!A4:$FKY$655362</formula1>
    </dataValidation>
    <dataValidation type="list" allowBlank="1" showInputMessage="1" showErrorMessage="1" sqref="FVB655365:FVB655388">
      <formula1>項目!A4:$FUU$655362</formula1>
    </dataValidation>
    <dataValidation type="list" allowBlank="1" showInputMessage="1" showErrorMessage="1" sqref="GEX655365:GEX655388">
      <formula1>項目!A4:$GEQ$655362</formula1>
    </dataValidation>
    <dataValidation type="list" allowBlank="1" showInputMessage="1" showErrorMessage="1" sqref="GOT655365:GOT655388">
      <formula1>項目!A4:$GOM$655362</formula1>
    </dataValidation>
    <dataValidation type="list" allowBlank="1" showInputMessage="1" showErrorMessage="1" sqref="GYP655365:GYP655388">
      <formula1>項目!A4:$GYI$655362</formula1>
    </dataValidation>
    <dataValidation type="list" allowBlank="1" showInputMessage="1" showErrorMessage="1" sqref="HIL655365:HIL655388">
      <formula1>項目!A4:$HIE$655362</formula1>
    </dataValidation>
    <dataValidation type="list" allowBlank="1" showInputMessage="1" showErrorMessage="1" sqref="HSH655365:HSH655388">
      <formula1>項目!A4:$HSA$655362</formula1>
    </dataValidation>
    <dataValidation type="list" allowBlank="1" showInputMessage="1" showErrorMessage="1" sqref="ICD655365:ICD655388">
      <formula1>項目!A4:$IBW$655362</formula1>
    </dataValidation>
    <dataValidation type="list" allowBlank="1" showInputMessage="1" showErrorMessage="1" sqref="ILZ655365:ILZ655388">
      <formula1>項目!A4:$ILS$655362</formula1>
    </dataValidation>
    <dataValidation type="list" allowBlank="1" showInputMessage="1" showErrorMessage="1" sqref="IVV655365:IVV655388">
      <formula1>項目!A4:$IVO$655362</formula1>
    </dataValidation>
    <dataValidation type="list" allowBlank="1" showInputMessage="1" showErrorMessage="1" sqref="JFR655365:JFR655388">
      <formula1>項目!A4:$JFK$655362</formula1>
    </dataValidation>
    <dataValidation type="list" allowBlank="1" showInputMessage="1" showErrorMessage="1" sqref="JPN655365:JPN655388">
      <formula1>項目!A4:$JPG$655362</formula1>
    </dataValidation>
    <dataValidation type="list" allowBlank="1" showInputMessage="1" showErrorMessage="1" sqref="JZJ655365:JZJ655388">
      <formula1>項目!A4:$JZC$655362</formula1>
    </dataValidation>
    <dataValidation type="list" allowBlank="1" showInputMessage="1" showErrorMessage="1" sqref="KJF655365:KJF655388">
      <formula1>項目!A4:$KIY$655362</formula1>
    </dataValidation>
    <dataValidation type="list" allowBlank="1" showInputMessage="1" showErrorMessage="1" sqref="KTB655365:KTB655388">
      <formula1>項目!A4:$KSU$655362</formula1>
    </dataValidation>
    <dataValidation type="list" allowBlank="1" showInputMessage="1" showErrorMessage="1" sqref="LCX655365:LCX655388">
      <formula1>項目!A4:$LCQ$655362</formula1>
    </dataValidation>
    <dataValidation type="list" allowBlank="1" showInputMessage="1" showErrorMessage="1" sqref="LMT655365:LMT655388">
      <formula1>項目!A4:$LMM$655362</formula1>
    </dataValidation>
    <dataValidation type="list" allowBlank="1" showInputMessage="1" showErrorMessage="1" sqref="LWP655365:LWP655388">
      <formula1>項目!A4:$LWI$655362</formula1>
    </dataValidation>
    <dataValidation type="list" allowBlank="1" showInputMessage="1" showErrorMessage="1" sqref="MGL655365:MGL655388">
      <formula1>項目!A4:$MGE$655362</formula1>
    </dataValidation>
    <dataValidation type="list" allowBlank="1" showInputMessage="1" showErrorMessage="1" sqref="MQH655365:MQH655388">
      <formula1>項目!A4:$MQA$655362</formula1>
    </dataValidation>
    <dataValidation type="list" allowBlank="1" showInputMessage="1" showErrorMessage="1" sqref="NAD655365:NAD655388">
      <formula1>項目!A4:$MZW$655362</formula1>
    </dataValidation>
    <dataValidation type="list" allowBlank="1" showInputMessage="1" showErrorMessage="1" sqref="NJZ655365:NJZ655388">
      <formula1>項目!A4:$NJS$655362</formula1>
    </dataValidation>
    <dataValidation type="list" allowBlank="1" showInputMessage="1" showErrorMessage="1" sqref="NTV655365:NTV655388">
      <formula1>項目!A4:$NTO$655362</formula1>
    </dataValidation>
    <dataValidation type="list" allowBlank="1" showInputMessage="1" showErrorMessage="1" sqref="ODR655365:ODR655388">
      <formula1>項目!A4:$ODK$655362</formula1>
    </dataValidation>
    <dataValidation type="list" allowBlank="1" showInputMessage="1" showErrorMessage="1" sqref="ONN655365:ONN655388">
      <formula1>項目!A4:$ONG$655362</formula1>
    </dataValidation>
    <dataValidation type="list" allowBlank="1" showInputMessage="1" showErrorMessage="1" sqref="OXJ655365:OXJ655388">
      <formula1>項目!A4:$OXC$655362</formula1>
    </dataValidation>
    <dataValidation type="list" allowBlank="1" showInputMessage="1" showErrorMessage="1" sqref="PHF655365:PHF655388">
      <formula1>項目!A4:$PGY$655362</formula1>
    </dataValidation>
    <dataValidation type="list" allowBlank="1" showInputMessage="1" showErrorMessage="1" sqref="PRB655365:PRB655388">
      <formula1>項目!A4:$PQU$655362</formula1>
    </dataValidation>
    <dataValidation type="list" allowBlank="1" showInputMessage="1" showErrorMessage="1" sqref="QAX655365:QAX655388">
      <formula1>項目!A4:$QAQ$655362</formula1>
    </dataValidation>
    <dataValidation type="list" allowBlank="1" showInputMessage="1" showErrorMessage="1" sqref="QKT655365:QKT655388">
      <formula1>項目!A4:$QKM$655362</formula1>
    </dataValidation>
    <dataValidation type="list" allowBlank="1" showInputMessage="1" showErrorMessage="1" sqref="QUP655365:QUP655388">
      <formula1>項目!A4:$QUI$655362</formula1>
    </dataValidation>
    <dataValidation type="list" allowBlank="1" showInputMessage="1" showErrorMessage="1" sqref="REL655365:REL655388">
      <formula1>項目!A4:$REE$655362</formula1>
    </dataValidation>
    <dataValidation type="list" allowBlank="1" showInputMessage="1" showErrorMessage="1" sqref="ROH655365:ROH655388">
      <formula1>項目!A4:$ROA$655362</formula1>
    </dataValidation>
    <dataValidation type="list" allowBlank="1" showInputMessage="1" showErrorMessage="1" sqref="RYD655365:RYD655388">
      <formula1>項目!A4:$RXW$655362</formula1>
    </dataValidation>
    <dataValidation type="list" allowBlank="1" showInputMessage="1" showErrorMessage="1" sqref="SHZ655365:SHZ655388">
      <formula1>項目!A4:$SHS$655362</formula1>
    </dataValidation>
    <dataValidation type="list" allowBlank="1" showInputMessage="1" showErrorMessage="1" sqref="SRV655365:SRV655388">
      <formula1>項目!A4:$SRO$655362</formula1>
    </dataValidation>
    <dataValidation type="list" allowBlank="1" showInputMessage="1" showErrorMessage="1" sqref="TBR655365:TBR655388">
      <formula1>項目!A4:$TBK$655362</formula1>
    </dataValidation>
    <dataValidation type="list" allowBlank="1" showInputMessage="1" showErrorMessage="1" sqref="TLN655365:TLN655388">
      <formula1>項目!A4:$TLG$655362</formula1>
    </dataValidation>
    <dataValidation type="list" allowBlank="1" showInputMessage="1" showErrorMessage="1" sqref="TVJ655365:TVJ655388">
      <formula1>項目!A4:$TVC$655362</formula1>
    </dataValidation>
    <dataValidation type="list" allowBlank="1" showInputMessage="1" showErrorMessage="1" sqref="UFF655365:UFF655388">
      <formula1>項目!A4:$UEY$655362</formula1>
    </dataValidation>
    <dataValidation type="list" allowBlank="1" showInputMessage="1" showErrorMessage="1" sqref="UPB655365:UPB655388">
      <formula1>項目!A4:$UOU$655362</formula1>
    </dataValidation>
    <dataValidation type="list" allowBlank="1" showInputMessage="1" showErrorMessage="1" sqref="UYX655365:UYX655388">
      <formula1>項目!A4:$UYQ$655362</formula1>
    </dataValidation>
    <dataValidation type="list" allowBlank="1" showInputMessage="1" showErrorMessage="1" sqref="VIT655365:VIT655388">
      <formula1>項目!A4:$VIM$655362</formula1>
    </dataValidation>
    <dataValidation type="list" allowBlank="1" showInputMessage="1" showErrorMessage="1" sqref="VSP655365:VSP655388">
      <formula1>項目!A4:$VSI$655362</formula1>
    </dataValidation>
    <dataValidation type="list" allowBlank="1" showInputMessage="1" showErrorMessage="1" sqref="WCL655365:WCL655388">
      <formula1>項目!A4:$WCE$655362</formula1>
    </dataValidation>
    <dataValidation type="list" allowBlank="1" showInputMessage="1" showErrorMessage="1" sqref="WMH655365:WMH655388">
      <formula1>項目!A4:$WMA$655362</formula1>
    </dataValidation>
    <dataValidation type="list" allowBlank="1" showInputMessage="1" showErrorMessage="1" sqref="WWD655365:WWD655388">
      <formula1>項目!A4:$WVW$655362</formula1>
    </dataValidation>
    <dataValidation type="list" allowBlank="1" showInputMessage="1" showErrorMessage="1" sqref="V720901:V720924">
      <formula1>項目!A4:$O$720898</formula1>
    </dataValidation>
    <dataValidation type="list" allowBlank="1" showInputMessage="1" showErrorMessage="1" sqref="JR720901:JR720924">
      <formula1>項目!A4:$JK$720898</formula1>
    </dataValidation>
    <dataValidation type="list" allowBlank="1" showInputMessage="1" showErrorMessage="1" sqref="TN720901:TN720924">
      <formula1>項目!A4:$TG$720898</formula1>
    </dataValidation>
    <dataValidation type="list" allowBlank="1" showInputMessage="1" showErrorMessage="1" sqref="ADJ720901:ADJ720924">
      <formula1>項目!A4:$ADC$720898</formula1>
    </dataValidation>
    <dataValidation type="list" allowBlank="1" showInputMessage="1" showErrorMessage="1" sqref="ANF720901:ANF720924">
      <formula1>項目!A4:$AMY$720898</formula1>
    </dataValidation>
    <dataValidation type="list" allowBlank="1" showInputMessage="1" showErrorMessage="1" sqref="AXB720901:AXB720924">
      <formula1>項目!A4:$AWU$720898</formula1>
    </dataValidation>
    <dataValidation type="list" allowBlank="1" showInputMessage="1" showErrorMessage="1" sqref="BGX720901:BGX720924">
      <formula1>項目!A4:$BGQ$720898</formula1>
    </dataValidation>
    <dataValidation type="list" allowBlank="1" showInputMessage="1" showErrorMessage="1" sqref="BQT720901:BQT720924">
      <formula1>項目!A4:$BQM$720898</formula1>
    </dataValidation>
    <dataValidation type="list" allowBlank="1" showInputMessage="1" showErrorMessage="1" sqref="CAP720901:CAP720924">
      <formula1>項目!A4:$CAI$720898</formula1>
    </dataValidation>
    <dataValidation type="list" allowBlank="1" showInputMessage="1" showErrorMessage="1" sqref="CKL720901:CKL720924">
      <formula1>項目!A4:$CKE$720898</formula1>
    </dataValidation>
    <dataValidation type="list" allowBlank="1" showInputMessage="1" showErrorMessage="1" sqref="CUH720901:CUH720924">
      <formula1>項目!A4:$CUA$720898</formula1>
    </dataValidation>
    <dataValidation type="list" allowBlank="1" showInputMessage="1" showErrorMessage="1" sqref="DED720901:DED720924">
      <formula1>項目!A4:$DDW$720898</formula1>
    </dataValidation>
    <dataValidation type="list" allowBlank="1" showInputMessage="1" showErrorMessage="1" sqref="DNZ720901:DNZ720924">
      <formula1>項目!A4:$DNS$720898</formula1>
    </dataValidation>
    <dataValidation type="list" allowBlank="1" showInputMessage="1" showErrorMessage="1" sqref="DXV720901:DXV720924">
      <formula1>項目!A4:$DXO$720898</formula1>
    </dataValidation>
    <dataValidation type="list" allowBlank="1" showInputMessage="1" showErrorMessage="1" sqref="EHR720901:EHR720924">
      <formula1>項目!A4:$EHK$720898</formula1>
    </dataValidation>
    <dataValidation type="list" allowBlank="1" showInputMessage="1" showErrorMessage="1" sqref="ERN720901:ERN720924">
      <formula1>項目!A4:$ERG$720898</formula1>
    </dataValidation>
    <dataValidation type="list" allowBlank="1" showInputMessage="1" showErrorMessage="1" sqref="FBJ720901:FBJ720924">
      <formula1>項目!A4:$FBC$720898</formula1>
    </dataValidation>
    <dataValidation type="list" allowBlank="1" showInputMessage="1" showErrorMessage="1" sqref="FLF720901:FLF720924">
      <formula1>項目!A4:$FKY$720898</formula1>
    </dataValidation>
    <dataValidation type="list" allowBlank="1" showInputMessage="1" showErrorMessage="1" sqref="FVB720901:FVB720924">
      <formula1>項目!A4:$FUU$720898</formula1>
    </dataValidation>
    <dataValidation type="list" allowBlank="1" showInputMessage="1" showErrorMessage="1" sqref="GEX720901:GEX720924">
      <formula1>項目!A4:$GEQ$720898</formula1>
    </dataValidation>
    <dataValidation type="list" allowBlank="1" showInputMessage="1" showErrorMessage="1" sqref="GOT720901:GOT720924">
      <formula1>項目!A4:$GOM$720898</formula1>
    </dataValidation>
    <dataValidation type="list" allowBlank="1" showInputMessage="1" showErrorMessage="1" sqref="GYP720901:GYP720924">
      <formula1>項目!A4:$GYI$720898</formula1>
    </dataValidation>
    <dataValidation type="list" allowBlank="1" showInputMessage="1" showErrorMessage="1" sqref="HIL720901:HIL720924">
      <formula1>項目!A4:$HIE$720898</formula1>
    </dataValidation>
    <dataValidation type="list" allowBlank="1" showInputMessage="1" showErrorMessage="1" sqref="HSH720901:HSH720924">
      <formula1>項目!A4:$HSA$720898</formula1>
    </dataValidation>
    <dataValidation type="list" allowBlank="1" showInputMessage="1" showErrorMessage="1" sqref="ICD720901:ICD720924">
      <formula1>項目!A4:$IBW$720898</formula1>
    </dataValidation>
    <dataValidation type="list" allowBlank="1" showInputMessage="1" showErrorMessage="1" sqref="ILZ720901:ILZ720924">
      <formula1>項目!A4:$ILS$720898</formula1>
    </dataValidation>
    <dataValidation type="list" allowBlank="1" showInputMessage="1" showErrorMessage="1" sqref="IVV720901:IVV720924">
      <formula1>項目!A4:$IVO$720898</formula1>
    </dataValidation>
    <dataValidation type="list" allowBlank="1" showInputMessage="1" showErrorMessage="1" sqref="JFR720901:JFR720924">
      <formula1>項目!A4:$JFK$720898</formula1>
    </dataValidation>
    <dataValidation type="list" allowBlank="1" showInputMessage="1" showErrorMessage="1" sqref="JPN720901:JPN720924">
      <formula1>項目!A4:$JPG$720898</formula1>
    </dataValidation>
    <dataValidation type="list" allowBlank="1" showInputMessage="1" showErrorMessage="1" sqref="JZJ720901:JZJ720924">
      <formula1>項目!A4:$JZC$720898</formula1>
    </dataValidation>
    <dataValidation type="list" allowBlank="1" showInputMessage="1" showErrorMessage="1" sqref="KJF720901:KJF720924">
      <formula1>項目!A4:$KIY$720898</formula1>
    </dataValidation>
    <dataValidation type="list" allowBlank="1" showInputMessage="1" showErrorMessage="1" sqref="KTB720901:KTB720924">
      <formula1>項目!A4:$KSU$720898</formula1>
    </dataValidation>
    <dataValidation type="list" allowBlank="1" showInputMessage="1" showErrorMessage="1" sqref="LCX720901:LCX720924">
      <formula1>項目!A4:$LCQ$720898</formula1>
    </dataValidation>
    <dataValidation type="list" allowBlank="1" showInputMessage="1" showErrorMessage="1" sqref="LMT720901:LMT720924">
      <formula1>項目!A4:$LMM$720898</formula1>
    </dataValidation>
    <dataValidation type="list" allowBlank="1" showInputMessage="1" showErrorMessage="1" sqref="LWP720901:LWP720924">
      <formula1>項目!A4:$LWI$720898</formula1>
    </dataValidation>
    <dataValidation type="list" allowBlank="1" showInputMessage="1" showErrorMessage="1" sqref="MGL720901:MGL720924">
      <formula1>項目!A4:$MGE$720898</formula1>
    </dataValidation>
    <dataValidation type="list" allowBlank="1" showInputMessage="1" showErrorMessage="1" sqref="MQH720901:MQH720924">
      <formula1>項目!A4:$MQA$720898</formula1>
    </dataValidation>
    <dataValidation type="list" allowBlank="1" showInputMessage="1" showErrorMessage="1" sqref="NAD720901:NAD720924">
      <formula1>項目!A4:$MZW$720898</formula1>
    </dataValidation>
    <dataValidation type="list" allowBlank="1" showInputMessage="1" showErrorMessage="1" sqref="NJZ720901:NJZ720924">
      <formula1>項目!A4:$NJS$720898</formula1>
    </dataValidation>
    <dataValidation type="list" allowBlank="1" showInputMessage="1" showErrorMessage="1" sqref="NTV720901:NTV720924">
      <formula1>項目!A4:$NTO$720898</formula1>
    </dataValidation>
    <dataValidation type="list" allowBlank="1" showInputMessage="1" showErrorMessage="1" sqref="ODR720901:ODR720924">
      <formula1>項目!A4:$ODK$720898</formula1>
    </dataValidation>
    <dataValidation type="list" allowBlank="1" showInputMessage="1" showErrorMessage="1" sqref="ONN720901:ONN720924">
      <formula1>項目!A4:$ONG$720898</formula1>
    </dataValidation>
    <dataValidation type="list" allowBlank="1" showInputMessage="1" showErrorMessage="1" sqref="OXJ720901:OXJ720924">
      <formula1>項目!A4:$OXC$720898</formula1>
    </dataValidation>
    <dataValidation type="list" allowBlank="1" showInputMessage="1" showErrorMessage="1" sqref="PHF720901:PHF720924">
      <formula1>項目!A4:$PGY$720898</formula1>
    </dataValidation>
    <dataValidation type="list" allowBlank="1" showInputMessage="1" showErrorMessage="1" sqref="PRB720901:PRB720924">
      <formula1>項目!A4:$PQU$720898</formula1>
    </dataValidation>
    <dataValidation type="list" allowBlank="1" showInputMessage="1" showErrorMessage="1" sqref="QAX720901:QAX720924">
      <formula1>項目!A4:$QAQ$720898</formula1>
    </dataValidation>
    <dataValidation type="list" allowBlank="1" showInputMessage="1" showErrorMessage="1" sqref="QKT720901:QKT720924">
      <formula1>項目!A4:$QKM$720898</formula1>
    </dataValidation>
    <dataValidation type="list" allowBlank="1" showInputMessage="1" showErrorMessage="1" sqref="QUP720901:QUP720924">
      <formula1>項目!A4:$QUI$720898</formula1>
    </dataValidation>
    <dataValidation type="list" allowBlank="1" showInputMessage="1" showErrorMessage="1" sqref="REL720901:REL720924">
      <formula1>項目!A4:$REE$720898</formula1>
    </dataValidation>
    <dataValidation type="list" allowBlank="1" showInputMessage="1" showErrorMessage="1" sqref="ROH720901:ROH720924">
      <formula1>項目!A4:$ROA$720898</formula1>
    </dataValidation>
    <dataValidation type="list" allowBlank="1" showInputMessage="1" showErrorMessage="1" sqref="RYD720901:RYD720924">
      <formula1>項目!A4:$RXW$720898</formula1>
    </dataValidation>
    <dataValidation type="list" allowBlank="1" showInputMessage="1" showErrorMessage="1" sqref="SHZ720901:SHZ720924">
      <formula1>項目!A4:$SHS$720898</formula1>
    </dataValidation>
    <dataValidation type="list" allowBlank="1" showInputMessage="1" showErrorMessage="1" sqref="SRV720901:SRV720924">
      <formula1>項目!A4:$SRO$720898</formula1>
    </dataValidation>
    <dataValidation type="list" allowBlank="1" showInputMessage="1" showErrorMessage="1" sqref="TBR720901:TBR720924">
      <formula1>項目!A4:$TBK$720898</formula1>
    </dataValidation>
    <dataValidation type="list" allowBlank="1" showInputMessage="1" showErrorMessage="1" sqref="TLN720901:TLN720924">
      <formula1>項目!A4:$TLG$720898</formula1>
    </dataValidation>
    <dataValidation type="list" allowBlank="1" showInputMessage="1" showErrorMessage="1" sqref="TVJ720901:TVJ720924">
      <formula1>項目!A4:$TVC$720898</formula1>
    </dataValidation>
    <dataValidation type="list" allowBlank="1" showInputMessage="1" showErrorMessage="1" sqref="UFF720901:UFF720924">
      <formula1>項目!A4:$UEY$720898</formula1>
    </dataValidation>
    <dataValidation type="list" allowBlank="1" showInputMessage="1" showErrorMessage="1" sqref="UPB720901:UPB720924">
      <formula1>項目!A4:$UOU$720898</formula1>
    </dataValidation>
    <dataValidation type="list" allowBlank="1" showInputMessage="1" showErrorMessage="1" sqref="UYX720901:UYX720924">
      <formula1>項目!A4:$UYQ$720898</formula1>
    </dataValidation>
    <dataValidation type="list" allowBlank="1" showInputMessage="1" showErrorMessage="1" sqref="VIT720901:VIT720924">
      <formula1>項目!A4:$VIM$720898</formula1>
    </dataValidation>
    <dataValidation type="list" allowBlank="1" showInputMessage="1" showErrorMessage="1" sqref="VSP720901:VSP720924">
      <formula1>項目!A4:$VSI$720898</formula1>
    </dataValidation>
    <dataValidation type="list" allowBlank="1" showInputMessage="1" showErrorMessage="1" sqref="WCL720901:WCL720924">
      <formula1>項目!A4:$WCE$720898</formula1>
    </dataValidation>
    <dataValidation type="list" allowBlank="1" showInputMessage="1" showErrorMessage="1" sqref="WMH720901:WMH720924">
      <formula1>項目!A4:$WMA$720898</formula1>
    </dataValidation>
    <dataValidation type="list" allowBlank="1" showInputMessage="1" showErrorMessage="1" sqref="WWD720901:WWD720924">
      <formula1>項目!A4:$WVW$720898</formula1>
    </dataValidation>
    <dataValidation type="list" allowBlank="1" showInputMessage="1" showErrorMessage="1" sqref="V786437:V786460">
      <formula1>項目!A4:$O$786434</formula1>
    </dataValidation>
    <dataValidation type="list" allowBlank="1" showInputMessage="1" showErrorMessage="1" sqref="JR786437:JR786460">
      <formula1>項目!A4:$JK$786434</formula1>
    </dataValidation>
    <dataValidation type="list" allowBlank="1" showInputMessage="1" showErrorMessage="1" sqref="TN786437:TN786460">
      <formula1>項目!A4:$TG$786434</formula1>
    </dataValidation>
    <dataValidation type="list" allowBlank="1" showInputMessage="1" showErrorMessage="1" sqref="ADJ786437:ADJ786460">
      <formula1>項目!A4:$ADC$786434</formula1>
    </dataValidation>
    <dataValidation type="list" allowBlank="1" showInputMessage="1" showErrorMessage="1" sqref="ANF786437:ANF786460">
      <formula1>項目!A4:$AMY$786434</formula1>
    </dataValidation>
    <dataValidation type="list" allowBlank="1" showInputMessage="1" showErrorMessage="1" sqref="AXB786437:AXB786460">
      <formula1>項目!A4:$AWU$786434</formula1>
    </dataValidation>
    <dataValidation type="list" allowBlank="1" showInputMessage="1" showErrorMessage="1" sqref="BGX786437:BGX786460">
      <formula1>項目!A4:$BGQ$786434</formula1>
    </dataValidation>
    <dataValidation type="list" allowBlank="1" showInputMessage="1" showErrorMessage="1" sqref="BQT786437:BQT786460">
      <formula1>項目!A4:$BQM$786434</formula1>
    </dataValidation>
    <dataValidation type="list" allowBlank="1" showInputMessage="1" showErrorMessage="1" sqref="CAP786437:CAP786460">
      <formula1>項目!A4:$CAI$786434</formula1>
    </dataValidation>
    <dataValidation type="list" allowBlank="1" showInputMessage="1" showErrorMessage="1" sqref="CKL786437:CKL786460">
      <formula1>項目!A4:$CKE$786434</formula1>
    </dataValidation>
    <dataValidation type="list" allowBlank="1" showInputMessage="1" showErrorMessage="1" sqref="CUH786437:CUH786460">
      <formula1>項目!A4:$CUA$786434</formula1>
    </dataValidation>
    <dataValidation type="list" allowBlank="1" showInputMessage="1" showErrorMessage="1" sqref="DED786437:DED786460">
      <formula1>項目!A4:$DDW$786434</formula1>
    </dataValidation>
    <dataValidation type="list" allowBlank="1" showInputMessage="1" showErrorMessage="1" sqref="DNZ786437:DNZ786460">
      <formula1>項目!A4:$DNS$786434</formula1>
    </dataValidation>
    <dataValidation type="list" allowBlank="1" showInputMessage="1" showErrorMessage="1" sqref="DXV786437:DXV786460">
      <formula1>項目!A4:$DXO$786434</formula1>
    </dataValidation>
    <dataValidation type="list" allowBlank="1" showInputMessage="1" showErrorMessage="1" sqref="EHR786437:EHR786460">
      <formula1>項目!A4:$EHK$786434</formula1>
    </dataValidation>
    <dataValidation type="list" allowBlank="1" showInputMessage="1" showErrorMessage="1" sqref="ERN786437:ERN786460">
      <formula1>項目!A4:$ERG$786434</formula1>
    </dataValidation>
    <dataValidation type="list" allowBlank="1" showInputMessage="1" showErrorMessage="1" sqref="FBJ786437:FBJ786460">
      <formula1>項目!A4:$FBC$786434</formula1>
    </dataValidation>
    <dataValidation type="list" allowBlank="1" showInputMessage="1" showErrorMessage="1" sqref="FLF786437:FLF786460">
      <formula1>項目!A4:$FKY$786434</formula1>
    </dataValidation>
    <dataValidation type="list" allowBlank="1" showInputMessage="1" showErrorMessage="1" sqref="FVB786437:FVB786460">
      <formula1>項目!A4:$FUU$786434</formula1>
    </dataValidation>
    <dataValidation type="list" allowBlank="1" showInputMessage="1" showErrorMessage="1" sqref="GEX786437:GEX786460">
      <formula1>項目!A4:$GEQ$786434</formula1>
    </dataValidation>
    <dataValidation type="list" allowBlank="1" showInputMessage="1" showErrorMessage="1" sqref="GOT786437:GOT786460">
      <formula1>項目!A4:$GOM$786434</formula1>
    </dataValidation>
    <dataValidation type="list" allowBlank="1" showInputMessage="1" showErrorMessage="1" sqref="GYP786437:GYP786460">
      <formula1>項目!A4:$GYI$786434</formula1>
    </dataValidation>
    <dataValidation type="list" allowBlank="1" showInputMessage="1" showErrorMessage="1" sqref="HIL786437:HIL786460">
      <formula1>項目!A4:$HIE$786434</formula1>
    </dataValidation>
    <dataValidation type="list" allowBlank="1" showInputMessage="1" showErrorMessage="1" sqref="HSH786437:HSH786460">
      <formula1>項目!A4:$HSA$786434</formula1>
    </dataValidation>
    <dataValidation type="list" allowBlank="1" showInputMessage="1" showErrorMessage="1" sqref="ICD786437:ICD786460">
      <formula1>項目!A4:$IBW$786434</formula1>
    </dataValidation>
    <dataValidation type="list" allowBlank="1" showInputMessage="1" showErrorMessage="1" sqref="ILZ786437:ILZ786460">
      <formula1>項目!A4:$ILS$786434</formula1>
    </dataValidation>
    <dataValidation type="list" allowBlank="1" showInputMessage="1" showErrorMessage="1" sqref="IVV786437:IVV786460">
      <formula1>項目!A4:$IVO$786434</formula1>
    </dataValidation>
    <dataValidation type="list" allowBlank="1" showInputMessage="1" showErrorMessage="1" sqref="JFR786437:JFR786460">
      <formula1>項目!A4:$JFK$786434</formula1>
    </dataValidation>
    <dataValidation type="list" allowBlank="1" showInputMessage="1" showErrorMessage="1" sqref="JPN786437:JPN786460">
      <formula1>項目!A4:$JPG$786434</formula1>
    </dataValidation>
    <dataValidation type="list" allowBlank="1" showInputMessage="1" showErrorMessage="1" sqref="JZJ786437:JZJ786460">
      <formula1>項目!A4:$JZC$786434</formula1>
    </dataValidation>
    <dataValidation type="list" allowBlank="1" showInputMessage="1" showErrorMessage="1" sqref="KJF786437:KJF786460">
      <formula1>項目!A4:$KIY$786434</formula1>
    </dataValidation>
    <dataValidation type="list" allowBlank="1" showInputMessage="1" showErrorMessage="1" sqref="KTB786437:KTB786460">
      <formula1>項目!A4:$KSU$786434</formula1>
    </dataValidation>
    <dataValidation type="list" allowBlank="1" showInputMessage="1" showErrorMessage="1" sqref="LCX786437:LCX786460">
      <formula1>項目!A4:$LCQ$786434</formula1>
    </dataValidation>
    <dataValidation type="list" allowBlank="1" showInputMessage="1" showErrorMessage="1" sqref="LMT786437:LMT786460">
      <formula1>項目!A4:$LMM$786434</formula1>
    </dataValidation>
    <dataValidation type="list" allowBlank="1" showInputMessage="1" showErrorMessage="1" sqref="LWP786437:LWP786460">
      <formula1>項目!A4:$LWI$786434</formula1>
    </dataValidation>
    <dataValidation type="list" allowBlank="1" showInputMessage="1" showErrorMessage="1" sqref="MGL786437:MGL786460">
      <formula1>項目!A4:$MGE$786434</formula1>
    </dataValidation>
    <dataValidation type="list" allowBlank="1" showInputMessage="1" showErrorMessage="1" sqref="MQH786437:MQH786460">
      <formula1>項目!A4:$MQA$786434</formula1>
    </dataValidation>
    <dataValidation type="list" allowBlank="1" showInputMessage="1" showErrorMessage="1" sqref="NAD786437:NAD786460">
      <formula1>項目!A4:$MZW$786434</formula1>
    </dataValidation>
    <dataValidation type="list" allowBlank="1" showInputMessage="1" showErrorMessage="1" sqref="NJZ786437:NJZ786460">
      <formula1>項目!A4:$NJS$786434</formula1>
    </dataValidation>
    <dataValidation type="list" allowBlank="1" showInputMessage="1" showErrorMessage="1" sqref="NTV786437:NTV786460">
      <formula1>項目!A4:$NTO$786434</formula1>
    </dataValidation>
    <dataValidation type="list" allowBlank="1" showInputMessage="1" showErrorMessage="1" sqref="ODR786437:ODR786460">
      <formula1>項目!A4:$ODK$786434</formula1>
    </dataValidation>
    <dataValidation type="list" allowBlank="1" showInputMessage="1" showErrorMessage="1" sqref="ONN786437:ONN786460">
      <formula1>項目!A4:$ONG$786434</formula1>
    </dataValidation>
    <dataValidation type="list" allowBlank="1" showInputMessage="1" showErrorMessage="1" sqref="OXJ786437:OXJ786460">
      <formula1>項目!A4:$OXC$786434</formula1>
    </dataValidation>
    <dataValidation type="list" allowBlank="1" showInputMessage="1" showErrorMessage="1" sqref="PHF786437:PHF786460">
      <formula1>項目!A4:$PGY$786434</formula1>
    </dataValidation>
    <dataValidation type="list" allowBlank="1" showInputMessage="1" showErrorMessage="1" sqref="PRB786437:PRB786460">
      <formula1>項目!A4:$PQU$786434</formula1>
    </dataValidation>
    <dataValidation type="list" allowBlank="1" showInputMessage="1" showErrorMessage="1" sqref="QAX786437:QAX786460">
      <formula1>項目!A4:$QAQ$786434</formula1>
    </dataValidation>
    <dataValidation type="list" allowBlank="1" showInputMessage="1" showErrorMessage="1" sqref="QKT786437:QKT786460">
      <formula1>項目!A4:$QKM$786434</formula1>
    </dataValidation>
    <dataValidation type="list" allowBlank="1" showInputMessage="1" showErrorMessage="1" sqref="QUP786437:QUP786460">
      <formula1>項目!A4:$QUI$786434</formula1>
    </dataValidation>
    <dataValidation type="list" allowBlank="1" showInputMessage="1" showErrorMessage="1" sqref="REL786437:REL786460">
      <formula1>項目!A4:$REE$786434</formula1>
    </dataValidation>
    <dataValidation type="list" allowBlank="1" showInputMessage="1" showErrorMessage="1" sqref="ROH786437:ROH786460">
      <formula1>項目!A4:$ROA$786434</formula1>
    </dataValidation>
    <dataValidation type="list" allowBlank="1" showInputMessage="1" showErrorMessage="1" sqref="RYD786437:RYD786460">
      <formula1>項目!A4:$RXW$786434</formula1>
    </dataValidation>
    <dataValidation type="list" allowBlank="1" showInputMessage="1" showErrorMessage="1" sqref="SHZ786437:SHZ786460">
      <formula1>項目!A4:$SHS$786434</formula1>
    </dataValidation>
    <dataValidation type="list" allowBlank="1" showInputMessage="1" showErrorMessage="1" sqref="SRV786437:SRV786460">
      <formula1>項目!A4:$SRO$786434</formula1>
    </dataValidation>
    <dataValidation type="list" allowBlank="1" showInputMessage="1" showErrorMessage="1" sqref="TBR786437:TBR786460">
      <formula1>項目!A4:$TBK$786434</formula1>
    </dataValidation>
    <dataValidation type="list" allowBlank="1" showInputMessage="1" showErrorMessage="1" sqref="TLN786437:TLN786460">
      <formula1>項目!A4:$TLG$786434</formula1>
    </dataValidation>
    <dataValidation type="list" allowBlank="1" showInputMessage="1" showErrorMessage="1" sqref="TVJ786437:TVJ786460">
      <formula1>項目!A4:$TVC$786434</formula1>
    </dataValidation>
    <dataValidation type="list" allowBlank="1" showInputMessage="1" showErrorMessage="1" sqref="UFF786437:UFF786460">
      <formula1>項目!A4:$UEY$786434</formula1>
    </dataValidation>
    <dataValidation type="list" allowBlank="1" showInputMessage="1" showErrorMessage="1" sqref="UPB786437:UPB786460">
      <formula1>項目!A4:$UOU$786434</formula1>
    </dataValidation>
    <dataValidation type="list" allowBlank="1" showInputMessage="1" showErrorMessage="1" sqref="UYX786437:UYX786460">
      <formula1>項目!A4:$UYQ$786434</formula1>
    </dataValidation>
    <dataValidation type="list" allowBlank="1" showInputMessage="1" showErrorMessage="1" sqref="VIT786437:VIT786460">
      <formula1>項目!A4:$VIM$786434</formula1>
    </dataValidation>
    <dataValidation type="list" allowBlank="1" showInputMessage="1" showErrorMessage="1" sqref="VSP786437:VSP786460">
      <formula1>項目!A4:$VSI$786434</formula1>
    </dataValidation>
    <dataValidation type="list" allowBlank="1" showInputMessage="1" showErrorMessage="1" sqref="WCL786437:WCL786460">
      <formula1>項目!A4:$WCE$786434</formula1>
    </dataValidation>
    <dataValidation type="list" allowBlank="1" showInputMessage="1" showErrorMessage="1" sqref="WMH786437:WMH786460">
      <formula1>項目!A4:$WMA$786434</formula1>
    </dataValidation>
    <dataValidation type="list" allowBlank="1" showInputMessage="1" showErrorMessage="1" sqref="WWD786437:WWD786460">
      <formula1>項目!A4:$WVW$786434</formula1>
    </dataValidation>
    <dataValidation type="list" allowBlank="1" showInputMessage="1" showErrorMessage="1" sqref="V851973:V851996">
      <formula1>項目!A4:$O$851970</formula1>
    </dataValidation>
    <dataValidation type="list" allowBlank="1" showInputMessage="1" showErrorMessage="1" sqref="JR851973:JR851996">
      <formula1>項目!A4:$JK$851970</formula1>
    </dataValidation>
    <dataValidation type="list" allowBlank="1" showInputMessage="1" showErrorMessage="1" sqref="TN851973:TN851996">
      <formula1>項目!A4:$TG$851970</formula1>
    </dataValidation>
    <dataValidation type="list" allowBlank="1" showInputMessage="1" showErrorMessage="1" sqref="ADJ851973:ADJ851996">
      <formula1>項目!A4:$ADC$851970</formula1>
    </dataValidation>
    <dataValidation type="list" allowBlank="1" showInputMessage="1" showErrorMessage="1" sqref="ANF851973:ANF851996">
      <formula1>項目!A4:$AMY$851970</formula1>
    </dataValidation>
    <dataValidation type="list" allowBlank="1" showInputMessage="1" showErrorMessage="1" sqref="AXB851973:AXB851996">
      <formula1>項目!A4:$AWU$851970</formula1>
    </dataValidation>
    <dataValidation type="list" allowBlank="1" showInputMessage="1" showErrorMessage="1" sqref="BGX851973:BGX851996">
      <formula1>項目!A4:$BGQ$851970</formula1>
    </dataValidation>
    <dataValidation type="list" allowBlank="1" showInputMessage="1" showErrorMessage="1" sqref="BQT851973:BQT851996">
      <formula1>項目!A4:$BQM$851970</formula1>
    </dataValidation>
    <dataValidation type="list" allowBlank="1" showInputMessage="1" showErrorMessage="1" sqref="CAP851973:CAP851996">
      <formula1>項目!A4:$CAI$851970</formula1>
    </dataValidation>
    <dataValidation type="list" allowBlank="1" showInputMessage="1" showErrorMessage="1" sqref="CKL851973:CKL851996">
      <formula1>項目!A4:$CKE$851970</formula1>
    </dataValidation>
    <dataValidation type="list" allowBlank="1" showInputMessage="1" showErrorMessage="1" sqref="CUH851973:CUH851996">
      <formula1>項目!A4:$CUA$851970</formula1>
    </dataValidation>
    <dataValidation type="list" allowBlank="1" showInputMessage="1" showErrorMessage="1" sqref="DED851973:DED851996">
      <formula1>項目!A4:$DDW$851970</formula1>
    </dataValidation>
    <dataValidation type="list" allowBlank="1" showInputMessage="1" showErrorMessage="1" sqref="DNZ851973:DNZ851996">
      <formula1>項目!A4:$DNS$851970</formula1>
    </dataValidation>
    <dataValidation type="list" allowBlank="1" showInputMessage="1" showErrorMessage="1" sqref="DXV851973:DXV851996">
      <formula1>項目!A4:$DXO$851970</formula1>
    </dataValidation>
    <dataValidation type="list" allowBlank="1" showInputMessage="1" showErrorMessage="1" sqref="EHR851973:EHR851996">
      <formula1>項目!A4:$EHK$851970</formula1>
    </dataValidation>
    <dataValidation type="list" allowBlank="1" showInputMessage="1" showErrorMessage="1" sqref="ERN851973:ERN851996">
      <formula1>項目!A4:$ERG$851970</formula1>
    </dataValidation>
    <dataValidation type="list" allowBlank="1" showInputMessage="1" showErrorMessage="1" sqref="FBJ851973:FBJ851996">
      <formula1>項目!A4:$FBC$851970</formula1>
    </dataValidation>
    <dataValidation type="list" allowBlank="1" showInputMessage="1" showErrorMessage="1" sqref="FLF851973:FLF851996">
      <formula1>項目!A4:$FKY$851970</formula1>
    </dataValidation>
    <dataValidation type="list" allowBlank="1" showInputMessage="1" showErrorMessage="1" sqref="FVB851973:FVB851996">
      <formula1>項目!A4:$FUU$851970</formula1>
    </dataValidation>
    <dataValidation type="list" allowBlank="1" showInputMessage="1" showErrorMessage="1" sqref="GEX851973:GEX851996">
      <formula1>項目!A4:$GEQ$851970</formula1>
    </dataValidation>
    <dataValidation type="list" allowBlank="1" showInputMessage="1" showErrorMessage="1" sqref="GOT851973:GOT851996">
      <formula1>項目!A4:$GOM$851970</formula1>
    </dataValidation>
    <dataValidation type="list" allowBlank="1" showInputMessage="1" showErrorMessage="1" sqref="GYP851973:GYP851996">
      <formula1>項目!A4:$GYI$851970</formula1>
    </dataValidation>
    <dataValidation type="list" allowBlank="1" showInputMessage="1" showErrorMessage="1" sqref="HIL851973:HIL851996">
      <formula1>項目!A4:$HIE$851970</formula1>
    </dataValidation>
    <dataValidation type="list" allowBlank="1" showInputMessage="1" showErrorMessage="1" sqref="HSH851973:HSH851996">
      <formula1>項目!A4:$HSA$851970</formula1>
    </dataValidation>
    <dataValidation type="list" allowBlank="1" showInputMessage="1" showErrorMessage="1" sqref="ICD851973:ICD851996">
      <formula1>項目!A4:$IBW$851970</formula1>
    </dataValidation>
    <dataValidation type="list" allowBlank="1" showInputMessage="1" showErrorMessage="1" sqref="ILZ851973:ILZ851996">
      <formula1>項目!A4:$ILS$851970</formula1>
    </dataValidation>
    <dataValidation type="list" allowBlank="1" showInputMessage="1" showErrorMessage="1" sqref="IVV851973:IVV851996">
      <formula1>項目!A4:$IVO$851970</formula1>
    </dataValidation>
    <dataValidation type="list" allowBlank="1" showInputMessage="1" showErrorMessage="1" sqref="JFR851973:JFR851996">
      <formula1>項目!A4:$JFK$851970</formula1>
    </dataValidation>
    <dataValidation type="list" allowBlank="1" showInputMessage="1" showErrorMessage="1" sqref="JPN851973:JPN851996">
      <formula1>項目!A4:$JPG$851970</formula1>
    </dataValidation>
    <dataValidation type="list" allowBlank="1" showInputMessage="1" showErrorMessage="1" sqref="JZJ851973:JZJ851996">
      <formula1>項目!A4:$JZC$851970</formula1>
    </dataValidation>
    <dataValidation type="list" allowBlank="1" showInputMessage="1" showErrorMessage="1" sqref="KJF851973:KJF851996">
      <formula1>項目!A4:$KIY$851970</formula1>
    </dataValidation>
    <dataValidation type="list" allowBlank="1" showInputMessage="1" showErrorMessage="1" sqref="KTB851973:KTB851996">
      <formula1>項目!A4:$KSU$851970</formula1>
    </dataValidation>
    <dataValidation type="list" allowBlank="1" showInputMessage="1" showErrorMessage="1" sqref="LCX851973:LCX851996">
      <formula1>項目!A4:$LCQ$851970</formula1>
    </dataValidation>
    <dataValidation type="list" allowBlank="1" showInputMessage="1" showErrorMessage="1" sqref="LMT851973:LMT851996">
      <formula1>項目!A4:$LMM$851970</formula1>
    </dataValidation>
    <dataValidation type="list" allowBlank="1" showInputMessage="1" showErrorMessage="1" sqref="LWP851973:LWP851996">
      <formula1>項目!A4:$LWI$851970</formula1>
    </dataValidation>
    <dataValidation type="list" allowBlank="1" showInputMessage="1" showErrorMessage="1" sqref="MGL851973:MGL851996">
      <formula1>項目!A4:$MGE$851970</formula1>
    </dataValidation>
    <dataValidation type="list" allowBlank="1" showInputMessage="1" showErrorMessage="1" sqref="MQH851973:MQH851996">
      <formula1>項目!A4:$MQA$851970</formula1>
    </dataValidation>
    <dataValidation type="list" allowBlank="1" showInputMessage="1" showErrorMessage="1" sqref="NAD851973:NAD851996">
      <formula1>項目!A4:$MZW$851970</formula1>
    </dataValidation>
    <dataValidation type="list" allowBlank="1" showInputMessage="1" showErrorMessage="1" sqref="NJZ851973:NJZ851996">
      <formula1>項目!A4:$NJS$851970</formula1>
    </dataValidation>
    <dataValidation type="list" allowBlank="1" showInputMessage="1" showErrorMessage="1" sqref="NTV851973:NTV851996">
      <formula1>項目!A4:$NTO$851970</formula1>
    </dataValidation>
    <dataValidation type="list" allowBlank="1" showInputMessage="1" showErrorMessage="1" sqref="ODR851973:ODR851996">
      <formula1>項目!A4:$ODK$851970</formula1>
    </dataValidation>
    <dataValidation type="list" allowBlank="1" showInputMessage="1" showErrorMessage="1" sqref="ONN851973:ONN851996">
      <formula1>項目!A4:$ONG$851970</formula1>
    </dataValidation>
    <dataValidation type="list" allowBlank="1" showInputMessage="1" showErrorMessage="1" sqref="OXJ851973:OXJ851996">
      <formula1>項目!A4:$OXC$851970</formula1>
    </dataValidation>
    <dataValidation type="list" allowBlank="1" showInputMessage="1" showErrorMessage="1" sqref="PHF851973:PHF851996">
      <formula1>項目!A4:$PGY$851970</formula1>
    </dataValidation>
    <dataValidation type="list" allowBlank="1" showInputMessage="1" showErrorMessage="1" sqref="PRB851973:PRB851996">
      <formula1>項目!A4:$PQU$851970</formula1>
    </dataValidation>
    <dataValidation type="list" allowBlank="1" showInputMessage="1" showErrorMessage="1" sqref="QAX851973:QAX851996">
      <formula1>項目!A4:$QAQ$851970</formula1>
    </dataValidation>
    <dataValidation type="list" allowBlank="1" showInputMessage="1" showErrorMessage="1" sqref="QKT851973:QKT851996">
      <formula1>項目!A4:$QKM$851970</formula1>
    </dataValidation>
    <dataValidation type="list" allowBlank="1" showInputMessage="1" showErrorMessage="1" sqref="QUP851973:QUP851996">
      <formula1>項目!A4:$QUI$851970</formula1>
    </dataValidation>
    <dataValidation type="list" allowBlank="1" showInputMessage="1" showErrorMessage="1" sqref="REL851973:REL851996">
      <formula1>項目!A4:$REE$851970</formula1>
    </dataValidation>
    <dataValidation type="list" allowBlank="1" showInputMessage="1" showErrorMessage="1" sqref="ROH851973:ROH851996">
      <formula1>項目!A4:$ROA$851970</formula1>
    </dataValidation>
    <dataValidation type="list" allowBlank="1" showInputMessage="1" showErrorMessage="1" sqref="RYD851973:RYD851996">
      <formula1>項目!A4:$RXW$851970</formula1>
    </dataValidation>
    <dataValidation type="list" allowBlank="1" showInputMessage="1" showErrorMessage="1" sqref="SHZ851973:SHZ851996">
      <formula1>項目!A4:$SHS$851970</formula1>
    </dataValidation>
    <dataValidation type="list" allowBlank="1" showInputMessage="1" showErrorMessage="1" sqref="SRV851973:SRV851996">
      <formula1>項目!A4:$SRO$851970</formula1>
    </dataValidation>
    <dataValidation type="list" allowBlank="1" showInputMessage="1" showErrorMessage="1" sqref="TBR851973:TBR851996">
      <formula1>項目!A4:$TBK$851970</formula1>
    </dataValidation>
    <dataValidation type="list" allowBlank="1" showInputMessage="1" showErrorMessage="1" sqref="TLN851973:TLN851996">
      <formula1>項目!A4:$TLG$851970</formula1>
    </dataValidation>
    <dataValidation type="list" allowBlank="1" showInputMessage="1" showErrorMessage="1" sqref="TVJ851973:TVJ851996">
      <formula1>項目!A4:$TVC$851970</formula1>
    </dataValidation>
    <dataValidation type="list" allowBlank="1" showInputMessage="1" showErrorMessage="1" sqref="UFF851973:UFF851996">
      <formula1>項目!A4:$UEY$851970</formula1>
    </dataValidation>
    <dataValidation type="list" allowBlank="1" showInputMessage="1" showErrorMessage="1" sqref="UPB851973:UPB851996">
      <formula1>項目!A4:$UOU$851970</formula1>
    </dataValidation>
    <dataValidation type="list" allowBlank="1" showInputMessage="1" showErrorMessage="1" sqref="UYX851973:UYX851996">
      <formula1>項目!A4:$UYQ$851970</formula1>
    </dataValidation>
    <dataValidation type="list" allowBlank="1" showInputMessage="1" showErrorMessage="1" sqref="VIT851973:VIT851996">
      <formula1>項目!A4:$VIM$851970</formula1>
    </dataValidation>
    <dataValidation type="list" allowBlank="1" showInputMessage="1" showErrorMessage="1" sqref="VSP851973:VSP851996">
      <formula1>項目!A4:$VSI$851970</formula1>
    </dataValidation>
    <dataValidation type="list" allowBlank="1" showInputMessage="1" showErrorMessage="1" sqref="WCL851973:WCL851996">
      <formula1>項目!A4:$WCE$851970</formula1>
    </dataValidation>
    <dataValidation type="list" allowBlank="1" showInputMessage="1" showErrorMessage="1" sqref="WMH851973:WMH851996">
      <formula1>項目!A4:$WMA$851970</formula1>
    </dataValidation>
    <dataValidation type="list" allowBlank="1" showInputMessage="1" showErrorMessage="1" sqref="WWD851973:WWD851996">
      <formula1>項目!A4:$WVW$851970</formula1>
    </dataValidation>
    <dataValidation type="list" allowBlank="1" showInputMessage="1" showErrorMessage="1" sqref="V917509:V917532">
      <formula1>項目!A4:$O$917506</formula1>
    </dataValidation>
    <dataValidation type="list" allowBlank="1" showInputMessage="1" showErrorMessage="1" sqref="JR917509:JR917532">
      <formula1>項目!A4:$JK$917506</formula1>
    </dataValidation>
    <dataValidation type="list" allowBlank="1" showInputMessage="1" showErrorMessage="1" sqref="TN917509:TN917532">
      <formula1>項目!A4:$TG$917506</formula1>
    </dataValidation>
    <dataValidation type="list" allowBlank="1" showInputMessage="1" showErrorMessage="1" sqref="ADJ917509:ADJ917532">
      <formula1>項目!A4:$ADC$917506</formula1>
    </dataValidation>
    <dataValidation type="list" allowBlank="1" showInputMessage="1" showErrorMessage="1" sqref="ANF917509:ANF917532">
      <formula1>項目!A4:$AMY$917506</formula1>
    </dataValidation>
    <dataValidation type="list" allowBlank="1" showInputMessage="1" showErrorMessage="1" sqref="AXB917509:AXB917532">
      <formula1>項目!A4:$AWU$917506</formula1>
    </dataValidation>
    <dataValidation type="list" allowBlank="1" showInputMessage="1" showErrorMessage="1" sqref="BGX917509:BGX917532">
      <formula1>項目!A4:$BGQ$917506</formula1>
    </dataValidation>
    <dataValidation type="list" allowBlank="1" showInputMessage="1" showErrorMessage="1" sqref="BQT917509:BQT917532">
      <formula1>項目!A4:$BQM$917506</formula1>
    </dataValidation>
    <dataValidation type="list" allowBlank="1" showInputMessage="1" showErrorMessage="1" sqref="CAP917509:CAP917532">
      <formula1>項目!A4:$CAI$917506</formula1>
    </dataValidation>
    <dataValidation type="list" allowBlank="1" showInputMessage="1" showErrorMessage="1" sqref="CKL917509:CKL917532">
      <formula1>項目!A4:$CKE$917506</formula1>
    </dataValidation>
    <dataValidation type="list" allowBlank="1" showInputMessage="1" showErrorMessage="1" sqref="CUH917509:CUH917532">
      <formula1>項目!A4:$CUA$917506</formula1>
    </dataValidation>
    <dataValidation type="list" allowBlank="1" showInputMessage="1" showErrorMessage="1" sqref="DED917509:DED917532">
      <formula1>項目!A4:$DDW$917506</formula1>
    </dataValidation>
    <dataValidation type="list" allowBlank="1" showInputMessage="1" showErrorMessage="1" sqref="DNZ917509:DNZ917532">
      <formula1>項目!A4:$DNS$917506</formula1>
    </dataValidation>
    <dataValidation type="list" allowBlank="1" showInputMessage="1" showErrorMessage="1" sqref="DXV917509:DXV917532">
      <formula1>項目!A4:$DXO$917506</formula1>
    </dataValidation>
    <dataValidation type="list" allowBlank="1" showInputMessage="1" showErrorMessage="1" sqref="EHR917509:EHR917532">
      <formula1>項目!A4:$EHK$917506</formula1>
    </dataValidation>
    <dataValidation type="list" allowBlank="1" showInputMessage="1" showErrorMessage="1" sqref="ERN917509:ERN917532">
      <formula1>項目!A4:$ERG$917506</formula1>
    </dataValidation>
    <dataValidation type="list" allowBlank="1" showInputMessage="1" showErrorMessage="1" sqref="FBJ917509:FBJ917532">
      <formula1>項目!A4:$FBC$917506</formula1>
    </dataValidation>
    <dataValidation type="list" allowBlank="1" showInputMessage="1" showErrorMessage="1" sqref="FLF917509:FLF917532">
      <formula1>項目!A4:$FKY$917506</formula1>
    </dataValidation>
    <dataValidation type="list" allowBlank="1" showInputMessage="1" showErrorMessage="1" sqref="FVB917509:FVB917532">
      <formula1>項目!A4:$FUU$917506</formula1>
    </dataValidation>
    <dataValidation type="list" allowBlank="1" showInputMessage="1" showErrorMessage="1" sqref="GEX917509:GEX917532">
      <formula1>項目!A4:$GEQ$917506</formula1>
    </dataValidation>
    <dataValidation type="list" allowBlank="1" showInputMessage="1" showErrorMessage="1" sqref="GOT917509:GOT917532">
      <formula1>項目!A4:$GOM$917506</formula1>
    </dataValidation>
    <dataValidation type="list" allowBlank="1" showInputMessage="1" showErrorMessage="1" sqref="GYP917509:GYP917532">
      <formula1>項目!A4:$GYI$917506</formula1>
    </dataValidation>
    <dataValidation type="list" allowBlank="1" showInputMessage="1" showErrorMessage="1" sqref="HIL917509:HIL917532">
      <formula1>項目!A4:$HIE$917506</formula1>
    </dataValidation>
    <dataValidation type="list" allowBlank="1" showInputMessage="1" showErrorMessage="1" sqref="HSH917509:HSH917532">
      <formula1>項目!A4:$HSA$917506</formula1>
    </dataValidation>
    <dataValidation type="list" allowBlank="1" showInputMessage="1" showErrorMessage="1" sqref="ICD917509:ICD917532">
      <formula1>項目!A4:$IBW$917506</formula1>
    </dataValidation>
    <dataValidation type="list" allowBlank="1" showInputMessage="1" showErrorMessage="1" sqref="ILZ917509:ILZ917532">
      <formula1>項目!A4:$ILS$917506</formula1>
    </dataValidation>
    <dataValidation type="list" allowBlank="1" showInputMessage="1" showErrorMessage="1" sqref="IVV917509:IVV917532">
      <formula1>項目!A4:$IVO$917506</formula1>
    </dataValidation>
    <dataValidation type="list" allowBlank="1" showInputMessage="1" showErrorMessage="1" sqref="JFR917509:JFR917532">
      <formula1>項目!A4:$JFK$917506</formula1>
    </dataValidation>
    <dataValidation type="list" allowBlank="1" showInputMessage="1" showErrorMessage="1" sqref="JPN917509:JPN917532">
      <formula1>項目!A4:$JPG$917506</formula1>
    </dataValidation>
    <dataValidation type="list" allowBlank="1" showInputMessage="1" showErrorMessage="1" sqref="JZJ917509:JZJ917532">
      <formula1>項目!A4:$JZC$917506</formula1>
    </dataValidation>
    <dataValidation type="list" allowBlank="1" showInputMessage="1" showErrorMessage="1" sqref="KJF917509:KJF917532">
      <formula1>項目!A4:$KIY$917506</formula1>
    </dataValidation>
    <dataValidation type="list" allowBlank="1" showInputMessage="1" showErrorMessage="1" sqref="KTB917509:KTB917532">
      <formula1>項目!A4:$KSU$917506</formula1>
    </dataValidation>
    <dataValidation type="list" allowBlank="1" showInputMessage="1" showErrorMessage="1" sqref="LCX917509:LCX917532">
      <formula1>項目!A4:$LCQ$917506</formula1>
    </dataValidation>
    <dataValidation type="list" allowBlank="1" showInputMessage="1" showErrorMessage="1" sqref="LMT917509:LMT917532">
      <formula1>項目!A4:$LMM$917506</formula1>
    </dataValidation>
    <dataValidation type="list" allowBlank="1" showInputMessage="1" showErrorMessage="1" sqref="LWP917509:LWP917532">
      <formula1>項目!A4:$LWI$917506</formula1>
    </dataValidation>
    <dataValidation type="list" allowBlank="1" showInputMessage="1" showErrorMessage="1" sqref="MGL917509:MGL917532">
      <formula1>項目!A4:$MGE$917506</formula1>
    </dataValidation>
    <dataValidation type="list" allowBlank="1" showInputMessage="1" showErrorMessage="1" sqref="MQH917509:MQH917532">
      <formula1>項目!A4:$MQA$917506</formula1>
    </dataValidation>
    <dataValidation type="list" allowBlank="1" showInputMessage="1" showErrorMessage="1" sqref="NAD917509:NAD917532">
      <formula1>項目!A4:$MZW$917506</formula1>
    </dataValidation>
    <dataValidation type="list" allowBlank="1" showInputMessage="1" showErrorMessage="1" sqref="NJZ917509:NJZ917532">
      <formula1>項目!A4:$NJS$917506</formula1>
    </dataValidation>
    <dataValidation type="list" allowBlank="1" showInputMessage="1" showErrorMessage="1" sqref="NTV917509:NTV917532">
      <formula1>項目!A4:$NTO$917506</formula1>
    </dataValidation>
    <dataValidation type="list" allowBlank="1" showInputMessage="1" showErrorMessage="1" sqref="ODR917509:ODR917532">
      <formula1>項目!A4:$ODK$917506</formula1>
    </dataValidation>
    <dataValidation type="list" allowBlank="1" showInputMessage="1" showErrorMessage="1" sqref="ONN917509:ONN917532">
      <formula1>項目!A4:$ONG$917506</formula1>
    </dataValidation>
    <dataValidation type="list" allowBlank="1" showInputMessage="1" showErrorMessage="1" sqref="OXJ917509:OXJ917532">
      <formula1>項目!A4:$OXC$917506</formula1>
    </dataValidation>
    <dataValidation type="list" allowBlank="1" showInputMessage="1" showErrorMessage="1" sqref="PHF917509:PHF917532">
      <formula1>項目!A4:$PGY$917506</formula1>
    </dataValidation>
    <dataValidation type="list" allowBlank="1" showInputMessage="1" showErrorMessage="1" sqref="PRB917509:PRB917532">
      <formula1>項目!A4:$PQU$917506</formula1>
    </dataValidation>
    <dataValidation type="list" allowBlank="1" showInputMessage="1" showErrorMessage="1" sqref="QAX917509:QAX917532">
      <formula1>項目!A4:$QAQ$917506</formula1>
    </dataValidation>
    <dataValidation type="list" allowBlank="1" showInputMessage="1" showErrorMessage="1" sqref="QKT917509:QKT917532">
      <formula1>項目!A4:$QKM$917506</formula1>
    </dataValidation>
    <dataValidation type="list" allowBlank="1" showInputMessage="1" showErrorMessage="1" sqref="QUP917509:QUP917532">
      <formula1>項目!A4:$QUI$917506</formula1>
    </dataValidation>
    <dataValidation type="list" allowBlank="1" showInputMessage="1" showErrorMessage="1" sqref="REL917509:REL917532">
      <formula1>項目!A4:$REE$917506</formula1>
    </dataValidation>
    <dataValidation type="list" allowBlank="1" showInputMessage="1" showErrorMessage="1" sqref="ROH917509:ROH917532">
      <formula1>項目!A4:$ROA$917506</formula1>
    </dataValidation>
    <dataValidation type="list" allowBlank="1" showInputMessage="1" showErrorMessage="1" sqref="RYD917509:RYD917532">
      <formula1>項目!A4:$RXW$917506</formula1>
    </dataValidation>
    <dataValidation type="list" allowBlank="1" showInputMessage="1" showErrorMessage="1" sqref="SHZ917509:SHZ917532">
      <formula1>項目!A4:$SHS$917506</formula1>
    </dataValidation>
    <dataValidation type="list" allowBlank="1" showInputMessage="1" showErrorMessage="1" sqref="SRV917509:SRV917532">
      <formula1>項目!A4:$SRO$917506</formula1>
    </dataValidation>
    <dataValidation type="list" allowBlank="1" showInputMessage="1" showErrorMessage="1" sqref="TBR917509:TBR917532">
      <formula1>項目!A4:$TBK$917506</formula1>
    </dataValidation>
    <dataValidation type="list" allowBlank="1" showInputMessage="1" showErrorMessage="1" sqref="TLN917509:TLN917532">
      <formula1>項目!A4:$TLG$917506</formula1>
    </dataValidation>
    <dataValidation type="list" allowBlank="1" showInputMessage="1" showErrorMessage="1" sqref="TVJ917509:TVJ917532">
      <formula1>項目!A4:$TVC$917506</formula1>
    </dataValidation>
    <dataValidation type="list" allowBlank="1" showInputMessage="1" showErrorMessage="1" sqref="UFF917509:UFF917532">
      <formula1>項目!A4:$UEY$917506</formula1>
    </dataValidation>
    <dataValidation type="list" allowBlank="1" showInputMessage="1" showErrorMessage="1" sqref="UPB917509:UPB917532">
      <formula1>項目!A4:$UOU$917506</formula1>
    </dataValidation>
    <dataValidation type="list" allowBlank="1" showInputMessage="1" showErrorMessage="1" sqref="UYX917509:UYX917532">
      <formula1>項目!A4:$UYQ$917506</formula1>
    </dataValidation>
    <dataValidation type="list" allowBlank="1" showInputMessage="1" showErrorMessage="1" sqref="VIT917509:VIT917532">
      <formula1>項目!A4:$VIM$917506</formula1>
    </dataValidation>
    <dataValidation type="list" allowBlank="1" showInputMessage="1" showErrorMessage="1" sqref="VSP917509:VSP917532">
      <formula1>項目!A4:$VSI$917506</formula1>
    </dataValidation>
    <dataValidation type="list" allowBlank="1" showInputMessage="1" showErrorMessage="1" sqref="WCL917509:WCL917532">
      <formula1>項目!A4:$WCE$917506</formula1>
    </dataValidation>
    <dataValidation type="list" allowBlank="1" showInputMessage="1" showErrorMessage="1" sqref="WMH917509:WMH917532">
      <formula1>項目!A4:$WMA$917506</formula1>
    </dataValidation>
    <dataValidation type="list" allowBlank="1" showInputMessage="1" showErrorMessage="1" sqref="WWD917509:WWD917532">
      <formula1>項目!A4:$WVW$917506</formula1>
    </dataValidation>
    <dataValidation type="list" allowBlank="1" showInputMessage="1" showErrorMessage="1" sqref="V983045:V983068">
      <formula1>項目!A4:$O$983042</formula1>
    </dataValidation>
    <dataValidation type="list" allowBlank="1" showInputMessage="1" showErrorMessage="1" sqref="JR983045:JR983068">
      <formula1>項目!A4:$JK$983042</formula1>
    </dataValidation>
    <dataValidation type="list" allowBlank="1" showInputMessage="1" showErrorMessage="1" sqref="TN983045:TN983068">
      <formula1>項目!A4:$TG$983042</formula1>
    </dataValidation>
    <dataValidation type="list" allowBlank="1" showInputMessage="1" showErrorMessage="1" sqref="ADJ983045:ADJ983068">
      <formula1>項目!A4:$ADC$983042</formula1>
    </dataValidation>
    <dataValidation type="list" allowBlank="1" showInputMessage="1" showErrorMessage="1" sqref="ANF983045:ANF983068">
      <formula1>項目!A4:$AMY$983042</formula1>
    </dataValidation>
    <dataValidation type="list" allowBlank="1" showInputMessage="1" showErrorMessage="1" sqref="AXB983045:AXB983068">
      <formula1>項目!A4:$AWU$983042</formula1>
    </dataValidation>
    <dataValidation type="list" allowBlank="1" showInputMessage="1" showErrorMessage="1" sqref="BGX983045:BGX983068">
      <formula1>項目!A4:$BGQ$983042</formula1>
    </dataValidation>
    <dataValidation type="list" allowBlank="1" showInputMessage="1" showErrorMessage="1" sqref="BQT983045:BQT983068">
      <formula1>項目!A4:$BQM$983042</formula1>
    </dataValidation>
    <dataValidation type="list" allowBlank="1" showInputMessage="1" showErrorMessage="1" sqref="CAP983045:CAP983068">
      <formula1>項目!A4:$CAI$983042</formula1>
    </dataValidation>
    <dataValidation type="list" allowBlank="1" showInputMessage="1" showErrorMessage="1" sqref="CKL983045:CKL983068">
      <formula1>項目!A4:$CKE$983042</formula1>
    </dataValidation>
    <dataValidation type="list" allowBlank="1" showInputMessage="1" showErrorMessage="1" sqref="CUH983045:CUH983068">
      <formula1>項目!A4:$CUA$983042</formula1>
    </dataValidation>
    <dataValidation type="list" allowBlank="1" showInputMessage="1" showErrorMessage="1" sqref="DED983045:DED983068">
      <formula1>項目!A4:$DDW$983042</formula1>
    </dataValidation>
    <dataValidation type="list" allowBlank="1" showInputMessage="1" showErrorMessage="1" sqref="DNZ983045:DNZ983068">
      <formula1>項目!A4:$DNS$983042</formula1>
    </dataValidation>
    <dataValidation type="list" allowBlank="1" showInputMessage="1" showErrorMessage="1" sqref="DXV983045:DXV983068">
      <formula1>項目!A4:$DXO$983042</formula1>
    </dataValidation>
    <dataValidation type="list" allowBlank="1" showInputMessage="1" showErrorMessage="1" sqref="EHR983045:EHR983068">
      <formula1>項目!A4:$EHK$983042</formula1>
    </dataValidation>
    <dataValidation type="list" allowBlank="1" showInputMessage="1" showErrorMessage="1" sqref="ERN983045:ERN983068">
      <formula1>項目!A4:$ERG$983042</formula1>
    </dataValidation>
    <dataValidation type="list" allowBlank="1" showInputMessage="1" showErrorMessage="1" sqref="FBJ983045:FBJ983068">
      <formula1>項目!A4:$FBC$983042</formula1>
    </dataValidation>
    <dataValidation type="list" allowBlank="1" showInputMessage="1" showErrorMessage="1" sqref="FLF983045:FLF983068">
      <formula1>項目!A4:$FKY$983042</formula1>
    </dataValidation>
    <dataValidation type="list" allowBlank="1" showInputMessage="1" showErrorMessage="1" sqref="FVB983045:FVB983068">
      <formula1>項目!A4:$FUU$983042</formula1>
    </dataValidation>
    <dataValidation type="list" allowBlank="1" showInputMessage="1" showErrorMessage="1" sqref="GEX983045:GEX983068">
      <formula1>項目!A4:$GEQ$983042</formula1>
    </dataValidation>
    <dataValidation type="list" allowBlank="1" showInputMessage="1" showErrorMessage="1" sqref="GOT983045:GOT983068">
      <formula1>項目!A4:$GOM$983042</formula1>
    </dataValidation>
    <dataValidation type="list" allowBlank="1" showInputMessage="1" showErrorMessage="1" sqref="GYP983045:GYP983068">
      <formula1>項目!A4:$GYI$983042</formula1>
    </dataValidation>
    <dataValidation type="list" allowBlank="1" showInputMessage="1" showErrorMessage="1" sqref="HIL983045:HIL983068">
      <formula1>項目!A4:$HIE$983042</formula1>
    </dataValidation>
    <dataValidation type="list" allowBlank="1" showInputMessage="1" showErrorMessage="1" sqref="HSH983045:HSH983068">
      <formula1>項目!A4:$HSA$983042</formula1>
    </dataValidation>
    <dataValidation type="list" allowBlank="1" showInputMessage="1" showErrorMessage="1" sqref="ICD983045:ICD983068">
      <formula1>項目!A4:$IBW$983042</formula1>
    </dataValidation>
    <dataValidation type="list" allowBlank="1" showInputMessage="1" showErrorMessage="1" sqref="ILZ983045:ILZ983068">
      <formula1>項目!A4:$ILS$983042</formula1>
    </dataValidation>
    <dataValidation type="list" allowBlank="1" showInputMessage="1" showErrorMessage="1" sqref="IVV983045:IVV983068">
      <formula1>項目!A4:$IVO$983042</formula1>
    </dataValidation>
    <dataValidation type="list" allowBlank="1" showInputMessage="1" showErrorMessage="1" sqref="JFR983045:JFR983068">
      <formula1>項目!A4:$JFK$983042</formula1>
    </dataValidation>
    <dataValidation type="list" allowBlank="1" showInputMessage="1" showErrorMessage="1" sqref="JPN983045:JPN983068">
      <formula1>項目!A4:$JPG$983042</formula1>
    </dataValidation>
    <dataValidation type="list" allowBlank="1" showInputMessage="1" showErrorMessage="1" sqref="JZJ983045:JZJ983068">
      <formula1>項目!A4:$JZC$983042</formula1>
    </dataValidation>
    <dataValidation type="list" allowBlank="1" showInputMessage="1" showErrorMessage="1" sqref="KJF983045:KJF983068">
      <formula1>項目!A4:$KIY$983042</formula1>
    </dataValidation>
    <dataValidation type="list" allowBlank="1" showInputMessage="1" showErrorMessage="1" sqref="KTB983045:KTB983068">
      <formula1>項目!A4:$KSU$983042</formula1>
    </dataValidation>
    <dataValidation type="list" allowBlank="1" showInputMessage="1" showErrorMessage="1" sqref="LCX983045:LCX983068">
      <formula1>項目!A4:$LCQ$983042</formula1>
    </dataValidation>
    <dataValidation type="list" allowBlank="1" showInputMessage="1" showErrorMessage="1" sqref="LMT983045:LMT983068">
      <formula1>項目!A4:$LMM$983042</formula1>
    </dataValidation>
    <dataValidation type="list" allowBlank="1" showInputMessage="1" showErrorMessage="1" sqref="LWP983045:LWP983068">
      <formula1>項目!A4:$LWI$983042</formula1>
    </dataValidation>
    <dataValidation type="list" allowBlank="1" showInputMessage="1" showErrorMessage="1" sqref="MGL983045:MGL983068">
      <formula1>項目!A4:$MGE$983042</formula1>
    </dataValidation>
    <dataValidation type="list" allowBlank="1" showInputMessage="1" showErrorMessage="1" sqref="MQH983045:MQH983068">
      <formula1>項目!A4:$MQA$983042</formula1>
    </dataValidation>
    <dataValidation type="list" allowBlank="1" showInputMessage="1" showErrorMessage="1" sqref="NAD983045:NAD983068">
      <formula1>項目!A4:$MZW$983042</formula1>
    </dataValidation>
    <dataValidation type="list" allowBlank="1" showInputMessage="1" showErrorMessage="1" sqref="NJZ983045:NJZ983068">
      <formula1>項目!A4:$NJS$983042</formula1>
    </dataValidation>
    <dataValidation type="list" allowBlank="1" showInputMessage="1" showErrorMessage="1" sqref="NTV983045:NTV983068">
      <formula1>項目!A4:$NTO$983042</formula1>
    </dataValidation>
    <dataValidation type="list" allowBlank="1" showInputMessage="1" showErrorMessage="1" sqref="ODR983045:ODR983068">
      <formula1>項目!A4:$ODK$983042</formula1>
    </dataValidation>
    <dataValidation type="list" allowBlank="1" showInputMessage="1" showErrorMessage="1" sqref="ONN983045:ONN983068">
      <formula1>項目!A4:$ONG$983042</formula1>
    </dataValidation>
    <dataValidation type="list" allowBlank="1" showInputMessage="1" showErrorMessage="1" sqref="OXJ983045:OXJ983068">
      <formula1>項目!A4:$OXC$983042</formula1>
    </dataValidation>
    <dataValidation type="list" allowBlank="1" showInputMessage="1" showErrorMessage="1" sqref="PHF983045:PHF983068">
      <formula1>項目!A4:$PGY$983042</formula1>
    </dataValidation>
    <dataValidation type="list" allowBlank="1" showInputMessage="1" showErrorMessage="1" sqref="PRB983045:PRB983068">
      <formula1>項目!A4:$PQU$983042</formula1>
    </dataValidation>
    <dataValidation type="list" allowBlank="1" showInputMessage="1" showErrorMessage="1" sqref="QAX983045:QAX983068">
      <formula1>項目!A4:$QAQ$983042</formula1>
    </dataValidation>
    <dataValidation type="list" allowBlank="1" showInputMessage="1" showErrorMessage="1" sqref="QKT983045:QKT983068">
      <formula1>項目!A4:$QKM$983042</formula1>
    </dataValidation>
    <dataValidation type="list" allowBlank="1" showInputMessage="1" showErrorMessage="1" sqref="QUP983045:QUP983068">
      <formula1>項目!A4:$QUI$983042</formula1>
    </dataValidation>
    <dataValidation type="list" allowBlank="1" showInputMessage="1" showErrorMessage="1" sqref="REL983045:REL983068">
      <formula1>項目!A4:$REE$983042</formula1>
    </dataValidation>
    <dataValidation type="list" allowBlank="1" showInputMessage="1" showErrorMessage="1" sqref="ROH983045:ROH983068">
      <formula1>項目!A4:$ROA$983042</formula1>
    </dataValidation>
    <dataValidation type="list" allowBlank="1" showInputMessage="1" showErrorMessage="1" sqref="RYD983045:RYD983068">
      <formula1>項目!A4:$RXW$983042</formula1>
    </dataValidation>
    <dataValidation type="list" allowBlank="1" showInputMessage="1" showErrorMessage="1" sqref="SHZ983045:SHZ983068">
      <formula1>項目!A4:$SHS$983042</formula1>
    </dataValidation>
    <dataValidation type="list" allowBlank="1" showInputMessage="1" showErrorMessage="1" sqref="SRV983045:SRV983068">
      <formula1>項目!A4:$SRO$983042</formula1>
    </dataValidation>
    <dataValidation type="list" allowBlank="1" showInputMessage="1" showErrorMessage="1" sqref="TBR983045:TBR983068">
      <formula1>項目!A4:$TBK$983042</formula1>
    </dataValidation>
    <dataValidation type="list" allowBlank="1" showInputMessage="1" showErrorMessage="1" sqref="TLN983045:TLN983068">
      <formula1>項目!A4:$TLG$983042</formula1>
    </dataValidation>
    <dataValidation type="list" allowBlank="1" showInputMessage="1" showErrorMessage="1" sqref="TVJ983045:TVJ983068">
      <formula1>項目!A4:$TVC$983042</formula1>
    </dataValidation>
    <dataValidation type="list" allowBlank="1" showInputMessage="1" showErrorMessage="1" sqref="UFF983045:UFF983068">
      <formula1>項目!A4:$UEY$983042</formula1>
    </dataValidation>
    <dataValidation type="list" allowBlank="1" showInputMessage="1" showErrorMessage="1" sqref="UPB983045:UPB983068">
      <formula1>項目!A4:$UOU$983042</formula1>
    </dataValidation>
    <dataValidation type="list" allowBlank="1" showInputMessage="1" showErrorMessage="1" sqref="UYX983045:UYX983068">
      <formula1>項目!A4:$UYQ$983042</formula1>
    </dataValidation>
    <dataValidation type="list" allowBlank="1" showInputMessage="1" showErrorMessage="1" sqref="VIT983045:VIT983068">
      <formula1>項目!A4:$VIM$983042</formula1>
    </dataValidation>
    <dataValidation type="list" allowBlank="1" showInputMessage="1" showErrorMessage="1" sqref="VSP983045:VSP983068">
      <formula1>項目!A4:$VSI$983042</formula1>
    </dataValidation>
    <dataValidation type="list" allowBlank="1" showInputMessage="1" showErrorMessage="1" sqref="WCL983045:WCL983068">
      <formula1>項目!A4:$WCE$983042</formula1>
    </dataValidation>
    <dataValidation type="list" allowBlank="1" showInputMessage="1" showErrorMessage="1" sqref="WMH983045:WMH983068">
      <formula1>項目!A4:$WMA$983042</formula1>
    </dataValidation>
    <dataValidation type="list" allowBlank="1" showInputMessage="1" showErrorMessage="1" sqref="WWD983045:WWD983068">
      <formula1>項目!A4:$WVW$983042</formula1>
    </dataValidation>
    <dataValidation type="list" allowBlank="1" showInputMessage="1" showErrorMessage="1" sqref="R29:S29 WWD983069:WWE983069 WMH983069:WMI983069 WCL983069:WCM983069 VSP983069:VSQ983069 VIT983069:VIU983069 UYX983069:UYY983069 UPB983069:UPC983069 UFF983069:UFG983069 TVJ983069:TVK983069 TLN983069:TLO983069 TBR983069:TBS983069 SRV983069:SRW983069 SHZ983069:SIA983069 RYD983069:RYE983069 ROH983069:ROI983069 REL983069:REM983069 QUP983069:QUQ983069 QKT983069:QKU983069 QAX983069:QAY983069 PRB983069:PRC983069 PHF983069:PHG983069 OXJ983069:OXK983069 ONN983069:ONO983069 ODR983069:ODS983069 NTV983069:NTW983069 NJZ983069:NKA983069 NAD983069:NAE983069 MQH983069:MQI983069 MGL983069:MGM983069 LWP983069:LWQ983069 LMT983069:LMU983069 LCX983069:LCY983069 KTB983069:KTC983069 KJF983069:KJG983069 JZJ983069:JZK983069 JPN983069:JPO983069 JFR983069:JFS983069 IVV983069:IVW983069 ILZ983069:IMA983069 ICD983069:ICE983069 HSH983069:HSI983069 HIL983069:HIM983069 GYP983069:GYQ983069 GOT983069:GOU983069 GEX983069:GEY983069 FVB983069:FVC983069 FLF983069:FLG983069 FBJ983069:FBK983069 ERN983069:ERO983069 EHR983069:EHS983069 DXV983069:DXW983069 DNZ983069:DOA983069 DED983069:DEE983069 CUH983069:CUI983069 CKL983069:CKM983069 CAP983069:CAQ983069 BQT983069:BQU983069 BGX983069:BGY983069 AXB983069:AXC983069 ANF983069:ANG983069 ADJ983069:ADK983069 TN983069:TO983069 JR983069:JS983069 V983069:W983069 WWD917533:WWE917533 WMH917533:WMI917533 WCL917533:WCM917533 VSP917533:VSQ917533 VIT917533:VIU917533 UYX917533:UYY917533 UPB917533:UPC917533 UFF917533:UFG917533 TVJ917533:TVK917533 TLN917533:TLO917533 TBR917533:TBS917533 SRV917533:SRW917533 SHZ917533:SIA917533 RYD917533:RYE917533 ROH917533:ROI917533 REL917533:REM917533 QUP917533:QUQ917533 QKT917533:QKU917533 QAX917533:QAY917533 PRB917533:PRC917533 PHF917533:PHG917533 OXJ917533:OXK917533 ONN917533:ONO917533 ODR917533:ODS917533 NTV917533:NTW917533 NJZ917533:NKA917533 NAD917533:NAE917533 MQH917533:MQI917533 MGL917533:MGM917533 LWP917533:LWQ917533 LMT917533:LMU917533 LCX917533:LCY917533 KTB917533:KTC917533 KJF917533:KJG917533 JZJ917533:JZK917533">
      <formula1>#REF!</formula1>
    </dataValidation>
    <dataValidation type="list" allowBlank="1" showInputMessage="1" showErrorMessage="1" sqref="JPN917533:JPO917533 JFR917533:JFS917533 IVV917533:IVW917533 ILZ917533:IMA917533 ICD917533:ICE917533 HSH917533:HSI917533 HIL917533:HIM917533 GYP917533:GYQ917533 GOT917533:GOU917533 GEX917533:GEY917533 FVB917533:FVC917533 FLF917533:FLG917533 FBJ917533:FBK917533 ERN917533:ERO917533 EHR917533:EHS917533 DXV917533:DXW917533 DNZ917533:DOA917533 DED917533:DEE917533 CUH917533:CUI917533 CKL917533:CKM917533 CAP917533:CAQ917533 BQT917533:BQU917533 BGX917533:BGY917533 AXB917533:AXC917533 ANF917533:ANG917533 ADJ917533:ADK917533 TN917533:TO917533 JR917533:JS917533 V917533:W917533 WWD851997:WWE851997 WMH851997:WMI851997 WCL851997:WCM851997 VSP851997:VSQ851997 VIT851997:VIU851997 UYX851997:UYY851997 UPB851997:UPC851997 UFF851997:UFG851997 TVJ851997:TVK851997 TLN851997:TLO851997 TBR851997:TBS851997 SRV851997:SRW851997 SHZ851997:SIA851997 RYD851997:RYE851997 ROH851997:ROI851997 REL851997:REM851997 QUP851997:QUQ851997 QKT851997:QKU851997 QAX851997:QAY851997 PRB851997:PRC851997 PHF851997:PHG851997 OXJ851997:OXK851997 ONN851997:ONO851997 ODR851997:ODS851997 NTV851997:NTW851997 NJZ851997:NKA851997 NAD851997:NAE851997 MQH851997:MQI851997 MGL851997:MGM851997 LWP851997:LWQ851997 LMT851997:LMU851997 LCX851997:LCY851997 KTB851997:KTC851997 KJF851997:KJG851997 JZJ851997:JZK851997 JPN851997:JPO851997 JFR851997:JFS851997 IVV851997:IVW851997 ILZ851997:IMA851997 ICD851997:ICE851997 HSH851997:HSI851997 HIL851997:HIM851997 GYP851997:GYQ851997 GOT851997:GOU851997 GEX851997:GEY851997 FVB851997:FVC851997 FLF851997:FLG851997 FBJ851997:FBK851997 ERN851997:ERO851997 EHR851997:EHS851997 DXV851997:DXW851997 DNZ851997:DOA851997 DED851997:DEE851997 CUH851997:CUI851997 CKL851997:CKM851997 CAP851997:CAQ851997 BQT851997:BQU851997 BGX851997:BGY851997 AXB851997:AXC851997 ANF851997:ANG851997 ADJ851997:ADK851997 TN851997:TO851997 JR851997:JS851997 V851997:W851997 WWD786461:WWE786461 WMH786461:WMI786461 WCL786461:WCM786461 VSP786461:VSQ786461 VIT786461:VIU786461 UYX786461:UYY786461 UPB786461:UPC786461">
      <formula1>#REF!</formula1>
    </dataValidation>
    <dataValidation type="list" allowBlank="1" showInputMessage="1" showErrorMessage="1" sqref="UFF786461:UFG786461 TVJ786461:TVK786461 TLN786461:TLO786461 TBR786461:TBS786461 SRV786461:SRW786461 SHZ786461:SIA786461 RYD786461:RYE786461 ROH786461:ROI786461 REL786461:REM786461 QUP786461:QUQ786461 QKT786461:QKU786461 QAX786461:QAY786461 PRB786461:PRC786461 PHF786461:PHG786461 OXJ786461:OXK786461 ONN786461:ONO786461 ODR786461:ODS786461 NTV786461:NTW786461 NJZ786461:NKA786461 NAD786461:NAE786461 MQH786461:MQI786461 MGL786461:MGM786461 LWP786461:LWQ786461 LMT786461:LMU786461 LCX786461:LCY786461 KTB786461:KTC786461 KJF786461:KJG786461 JZJ786461:JZK786461 JPN786461:JPO786461 JFR786461:JFS786461 IVV786461:IVW786461 ILZ786461:IMA786461 ICD786461:ICE786461 HSH786461:HSI786461 HIL786461:HIM786461 GYP786461:GYQ786461 GOT786461:GOU786461 GEX786461:GEY786461 FVB786461:FVC786461 FLF786461:FLG786461 FBJ786461:FBK786461 ERN786461:ERO786461 EHR786461:EHS786461 DXV786461:DXW786461 DNZ786461:DOA786461 DED786461:DEE786461 CUH786461:CUI786461 CKL786461:CKM786461 CAP786461:CAQ786461 BQT786461:BQU786461 BGX786461:BGY786461 AXB786461:AXC786461 ANF786461:ANG786461 ADJ786461:ADK786461 TN786461:TO786461 JR786461:JS786461 V786461:W786461 WWD720925:WWE720925 WMH720925:WMI720925 WCL720925:WCM720925 VSP720925:VSQ720925 VIT720925:VIU720925 UYX720925:UYY720925 UPB720925:UPC720925 UFF720925:UFG720925 TVJ720925:TVK720925 TLN720925:TLO720925 TBR720925:TBS720925 SRV720925:SRW720925 SHZ720925:SIA720925 RYD720925:RYE720925 ROH720925:ROI720925 REL720925:REM720925 QUP720925:QUQ720925 QKT720925:QKU720925 QAX720925:QAY720925 PRB720925:PRC720925 PHF720925:PHG720925 OXJ720925:OXK720925 ONN720925:ONO720925 ODR720925:ODS720925 NTV720925:NTW720925 NJZ720925:NKA720925 NAD720925:NAE720925 MQH720925:MQI720925 MGL720925:MGM720925 LWP720925:LWQ720925 LMT720925:LMU720925 LCX720925:LCY720925 KTB720925:KTC720925 KJF720925:KJG720925 JZJ720925:JZK720925 JPN720925:JPO720925 JFR720925:JFS720925 IVV720925:IVW720925 ILZ720925:IMA720925 ICD720925:ICE720925 HSH720925:HSI720925 HIL720925:HIM720925 GYP720925:GYQ720925">
      <formula1>#REF!</formula1>
    </dataValidation>
    <dataValidation type="list" allowBlank="1" showInputMessage="1" showErrorMessage="1" sqref="GOT720925:GOU720925 GEX720925:GEY720925 FVB720925:FVC720925 FLF720925:FLG720925 FBJ720925:FBK720925 ERN720925:ERO720925 EHR720925:EHS720925 DXV720925:DXW720925 DNZ720925:DOA720925 DED720925:DEE720925 CUH720925:CUI720925 CKL720925:CKM720925 CAP720925:CAQ720925 BQT720925:BQU720925 BGX720925:BGY720925 AXB720925:AXC720925 ANF720925:ANG720925 ADJ720925:ADK720925 TN720925:TO720925 JR720925:JS720925 V720925:W720925 WWD655389:WWE655389 WMH655389:WMI655389 WCL655389:WCM655389 VSP655389:VSQ655389 VIT655389:VIU655389 UYX655389:UYY655389 UPB655389:UPC655389 UFF655389:UFG655389 TVJ655389:TVK655389 TLN655389:TLO655389 TBR655389:TBS655389 SRV655389:SRW655389 SHZ655389:SIA655389 RYD655389:RYE655389 ROH655389:ROI655389 REL655389:REM655389 QUP655389:QUQ655389 QKT655389:QKU655389 QAX655389:QAY655389 PRB655389:PRC655389 PHF655389:PHG655389 OXJ655389:OXK655389 ONN655389:ONO655389 ODR655389:ODS655389 NTV655389:NTW655389 NJZ655389:NKA655389 NAD655389:NAE655389 MQH655389:MQI655389 MGL655389:MGM655389 LWP655389:LWQ655389 LMT655389:LMU655389 LCX655389:LCY655389 KTB655389:KTC655389 KJF655389:KJG655389 JZJ655389:JZK655389 JPN655389:JPO655389 JFR655389:JFS655389 IVV655389:IVW655389 ILZ655389:IMA655389 ICD655389:ICE655389 HSH655389:HSI655389 HIL655389:HIM655389 GYP655389:GYQ655389 GOT655389:GOU655389 GEX655389:GEY655389 FVB655389:FVC655389 FLF655389:FLG655389 FBJ655389:FBK655389 ERN655389:ERO655389 EHR655389:EHS655389 DXV655389:DXW655389 DNZ655389:DOA655389 DED655389:DEE655389 CUH655389:CUI655389 CKL655389:CKM655389 CAP655389:CAQ655389 BQT655389:BQU655389 BGX655389:BGY655389 AXB655389:AXC655389 ANF655389:ANG655389 ADJ655389:ADK655389 TN655389:TO655389 JR655389:JS655389 V655389:W655389 WWD589853:WWE589853 WMH589853:WMI589853 WCL589853:WCM589853 VSP589853:VSQ589853 VIT589853:VIU589853 UYX589853:UYY589853 UPB589853:UPC589853 UFF589853:UFG589853 TVJ589853:TVK589853 TLN589853:TLO589853 TBR589853:TBS589853 SRV589853:SRW589853 SHZ589853:SIA589853 RYD589853:RYE589853 ROH589853:ROI589853">
      <formula1>#REF!</formula1>
    </dataValidation>
    <dataValidation type="list" allowBlank="1" showInputMessage="1" showErrorMessage="1" sqref="REL589853:REM589853 QUP589853:QUQ589853 QKT589853:QKU589853 QAX589853:QAY589853 PRB589853:PRC589853 PHF589853:PHG589853 OXJ589853:OXK589853 ONN589853:ONO589853 ODR589853:ODS589853 NTV589853:NTW589853 NJZ589853:NKA589853 NAD589853:NAE589853 MQH589853:MQI589853 MGL589853:MGM589853 LWP589853:LWQ589853 LMT589853:LMU589853 LCX589853:LCY589853 KTB589853:KTC589853 KJF589853:KJG589853 JZJ589853:JZK589853 JPN589853:JPO589853 JFR589853:JFS589853 IVV589853:IVW589853 ILZ589853:IMA589853 ICD589853:ICE589853 HSH589853:HSI589853 HIL589853:HIM589853 GYP589853:GYQ589853 GOT589853:GOU589853 GEX589853:GEY589853 FVB589853:FVC589853 FLF589853:FLG589853 FBJ589853:FBK589853 ERN589853:ERO589853 EHR589853:EHS589853 DXV589853:DXW589853 DNZ589853:DOA589853 DED589853:DEE589853 CUH589853:CUI589853 CKL589853:CKM589853 CAP589853:CAQ589853 BQT589853:BQU589853 BGX589853:BGY589853 AXB589853:AXC589853 ANF589853:ANG589853 ADJ589853:ADK589853 TN589853:TO589853 JR589853:JS589853 V589853:W589853 WWD524317:WWE524317 WMH524317:WMI524317 WCL524317:WCM524317 VSP524317:VSQ524317 VIT524317:VIU524317 UYX524317:UYY524317 UPB524317:UPC524317 UFF524317:UFG524317 TVJ524317:TVK524317 TLN524317:TLO524317 TBR524317:TBS524317 SRV524317:SRW524317 SHZ524317:SIA524317 RYD524317:RYE524317 ROH524317:ROI524317 REL524317:REM524317 QUP524317:QUQ524317 QKT524317:QKU524317 QAX524317:QAY524317 PRB524317:PRC524317 PHF524317:PHG524317 OXJ524317:OXK524317 ONN524317:ONO524317 ODR524317:ODS524317 NTV524317:NTW524317 NJZ524317:NKA524317 NAD524317:NAE524317 MQH524317:MQI524317 MGL524317:MGM524317 LWP524317:LWQ524317 LMT524317:LMU524317 LCX524317:LCY524317 KTB524317:KTC524317 KJF524317:KJG524317 JZJ524317:JZK524317 JPN524317:JPO524317 JFR524317:JFS524317 IVV524317:IVW524317 ILZ524317:IMA524317 ICD524317:ICE524317 HSH524317:HSI524317 HIL524317:HIM524317 GYP524317:GYQ524317 GOT524317:GOU524317 GEX524317:GEY524317 FVB524317:FVC524317 FLF524317:FLG524317 FBJ524317:FBK524317 ERN524317:ERO524317 EHR524317:EHS524317 DXV524317:DXW524317">
      <formula1>#REF!</formula1>
    </dataValidation>
    <dataValidation type="list" allowBlank="1" showInputMessage="1" showErrorMessage="1" sqref="DNZ524317:DOA524317 DED524317:DEE524317 CUH524317:CUI524317 CKL524317:CKM524317 CAP524317:CAQ524317 BQT524317:BQU524317 BGX524317:BGY524317 AXB524317:AXC524317 ANF524317:ANG524317 ADJ524317:ADK524317 TN524317:TO524317 JR524317:JS524317 V524317:W524317 WWD458781:WWE458781 WMH458781:WMI458781 WCL458781:WCM458781 VSP458781:VSQ458781 VIT458781:VIU458781 UYX458781:UYY458781 UPB458781:UPC458781 UFF458781:UFG458781 TVJ458781:TVK458781 TLN458781:TLO458781 TBR458781:TBS458781 SRV458781:SRW458781 SHZ458781:SIA458781 RYD458781:RYE458781 ROH458781:ROI458781 REL458781:REM458781 QUP458781:QUQ458781 QKT458781:QKU458781 QAX458781:QAY458781 PRB458781:PRC458781 PHF458781:PHG458781 OXJ458781:OXK458781 ONN458781:ONO458781 ODR458781:ODS458781 NTV458781:NTW458781 NJZ458781:NKA458781 NAD458781:NAE458781 MQH458781:MQI458781 MGL458781:MGM458781 LWP458781:LWQ458781 LMT458781:LMU458781 LCX458781:LCY458781 KTB458781:KTC458781 KJF458781:KJG458781 JZJ458781:JZK458781 JPN458781:JPO458781 JFR458781:JFS458781 IVV458781:IVW458781 ILZ458781:IMA458781 ICD458781:ICE458781 HSH458781:HSI458781 HIL458781:HIM458781 GYP458781:GYQ458781 GOT458781:GOU458781 GEX458781:GEY458781 FVB458781:FVC458781 FLF458781:FLG458781 FBJ458781:FBK458781 ERN458781:ERO458781 EHR458781:EHS458781 DXV458781:DXW458781 DNZ458781:DOA458781 DED458781:DEE458781 CUH458781:CUI458781 CKL458781:CKM458781 CAP458781:CAQ458781 BQT458781:BQU458781 BGX458781:BGY458781 AXB458781:AXC458781 ANF458781:ANG458781 ADJ458781:ADK458781 TN458781:TO458781 JR458781:JS458781 V458781:W458781 WWD393245:WWE393245 WMH393245:WMI393245 WCL393245:WCM393245 VSP393245:VSQ393245 VIT393245:VIU393245 UYX393245:UYY393245 UPB393245:UPC393245 UFF393245:UFG393245 TVJ393245:TVK393245 TLN393245:TLO393245 TBR393245:TBS393245 SRV393245:SRW393245 SHZ393245:SIA393245 RYD393245:RYE393245 ROH393245:ROI393245 REL393245:REM393245 QUP393245:QUQ393245 QKT393245:QKU393245 QAX393245:QAY393245 PRB393245:PRC393245 PHF393245:PHG393245 OXJ393245:OXK393245 ONN393245:ONO393245">
      <formula1>#REF!</formula1>
    </dataValidation>
    <dataValidation type="list" allowBlank="1" showInputMessage="1" showErrorMessage="1" sqref="ODR393245:ODS393245 NTV393245:NTW393245 NJZ393245:NKA393245 NAD393245:NAE393245 MQH393245:MQI393245 MGL393245:MGM393245 LWP393245:LWQ393245 LMT393245:LMU393245 LCX393245:LCY393245 KTB393245:KTC393245 KJF393245:KJG393245 JZJ393245:JZK393245 JPN393245:JPO393245 JFR393245:JFS393245 IVV393245:IVW393245 ILZ393245:IMA393245 ICD393245:ICE393245 HSH393245:HSI393245 HIL393245:HIM393245 GYP393245:GYQ393245 GOT393245:GOU393245 GEX393245:GEY393245 FVB393245:FVC393245 FLF393245:FLG393245 FBJ393245:FBK393245 ERN393245:ERO393245 EHR393245:EHS393245 DXV393245:DXW393245 DNZ393245:DOA393245 DED393245:DEE393245 CUH393245:CUI393245 CKL393245:CKM393245 CAP393245:CAQ393245 BQT393245:BQU393245 BGX393245:BGY393245 AXB393245:AXC393245 ANF393245:ANG393245 ADJ393245:ADK393245 TN393245:TO393245 JR393245:JS393245 V393245:W393245 WWD327709:WWE327709 WMH327709:WMI327709 WCL327709:WCM327709 VSP327709:VSQ327709 VIT327709:VIU327709 UYX327709:UYY327709 UPB327709:UPC327709 UFF327709:UFG327709 TVJ327709:TVK327709 TLN327709:TLO327709 TBR327709:TBS327709 SRV327709:SRW327709 SHZ327709:SIA327709 RYD327709:RYE327709 ROH327709:ROI327709 REL327709:REM327709 QUP327709:QUQ327709 QKT327709:QKU327709 QAX327709:QAY327709 PRB327709:PRC327709 PHF327709:PHG327709 OXJ327709:OXK327709 ONN327709:ONO327709 ODR327709:ODS327709 NTV327709:NTW327709 NJZ327709:NKA327709 NAD327709:NAE327709 MQH327709:MQI327709 MGL327709:MGM327709 LWP327709:LWQ327709 LMT327709:LMU327709 LCX327709:LCY327709 KTB327709:KTC327709 KJF327709:KJG327709 JZJ327709:JZK327709 JPN327709:JPO327709 JFR327709:JFS327709 IVV327709:IVW327709 ILZ327709:IMA327709 ICD327709:ICE327709 HSH327709:HSI327709 HIL327709:HIM327709 GYP327709:GYQ327709 GOT327709:GOU327709 GEX327709:GEY327709 FVB327709:FVC327709 FLF327709:FLG327709 FBJ327709:FBK327709 ERN327709:ERO327709 EHR327709:EHS327709 DXV327709:DXW327709 DNZ327709:DOA327709 DED327709:DEE327709 CUH327709:CUI327709 CKL327709:CKM327709 CAP327709:CAQ327709 BQT327709:BQU327709 BGX327709:BGY327709 AXB327709:AXC327709">
      <formula1>#REF!</formula1>
    </dataValidation>
    <dataValidation type="list" allowBlank="1" showInputMessage="1" showErrorMessage="1" sqref="ANF327709:ANG327709 ADJ327709:ADK327709 TN327709:TO327709 JR327709:JS327709 V327709:W327709 WWD262173:WWE262173 WMH262173:WMI262173 WCL262173:WCM262173 VSP262173:VSQ262173 VIT262173:VIU262173 UYX262173:UYY262173 UPB262173:UPC262173 UFF262173:UFG262173 TVJ262173:TVK262173 TLN262173:TLO262173 TBR262173:TBS262173 SRV262173:SRW262173 SHZ262173:SIA262173 RYD262173:RYE262173 ROH262173:ROI262173 REL262173:REM262173 QUP262173:QUQ262173 QKT262173:QKU262173 QAX262173:QAY262173 PRB262173:PRC262173 PHF262173:PHG262173 OXJ262173:OXK262173 ONN262173:ONO262173 ODR262173:ODS262173 NTV262173:NTW262173 NJZ262173:NKA262173 NAD262173:NAE262173 MQH262173:MQI262173 MGL262173:MGM262173 LWP262173:LWQ262173 LMT262173:LMU262173 LCX262173:LCY262173 KTB262173:KTC262173 KJF262173:KJG262173 JZJ262173:JZK262173 JPN262173:JPO262173 JFR262173:JFS262173 IVV262173:IVW262173 ILZ262173:IMA262173 ICD262173:ICE262173 HSH262173:HSI262173 HIL262173:HIM262173 GYP262173:GYQ262173 GOT262173:GOU262173 GEX262173:GEY262173 FVB262173:FVC262173 FLF262173:FLG262173 FBJ262173:FBK262173 ERN262173:ERO262173 EHR262173:EHS262173 DXV262173:DXW262173 DNZ262173:DOA262173 DED262173:DEE262173 CUH262173:CUI262173 CKL262173:CKM262173 CAP262173:CAQ262173 BQT262173:BQU262173 BGX262173:BGY262173 AXB262173:AXC262173 ANF262173:ANG262173 ADJ262173:ADK262173 TN262173:TO262173 JR262173:JS262173 V262173:W262173 WWD196637:WWE196637 WMH196637:WMI196637 WCL196637:WCM196637 VSP196637:VSQ196637 VIT196637:VIU196637 UYX196637:UYY196637 UPB196637:UPC196637 UFF196637:UFG196637 TVJ196637:TVK196637 TLN196637:TLO196637 TBR196637:TBS196637 SRV196637:SRW196637 SHZ196637:SIA196637 RYD196637:RYE196637 ROH196637:ROI196637 REL196637:REM196637 QUP196637:QUQ196637 QKT196637:QKU196637 QAX196637:QAY196637 PRB196637:PRC196637 PHF196637:PHG196637 OXJ196637:OXK196637 ONN196637:ONO196637 ODR196637:ODS196637 NTV196637:NTW196637 NJZ196637:NKA196637 NAD196637:NAE196637 MQH196637:MQI196637 MGL196637:MGM196637 LWP196637:LWQ196637 LMT196637:LMU196637">
      <formula1>#REF!</formula1>
    </dataValidation>
    <dataValidation type="list" allowBlank="1" showInputMessage="1" showErrorMessage="1" sqref="LCX196637:LCY196637 KTB196637:KTC196637 KJF196637:KJG196637 JZJ196637:JZK196637 JPN196637:JPO196637 JFR196637:JFS196637 IVV196637:IVW196637 ILZ196637:IMA196637 ICD196637:ICE196637 HSH196637:HSI196637 HIL196637:HIM196637 GYP196637:GYQ196637 GOT196637:GOU196637 GEX196637:GEY196637 FVB196637:FVC196637 FLF196637:FLG196637 FBJ196637:FBK196637 ERN196637:ERO196637 EHR196637:EHS196637 DXV196637:DXW196637 DNZ196637:DOA196637 DED196637:DEE196637 CUH196637:CUI196637 CKL196637:CKM196637 CAP196637:CAQ196637 BQT196637:BQU196637 BGX196637:BGY196637 AXB196637:AXC196637 ANF196637:ANG196637 ADJ196637:ADK196637 TN196637:TO196637 JR196637:JS196637 V196637:W196637 WWD131101:WWE131101 WMH131101:WMI131101 WCL131101:WCM131101 VSP131101:VSQ131101 VIT131101:VIU131101 UYX131101:UYY131101 UPB131101:UPC131101 UFF131101:UFG131101 TVJ131101:TVK131101 TLN131101:TLO131101 TBR131101:TBS131101 SRV131101:SRW131101 SHZ131101:SIA131101 RYD131101:RYE131101 ROH131101:ROI131101 REL131101:REM131101 QUP131101:QUQ131101 QKT131101:QKU131101 QAX131101:QAY131101 PRB131101:PRC131101 PHF131101:PHG131101 OXJ131101:OXK131101 ONN131101:ONO131101 ODR131101:ODS131101 NTV131101:NTW131101 NJZ131101:NKA131101 NAD131101:NAE131101 MQH131101:MQI131101 MGL131101:MGM131101 LWP131101:LWQ131101 LMT131101:LMU131101 LCX131101:LCY131101 KTB131101:KTC131101 KJF131101:KJG131101 JZJ131101:JZK131101 JPN131101:JPO131101 JFR131101:JFS131101 IVV131101:IVW131101 ILZ131101:IMA131101 ICD131101:ICE131101 HSH131101:HSI131101 HIL131101:HIM131101 GYP131101:GYQ131101 GOT131101:GOU131101 GEX131101:GEY131101 FVB131101:FVC131101 FLF131101:FLG131101 FBJ131101:FBK131101 ERN131101:ERO131101 EHR131101:EHS131101 DXV131101:DXW131101 DNZ131101:DOA131101 DED131101:DEE131101 CUH131101:CUI131101 CKL131101:CKM131101 CAP131101:CAQ131101 BQT131101:BQU131101 BGX131101:BGY131101 AXB131101:AXC131101 ANF131101:ANG131101 ADJ131101:ADK131101 TN131101:TO131101 JR131101:JS131101 V131101:W131101 WWD65565:WWE65565 WMH65565:WMI65565 WCL65565:WCM65565">
      <formula1>#REF!</formula1>
    </dataValidation>
    <dataValidation type="list" allowBlank="1" showInputMessage="1" showErrorMessage="1" sqref="VSP65565:VSQ65565 VIT65565:VIU65565 UYX65565:UYY65565 UPB65565:UPC65565 UFF65565:UFG65565 TVJ65565:TVK65565 TLN65565:TLO65565 TBR65565:TBS65565 SRV65565:SRW65565 SHZ65565:SIA65565 RYD65565:RYE65565 ROH65565:ROI65565 REL65565:REM65565 QUP65565:QUQ65565 QKT65565:QKU65565 QAX65565:QAY65565 PRB65565:PRC65565 PHF65565:PHG65565 OXJ65565:OXK65565 ONN65565:ONO65565 ODR65565:ODS65565 NTV65565:NTW65565 NJZ65565:NKA65565 NAD65565:NAE65565 MQH65565:MQI65565 MGL65565:MGM65565 LWP65565:LWQ65565 LMT65565:LMU65565 LCX65565:LCY65565 KTB65565:KTC65565 KJF65565:KJG65565 JZJ65565:JZK65565 JPN65565:JPO65565 JFR65565:JFS65565 IVV65565:IVW65565 ILZ65565:IMA65565 ICD65565:ICE65565 HSH65565:HSI65565 HIL65565:HIM65565 GYP65565:GYQ65565 GOT65565:GOU65565 GEX65565:GEY65565 FVB65565:FVC65565 FLF65565:FLG65565 FBJ65565:FBK65565 ERN65565:ERO65565 EHR65565:EHS65565 DXV65565:DXW65565 DNZ65565:DOA65565 DED65565:DEE65565 CUH65565:CUI65565 CKL65565:CKM65565 CAP65565:CAQ65565 BQT65565:BQU65565 BGX65565:BGY65565 AXB65565:AXC65565 ANF65565:ANG65565 ADJ65565:ADK65565 TN65565:TO65565 JR65565:JS65565 V65565:W65565 WWD29:WWE29 WMH29:WMI29 WCL29:WCM29 VSP29:VSQ29 VIT29:VIU29 UYX29:UYY29 UPB29:UPC29 UFF29:UFG29 TVJ29:TVK29 TLN29:TLO29 TBR29:TBS29 SRV29:SRW29 SHZ29:SIA29 RYD29:RYE29 ROH29:ROI29 REL29:REM29 QUP29:QUQ29 QKT29:QKU29 QAX29:QAY29 PRB29:PRC29 PHF29:PHG29 OXJ29:OXK29 ONN29:ONO29 ODR29:ODS29 NTV29:NTW29 NJZ29:NKA29 NAD29:NAE29 MQH29:MQI29 MGL29:MGM29 LWP29:LWQ29 LMT29:LMU29 LCX29:LCY29 KTB29:KTC29 KJF29:KJG29 JZJ29:JZK29 JPN29:JPO29 JFR29:JFS29 IVV29:IVW29 ILZ29:IMA29">
      <formula1>#REF!</formula1>
    </dataValidation>
    <dataValidation type="list" allowBlank="1" showInputMessage="1" showErrorMessage="1" sqref="ICD29:ICE29 HSH29:HSI29 HIL29:HIM29 GYP29:GYQ29 GOT29:GOU29 GEX29:GEY29 FVB29:FVC29 FLF29:FLG29 FBJ29:FBK29 ERN29:ERO29 EHR29:EHS29 DXV29:DXW29 DNZ29:DOA29 DED29:DEE29 CUH29:CUI29 CKL29:CKM29 CAP29:CAQ29 BQT29:BQU29 BGX29:BGY29 AXB29:AXC29 ANF29:ANG29 ADJ29:ADK29 TN29:TO29 JR29:JS29 V29:W29 WWD983044 WMH983044 WCL983044 VSP983044 VIT983044 UYX983044 UPB983044 UFF983044 TVJ983044 TLN983044 TBR983044 SRV983044 SHZ983044 RYD983044 ROH983044 REL983044 QUP983044 QKT983044 QAX983044 PRB983044 PHF983044 OXJ983044 ONN983044 ODR983044 NTV983044 NJZ983044 NAD983044 MQH983044 MGL983044 LWP983044 LMT983044 LCX983044 KTB983044 KJF983044 JZJ983044 JPN983044 JFR983044 IVV983044 ILZ983044 ICD983044 HSH983044 HIL983044 GYP983044 GOT983044 GEX983044 FVB983044 FLF983044 FBJ983044 ERN983044 EHR983044 DXV983044 DNZ983044 DED983044 CUH983044 CKL983044 CAP983044 BQT983044 BGX983044 AXB983044 ANF983044 ADJ983044 TN983044 JR983044 V983044 WWD917508 WMH917508 WCL917508 VSP917508 VIT917508 UYX917508 UPB917508 UFF917508 TVJ917508 TLN917508 TBR917508">
      <formula1>#REF!</formula1>
    </dataValidation>
    <dataValidation type="list" allowBlank="1" showInputMessage="1" showErrorMessage="1" sqref="SRV917508 SHZ917508 RYD917508 ROH917508 REL917508 QUP917508 QKT917508 QAX917508 PRB917508 PHF917508 OXJ917508 ONN917508 ODR917508 NTV917508 NJZ917508 NAD917508 MQH917508 MGL917508 LWP917508 LMT917508 LCX917508 KTB917508 KJF917508 JZJ917508 JPN917508 JFR917508 IVV917508 ILZ917508 ICD917508 HSH917508 HIL917508 GYP917508 GOT917508 GEX917508 FVB917508 FLF917508 FBJ917508 ERN917508 EHR917508 DXV917508 DNZ917508 DED917508 CUH917508 CKL917508 CAP917508 BQT917508 BGX917508 AXB917508 ANF917508 ADJ917508 TN917508 JR917508 V917508 WWD851972 WMH851972 WCL851972 VSP851972 VIT851972 UYX851972 UPB851972 UFF851972 TVJ851972 TLN851972 TBR851972 SRV851972 SHZ851972 RYD851972 ROH851972 REL851972 QUP851972 QKT851972 QAX851972 PRB851972 PHF851972 OXJ851972 ONN851972 ODR851972 NTV851972 NJZ851972 NAD851972 MQH851972 MGL851972 LWP851972 LMT851972 LCX851972 KTB851972 KJF851972 JZJ851972 JPN851972 JFR851972 IVV851972 ILZ851972 ICD851972 HSH851972 HIL851972 GYP851972 GOT851972 GEX851972 FVB851972 FLF851972">
      <formula1>#REF!</formula1>
    </dataValidation>
    <dataValidation type="list" allowBlank="1" showInputMessage="1" showErrorMessage="1" sqref="FBJ851972 ERN851972 EHR851972 DXV851972 DNZ851972 DED851972 CUH851972 CKL851972 CAP851972 BQT851972 BGX851972 AXB851972 ANF851972 ADJ851972 TN851972 JR851972 V851972 WWD786436 WMH786436 WCL786436 VSP786436 VIT786436 UYX786436 UPB786436 UFF786436 TVJ786436 TLN786436 TBR786436 SRV786436 SHZ786436 RYD786436 ROH786436 REL786436 QUP786436 QKT786436 QAX786436 PRB786436 PHF786436 OXJ786436 ONN786436 ODR786436 NTV786436 NJZ786436 NAD786436 MQH786436 MGL786436 LWP786436 LMT786436 LCX786436 KTB786436 KJF786436 JZJ786436 JPN786436 JFR786436 IVV786436 ILZ786436 ICD786436 HSH786436 HIL786436 GYP786436 GOT786436 GEX786436 FVB786436 FLF786436 FBJ786436 ERN786436 EHR786436 DXV786436 DNZ786436 DED786436 CUH786436 CKL786436 CAP786436 BQT786436 BGX786436 AXB786436 ANF786436 ADJ786436 TN786436 JR786436 V786436 WWD720900 WMH720900 WCL720900 VSP720900 VIT720900 UYX720900 UPB720900 UFF720900 TVJ720900 TLN720900 TBR720900 SRV720900 SHZ720900 RYD720900 ROH720900 REL720900 QUP720900 QKT720900 QAX720900">
      <formula1>#REF!</formula1>
    </dataValidation>
    <dataValidation type="list" allowBlank="1" showInputMessage="1" showErrorMessage="1" sqref="PRB720900 PHF720900 OXJ720900 ONN720900 ODR720900 NTV720900 NJZ720900 NAD720900 MQH720900 MGL720900 LWP720900 LMT720900 LCX720900 KTB720900 KJF720900 JZJ720900 JPN720900 JFR720900 IVV720900 ILZ720900 ICD720900 HSH720900 HIL720900 GYP720900 GOT720900 GEX720900 FVB720900 FLF720900 FBJ720900 ERN720900 EHR720900 DXV720900 DNZ720900 DED720900 CUH720900 CKL720900 CAP720900 BQT720900 BGX720900 AXB720900 ANF720900 ADJ720900 TN720900 JR720900 V720900 WWD655364 WMH655364 WCL655364 VSP655364 VIT655364 UYX655364 UPB655364 UFF655364 TVJ655364 TLN655364 TBR655364 SRV655364 SHZ655364 RYD655364 ROH655364 REL655364 QUP655364 QKT655364 QAX655364 PRB655364 PHF655364 OXJ655364 ONN655364 ODR655364 NTV655364 NJZ655364 NAD655364 MQH655364 MGL655364 LWP655364 LMT655364 LCX655364 KTB655364 KJF655364 JZJ655364 JPN655364 JFR655364 IVV655364 ILZ655364 ICD655364 HSH655364 HIL655364 GYP655364 GOT655364 GEX655364 FVB655364 FLF655364 FBJ655364 ERN655364 EHR655364 DXV655364 DNZ655364 DED655364 CUH655364 CKL655364">
      <formula1>#REF!</formula1>
    </dataValidation>
    <dataValidation type="list" allowBlank="1" showInputMessage="1" showErrorMessage="1" sqref="CAP655364 BQT655364 BGX655364 AXB655364 ANF655364 ADJ655364 TN655364 JR655364 V655364 WWD589828 WMH589828 WCL589828 VSP589828 VIT589828 UYX589828 UPB589828 UFF589828 TVJ589828 TLN589828 TBR589828 SRV589828 SHZ589828 RYD589828 ROH589828 REL589828 QUP589828 QKT589828 QAX589828 PRB589828 PHF589828 OXJ589828 ONN589828 ODR589828 NTV589828 NJZ589828 NAD589828 MQH589828 MGL589828 LWP589828 LMT589828 LCX589828 KTB589828 KJF589828 JZJ589828 JPN589828 JFR589828 IVV589828 ILZ589828 ICD589828 HSH589828 HIL589828 GYP589828 GOT589828 GEX589828 FVB589828 FLF589828 FBJ589828 ERN589828 EHR589828 DXV589828 DNZ589828 DED589828 CUH589828 CKL589828 CAP589828 BQT589828 BGX589828 AXB589828 ANF589828 ADJ589828 TN589828 JR589828 V589828 WWD524292 WMH524292 WCL524292 VSP524292 VIT524292 UYX524292 UPB524292 UFF524292 TVJ524292 TLN524292 TBR524292 SRV524292 SHZ524292 RYD524292 ROH524292 REL524292 QUP524292 QKT524292 QAX524292 PRB524292 PHF524292 OXJ524292 ONN524292 ODR524292 NTV524292 NJZ524292 NAD524292">
      <formula1>#REF!</formula1>
    </dataValidation>
    <dataValidation type="list" allowBlank="1" showInputMessage="1" showErrorMessage="1" sqref="MQH524292 MGL524292 LWP524292 LMT524292 LCX524292 KTB524292 KJF524292 JZJ524292 JPN524292 JFR524292 IVV524292 ILZ524292 ICD524292 HSH524292 HIL524292 GYP524292 GOT524292 GEX524292 FVB524292 FLF524292 FBJ524292 ERN524292 EHR524292 DXV524292 DNZ524292 DED524292 CUH524292 CKL524292 CAP524292 BQT524292 BGX524292 AXB524292 ANF524292 ADJ524292 TN524292 JR524292 V524292 WWD458756 WMH458756 WCL458756 VSP458756 VIT458756 UYX458756 UPB458756 UFF458756 TVJ458756 TLN458756 TBR458756 SRV458756 SHZ458756 RYD458756 ROH458756 REL458756 QUP458756 QKT458756 QAX458756 PRB458756 PHF458756 OXJ458756 ONN458756 ODR458756 NTV458756 NJZ458756 NAD458756 MQH458756 MGL458756 LWP458756 LMT458756 LCX458756 KTB458756 KJF458756 JZJ458756 JPN458756 JFR458756 IVV458756 ILZ458756 ICD458756 HSH458756 HIL458756 GYP458756 GOT458756 GEX458756 FVB458756 FLF458756 FBJ458756 ERN458756 EHR458756 DXV458756 DNZ458756 DED458756 CUH458756 CKL458756 CAP458756 BQT458756 BGX458756 AXB458756 ANF458756 ADJ458756 TN458756 JR458756">
      <formula1>#REF!</formula1>
    </dataValidation>
    <dataValidation type="list" allowBlank="1" showInputMessage="1" showErrorMessage="1" sqref="V458756 WWD393220 WMH393220 WCL393220 VSP393220 VIT393220 UYX393220 UPB393220 UFF393220 TVJ393220 TLN393220 TBR393220 SRV393220 SHZ393220 RYD393220 ROH393220 REL393220 QUP393220 QKT393220 QAX393220 PRB393220 PHF393220 OXJ393220 ONN393220 ODR393220 NTV393220 NJZ393220 NAD393220 MQH393220 MGL393220 LWP393220 LMT393220 LCX393220 KTB393220 KJF393220 JZJ393220 JPN393220 JFR393220 IVV393220 ILZ393220 ICD393220 HSH393220 HIL393220 GYP393220 GOT393220 GEX393220 FVB393220 FLF393220 FBJ393220 ERN393220 EHR393220 DXV393220 DNZ393220 DED393220 CUH393220 CKL393220 CAP393220 BQT393220 BGX393220 AXB393220 ANF393220 ADJ393220 TN393220 JR393220 V393220 WWD327684 WMH327684 WCL327684 VSP327684 VIT327684 UYX327684 UPB327684 UFF327684 TVJ327684 TLN327684 TBR327684 SRV327684 SHZ327684 RYD327684 ROH327684 REL327684 QUP327684 QKT327684 QAX327684 PRB327684 PHF327684 OXJ327684 ONN327684 ODR327684 NTV327684 NJZ327684 NAD327684 MQH327684 MGL327684 LWP327684 LMT327684 LCX327684 KTB327684 KJF327684 JZJ327684">
      <formula1>#REF!</formula1>
    </dataValidation>
    <dataValidation type="list" allowBlank="1" showInputMessage="1" showErrorMessage="1" sqref="JPN327684 JFR327684 IVV327684 ILZ327684 ICD327684 HSH327684 HIL327684 GYP327684 GOT327684 GEX327684 FVB327684 FLF327684 FBJ327684 ERN327684 EHR327684 DXV327684 DNZ327684 DED327684 CUH327684 CKL327684 CAP327684 BQT327684 BGX327684 AXB327684 ANF327684 ADJ327684 TN327684 JR327684 V327684 WWD262148 WMH262148 WCL262148 VSP262148 VIT262148 UYX262148 UPB262148 UFF262148 TVJ262148 TLN262148 TBR262148 SRV262148 SHZ262148 RYD262148 ROH262148 REL262148 QUP262148 QKT262148 QAX262148 PRB262148 PHF262148 OXJ262148 ONN262148 ODR262148 NTV262148 NJZ262148 NAD262148 MQH262148 MGL262148 LWP262148 LMT262148 LCX262148 KTB262148 KJF262148 JZJ262148 JPN262148 JFR262148 IVV262148 ILZ262148 ICD262148 HSH262148 HIL262148 GYP262148 GOT262148 GEX262148 FVB262148 FLF262148 FBJ262148 ERN262148 EHR262148 DXV262148 DNZ262148 DED262148 CUH262148 CKL262148 CAP262148 BQT262148 BGX262148 AXB262148 ANF262148 ADJ262148 TN262148 JR262148 V262148 WWD196612 WMH196612 WCL196612 VSP196612 VIT196612 UYX196612 UPB196612">
      <formula1>#REF!</formula1>
    </dataValidation>
    <dataValidation type="list" allowBlank="1" showInputMessage="1" showErrorMessage="1" sqref="UFF196612 TVJ196612 TLN196612 TBR196612 SRV196612 SHZ196612 RYD196612 ROH196612 REL196612 QUP196612 QKT196612 QAX196612 PRB196612 PHF196612 OXJ196612 ONN196612 ODR196612 NTV196612 NJZ196612 NAD196612 MQH196612 MGL196612 LWP196612 LMT196612 LCX196612 KTB196612 KJF196612 JZJ196612 JPN196612 JFR196612 IVV196612 ILZ196612 ICD196612 HSH196612 HIL196612 GYP196612 GOT196612 GEX196612 FVB196612 FLF196612 FBJ196612 ERN196612 EHR196612 DXV196612 DNZ196612 DED196612 CUH196612 CKL196612 CAP196612 BQT196612 BGX196612 AXB196612 ANF196612 ADJ196612 TN196612 JR196612 V196612 WWD131076 WMH131076 WCL131076 VSP131076 VIT131076 UYX131076 UPB131076 UFF131076 TVJ131076 TLN131076 TBR131076 SRV131076 SHZ131076 RYD131076 ROH131076 REL131076 QUP131076 QKT131076 QAX131076 PRB131076 PHF131076 OXJ131076 ONN131076 ODR131076 NTV131076 NJZ131076 NAD131076 MQH131076 MGL131076 LWP131076 LMT131076 LCX131076 KTB131076 KJF131076 JZJ131076 JPN131076 JFR131076 IVV131076 ILZ131076 ICD131076 HSH131076 HIL131076 GYP131076">
      <formula1>#REF!</formula1>
    </dataValidation>
    <dataValidation type="list" allowBlank="1" showInputMessage="1" showErrorMessage="1" sqref="GOT131076 GEX131076 FVB131076 FLF131076 FBJ131076 ERN131076 EHR131076 DXV131076 DNZ131076 DED131076 CUH131076 CKL131076 CAP131076 BQT131076 BGX131076 AXB131076 ANF131076 ADJ131076 TN131076 JR131076 V131076 WWD65540 WMH65540 WCL65540 VSP65540 VIT65540 UYX65540 UPB65540 UFF65540 TVJ65540 TLN65540 TBR65540 SRV65540 SHZ65540 RYD65540 ROH65540 REL65540 QUP65540 QKT65540 QAX65540 PRB65540 PHF65540 OXJ65540 ONN65540 ODR65540 NTV65540 NJZ65540 NAD65540 MQH65540 MGL65540 LWP65540 LMT65540 LCX65540 KTB65540 KJF65540 JZJ65540 JPN65540 JFR65540 IVV65540 ILZ65540 ICD65540 HSH65540 HIL65540 GYP65540 GOT65540 GEX65540 FVB65540 FLF65540 FBJ65540 ERN65540 EHR65540 DXV65540 DNZ65540 DED65540 CUH65540 CKL65540 CAP65540 BQT65540 BGX65540 AXB65540 ANF65540 ADJ65540 TN65540 JR65540 V65540 WWD4 WMH4 WCL4 VSP4 VIT4 UYX4 UPB4 UFF4 TVJ4 TLN4 TBR4 SRV4 SHZ4 RYD4 ROH4">
      <formula1>#REF!</formula1>
    </dataValidation>
    <dataValidation type="list" allowBlank="1" showInputMessage="1" showErrorMessage="1" sqref="REL4 QUP4 QKT4 QAX4 PRB4 PHF4 OXJ4 ONN4 ODR4 NTV4 NJZ4 NAD4 MQH4 MGL4 LWP4 LMT4 LCX4 KTB4 KJF4 JZJ4 JPN4 JFR4 IVV4 ILZ4 ICD4 HSH4 HIL4 GYP4 GOT4 GEX4 FVB4 FLF4 FBJ4 ERN4 EHR4 DXV4 DNZ4 DED4 CUH4 CKL4 CAP4 BQT4 BGX4 AXB4 ANF4 ADJ4 TN4 JR4 V4 WVZ983044 WMD983044 WCH983044 VSL983044 VIP983044 UYT983044 UOX983044 UFB983044 TVF983044 TLJ983044 TBN983044 SRR983044 SHV983044 RXZ983044 ROD983044 REH983044 QUL983044 QKP983044 QAT983044 PQX983044 PHB983044 OXF983044 ONJ983044 ODN983044 NTR983044 NJV983044 MZZ983044 MQD983044 MGH983044 LWL983044 LMP983044 LCT983044 KSX983044 KJB983044 JZF983044 JPJ983044 JFN983044 IVR983044 ILV983044 IBZ983044 HSD983044 HIH983044 GYL983044 GOP983044 GET983044 FUX983044 FLB983044 FBF983044 ERJ983044 EHN983044 DXR983044">
      <formula1>#REF!</formula1>
    </dataValidation>
    <dataValidation type="list" allowBlank="1" showInputMessage="1" showErrorMessage="1" sqref="DNV983044 DDZ983044 CUD983044 CKH983044 CAL983044 BQP983044 BGT983044 AWX983044 ANB983044 ADF983044 TJ983044 JN983044 R983044 WVZ917508 WMD917508 WCH917508 VSL917508 VIP917508 UYT917508 UOX917508 UFB917508 TVF917508 TLJ917508 TBN917508 SRR917508 SHV917508 RXZ917508 ROD917508 REH917508 QUL917508 QKP917508 QAT917508 PQX917508 PHB917508 OXF917508 ONJ917508 ODN917508 NTR917508 NJV917508 MZZ917508 MQD917508 MGH917508 LWL917508 LMP917508 LCT917508 KSX917508 KJB917508 JZF917508 JPJ917508 JFN917508 IVR917508 ILV917508 IBZ917508 HSD917508 HIH917508 GYL917508 GOP917508 GET917508 FUX917508 FLB917508 FBF917508 ERJ917508 EHN917508 DXR917508 DNV917508 DDZ917508 CUD917508 CKH917508 CAL917508 BQP917508 BGT917508 AWX917508 ANB917508 ADF917508 TJ917508 JN917508 R917508 WVZ851972 WMD851972 WCH851972 VSL851972 VIP851972 UYT851972 UOX851972 UFB851972 TVF851972 TLJ851972 TBN851972 SRR851972 SHV851972 RXZ851972 ROD851972 REH851972 QUL851972 QKP851972 QAT851972 PQX851972 PHB851972 OXF851972 ONJ851972">
      <formula1>#REF!</formula1>
    </dataValidation>
    <dataValidation type="list" allowBlank="1" showInputMessage="1" showErrorMessage="1" sqref="ODN851972 NTR851972 NJV851972 MZZ851972 MQD851972 MGH851972 LWL851972 LMP851972 LCT851972 KSX851972 KJB851972 JZF851972 JPJ851972 JFN851972 IVR851972 ILV851972 IBZ851972 HSD851972 HIH851972 GYL851972 GOP851972 GET851972 FUX851972 FLB851972 FBF851972 ERJ851972 EHN851972 DXR851972 DNV851972 DDZ851972 CUD851972 CKH851972 CAL851972 BQP851972 BGT851972 AWX851972 ANB851972 ADF851972 TJ851972 JN851972 R851972 WVZ786436 WMD786436 WCH786436 VSL786436 VIP786436 UYT786436 UOX786436 UFB786436 TVF786436 TLJ786436 TBN786436 SRR786436 SHV786436 RXZ786436 ROD786436 REH786436 QUL786436 QKP786436 QAT786436 PQX786436 PHB786436 OXF786436 ONJ786436 ODN786436 NTR786436 NJV786436 MZZ786436 MQD786436 MGH786436 LWL786436 LMP786436 LCT786436 KSX786436 KJB786436 JZF786436 JPJ786436 JFN786436 IVR786436 ILV786436 IBZ786436 HSD786436 HIH786436 GYL786436 GOP786436 GET786436 FUX786436 FLB786436 FBF786436 ERJ786436 EHN786436 DXR786436 DNV786436 DDZ786436 CUD786436 CKH786436 CAL786436 BQP786436 BGT786436 AWX786436">
      <formula1>#REF!</formula1>
    </dataValidation>
    <dataValidation type="list" allowBlank="1" showInputMessage="1" showErrorMessage="1" sqref="ANB786436 ADF786436 TJ786436 JN786436 R786436 WVZ720900 WMD720900 WCH720900 VSL720900 VIP720900 UYT720900 UOX720900 UFB720900 TVF720900 TLJ720900 TBN720900 SRR720900 SHV720900 RXZ720900 ROD720900 REH720900 QUL720900 QKP720900 QAT720900 PQX720900 PHB720900 OXF720900 ONJ720900 ODN720900 NTR720900 NJV720900 MZZ720900 MQD720900 MGH720900 LWL720900 LMP720900 LCT720900 KSX720900 KJB720900 JZF720900 JPJ720900 JFN720900 IVR720900 ILV720900 IBZ720900 HSD720900 HIH720900 GYL720900 GOP720900 GET720900 FUX720900 FLB720900 FBF720900 ERJ720900 EHN720900 DXR720900 DNV720900 DDZ720900 CUD720900 CKH720900 CAL720900 BQP720900 BGT720900 AWX720900 ANB720900 ADF720900 TJ720900 JN720900 R720900 WVZ655364 WMD655364 WCH655364 VSL655364 VIP655364 UYT655364 UOX655364 UFB655364 TVF655364 TLJ655364 TBN655364 SRR655364 SHV655364 RXZ655364 ROD655364 REH655364 QUL655364 QKP655364 QAT655364 PQX655364 PHB655364 OXF655364 ONJ655364 ODN655364 NTR655364 NJV655364 MZZ655364 MQD655364 MGH655364 LWL655364 LMP655364">
      <formula1>#REF!</formula1>
    </dataValidation>
    <dataValidation type="list" allowBlank="1" showInputMessage="1" showErrorMessage="1" sqref="LCT655364 KSX655364 KJB655364 JZF655364 JPJ655364 JFN655364 IVR655364 ILV655364 IBZ655364 HSD655364 HIH655364 GYL655364 GOP655364 GET655364 FUX655364 FLB655364 FBF655364 ERJ655364 EHN655364 DXR655364 DNV655364 DDZ655364 CUD655364 CKH655364 CAL655364 BQP655364 BGT655364 AWX655364 ANB655364 ADF655364 TJ655364 JN655364 R655364 WVZ589828 WMD589828 WCH589828 VSL589828 VIP589828 UYT589828 UOX589828 UFB589828 TVF589828 TLJ589828 TBN589828 SRR589828 SHV589828 RXZ589828 ROD589828 REH589828 QUL589828 QKP589828 QAT589828 PQX589828 PHB589828 OXF589828 ONJ589828 ODN589828 NTR589828 NJV589828 MZZ589828 MQD589828 MGH589828 LWL589828 LMP589828 LCT589828 KSX589828 KJB589828 JZF589828 JPJ589828 JFN589828 IVR589828 ILV589828 IBZ589828 HSD589828 HIH589828 GYL589828 GOP589828 GET589828 FUX589828 FLB589828 FBF589828 ERJ589828 EHN589828 DXR589828 DNV589828 DDZ589828 CUD589828 CKH589828 CAL589828 BQP589828 BGT589828 AWX589828 ANB589828 ADF589828 TJ589828 JN589828 R589828 WVZ524292 WMD524292 WCH524292">
      <formula1>#REF!</formula1>
    </dataValidation>
    <dataValidation type="list" allowBlank="1" showInputMessage="1" showErrorMessage="1" sqref="VSL524292 VIP524292 UYT524292 UOX524292 UFB524292 TVF524292 TLJ524292 TBN524292 SRR524292 SHV524292 RXZ524292 ROD524292 REH524292 QUL524292 QKP524292 QAT524292 PQX524292 PHB524292 OXF524292 ONJ524292 ODN524292 NTR524292 NJV524292 MZZ524292 MQD524292 MGH524292 LWL524292 LMP524292 LCT524292 KSX524292 KJB524292 JZF524292 JPJ524292 JFN524292 IVR524292 ILV524292 IBZ524292 HSD524292 HIH524292 GYL524292 GOP524292 GET524292 FUX524292 FLB524292 FBF524292 ERJ524292 EHN524292 DXR524292 DNV524292 DDZ524292 CUD524292 CKH524292 CAL524292 BQP524292 BGT524292 AWX524292 ANB524292 ADF524292 TJ524292 JN524292 R524292 WVZ458756 WMD458756 WCH458756 VSL458756 VIP458756 UYT458756 UOX458756 UFB458756 TVF458756 TLJ458756 TBN458756 SRR458756 SHV458756 RXZ458756 ROD458756 REH458756 QUL458756 QKP458756 QAT458756 PQX458756 PHB458756 OXF458756 ONJ458756 ODN458756 NTR458756 NJV458756 MZZ458756 MQD458756 MGH458756 LWL458756 LMP458756 LCT458756 KSX458756 KJB458756 JZF458756 JPJ458756 JFN458756 IVR458756 ILV458756">
      <formula1>#REF!</formula1>
    </dataValidation>
    <dataValidation type="list" allowBlank="1" showInputMessage="1" showErrorMessage="1" sqref="IBZ458756 HSD458756 HIH458756 GYL458756 GOP458756 GET458756 FUX458756 FLB458756 FBF458756 ERJ458756 EHN458756 DXR458756 DNV458756 DDZ458756 CUD458756 CKH458756 CAL458756 BQP458756 BGT458756 AWX458756 ANB458756 ADF458756 TJ458756 JN458756 R458756 WVZ393220 WMD393220 WCH393220 VSL393220 VIP393220 UYT393220 UOX393220 UFB393220 TVF393220 TLJ393220 TBN393220 SRR393220 SHV393220 RXZ393220 ROD393220 REH393220 QUL393220 QKP393220 QAT393220 PQX393220 PHB393220 OXF393220 ONJ393220 ODN393220 NTR393220 NJV393220 MZZ393220 MQD393220 MGH393220 LWL393220 LMP393220 LCT393220 KSX393220 KJB393220 JZF393220 JPJ393220 JFN393220 IVR393220 ILV393220 IBZ393220 HSD393220 HIH393220 GYL393220 GOP393220 GET393220 FUX393220 FLB393220 FBF393220 ERJ393220 EHN393220 DXR393220 DNV393220 DDZ393220 CUD393220 CKH393220 CAL393220 BQP393220 BGT393220 AWX393220 ANB393220 ADF393220 TJ393220 JN393220 R393220 WVZ327684 WMD327684 WCH327684 VSL327684 VIP327684 UYT327684 UOX327684 UFB327684 TVF327684 TLJ327684 TBN327684">
      <formula1>#REF!</formula1>
    </dataValidation>
    <dataValidation type="list" allowBlank="1" showInputMessage="1" showErrorMessage="1" sqref="SRR327684 SHV327684 RXZ327684 ROD327684 REH327684 QUL327684 QKP327684 QAT327684 PQX327684 PHB327684 OXF327684 ONJ327684 ODN327684 NTR327684 NJV327684 MZZ327684 MQD327684 MGH327684 LWL327684 LMP327684 LCT327684 KSX327684 KJB327684 JZF327684 JPJ327684 JFN327684 IVR327684 ILV327684 IBZ327684 HSD327684 HIH327684 GYL327684 GOP327684 GET327684 FUX327684 FLB327684 FBF327684 ERJ327684 EHN327684 DXR327684 DNV327684 DDZ327684 CUD327684 CKH327684 CAL327684 BQP327684 BGT327684 AWX327684 ANB327684 ADF327684 TJ327684 JN327684 R327684 WVZ262148 WMD262148 WCH262148 VSL262148 VIP262148 UYT262148 UOX262148 UFB262148 TVF262148 TLJ262148 TBN262148 SRR262148 SHV262148 RXZ262148 ROD262148 REH262148 QUL262148 QKP262148 QAT262148 PQX262148 PHB262148 OXF262148 ONJ262148 ODN262148 NTR262148 NJV262148 MZZ262148 MQD262148 MGH262148 LWL262148 LMP262148 LCT262148 KSX262148 KJB262148 JZF262148 JPJ262148 JFN262148 IVR262148 ILV262148 IBZ262148 HSD262148 HIH262148 GYL262148 GOP262148 GET262148 FUX262148 FLB262148">
      <formula1>#REF!</formula1>
    </dataValidation>
    <dataValidation type="list" allowBlank="1" showInputMessage="1" showErrorMessage="1" sqref="FBF262148 ERJ262148 EHN262148 DXR262148 DNV262148 DDZ262148 CUD262148 CKH262148 CAL262148 BQP262148 BGT262148 AWX262148 ANB262148 ADF262148 TJ262148 JN262148 R262148 WVZ196612 WMD196612 WCH196612 VSL196612 VIP196612 UYT196612 UOX196612 UFB196612 TVF196612 TLJ196612 TBN196612 SRR196612 SHV196612 RXZ196612 ROD196612 REH196612 QUL196612 QKP196612 QAT196612 PQX196612 PHB196612 OXF196612 ONJ196612 ODN196612 NTR196612 NJV196612 MZZ196612 MQD196612 MGH196612 LWL196612 LMP196612 LCT196612 KSX196612 KJB196612 JZF196612 JPJ196612 JFN196612 IVR196612 ILV196612 IBZ196612 HSD196612 HIH196612 GYL196612 GOP196612 GET196612 FUX196612 FLB196612 FBF196612 ERJ196612 EHN196612 DXR196612 DNV196612 DDZ196612 CUD196612 CKH196612 CAL196612 BQP196612 BGT196612 AWX196612 ANB196612 ADF196612 TJ196612 JN196612 R196612 WVZ131076 WMD131076 WCH131076 VSL131076 VIP131076 UYT131076 UOX131076 UFB131076 TVF131076 TLJ131076 TBN131076 SRR131076 SHV131076 RXZ131076 ROD131076 REH131076 QUL131076 QKP131076 QAT131076">
      <formula1>#REF!</formula1>
    </dataValidation>
    <dataValidation type="list" allowBlank="1" showInputMessage="1" showErrorMessage="1" sqref="PQX131076 PHB131076 OXF131076 ONJ131076 ODN131076 NTR131076 NJV131076 MZZ131076 MQD131076 MGH131076 LWL131076 LMP131076 LCT131076 KSX131076 KJB131076 JZF131076 JPJ131076 JFN131076 IVR131076 ILV131076 IBZ131076 HSD131076 HIH131076 GYL131076 GOP131076 GET131076 FUX131076 FLB131076 FBF131076 ERJ131076 EHN131076 DXR131076 DNV131076 DDZ131076 CUD131076 CKH131076 CAL131076 BQP131076 BGT131076 AWX131076 ANB131076 ADF131076 TJ131076 JN131076 R131076 WVZ65540 WMD65540 WCH65540 VSL65540 VIP65540 UYT65540 UOX65540 UFB65540 TVF65540 TLJ65540 TBN65540 SRR65540 SHV65540 RXZ65540 ROD65540 REH65540 QUL65540 QKP65540 QAT65540 PQX65540 PHB65540 OXF65540 ONJ65540 ODN65540 NTR65540 NJV65540 MZZ65540 MQD65540 MGH65540 LWL65540 LMP65540 LCT65540 KSX65540 KJB65540 JZF65540 JPJ65540 JFN65540 IVR65540 ILV65540 IBZ65540 HSD65540 HIH65540 GYL65540 GOP65540 GET65540 FUX65540 FLB65540 FBF65540 ERJ65540 EHN65540 DXR65540 DNV65540 DDZ65540 CUD65540 CKH65540">
      <formula1>#REF!</formula1>
    </dataValidation>
    <dataValidation type="list" allowBlank="1" showInputMessage="1" showErrorMessage="1" sqref="CAL65540 BQP65540 BGT65540 AWX65540 ANB65540 ADF65540 TJ65540 JN65540 R65540 WVZ4 WMD4 WCH4 VSL4 VIP4 UYT4 UOX4 UFB4 TVF4 TLJ4 TBN4 SRR4 SHV4 RXZ4 ROD4 REH4 QUL4 QKP4 QAT4 PQX4 PHB4 OXF4 ONJ4 ODN4 NTR4 NJV4 MZZ4 MQD4 MGH4 LWL4 LMP4 LCT4 KSX4 KJB4 JZF4 JPJ4 JFN4 IVR4 ILV4 IBZ4 HSD4 HIH4 GYL4 GOP4 GET4 FUX4 FLB4 FBF4 ERJ4 EHN4 DXR4 DNV4 DDZ4 CUD4 CKH4 CAL4 BQP4 BGT4 AWX4 ANB4 ADF4 TJ4 JN4 R4 WVV983044 WLZ983044 WCD983044 VSH983044 VIL983044 UYP983044 UOT983044 UEX983044 TVB983044 TLF983044 TBJ983044 SRN983044 SHR983044 RXV983044 RNZ983044 RED983044 QUH983044 QKL983044 QAP983044 PQT983044 PGX983044 OXB983044 ONF983044 ODJ983044 NTN983044 NJR983044 MZV983044">
      <formula1>#REF!</formula1>
    </dataValidation>
    <dataValidation type="list" allowBlank="1" showInputMessage="1" showErrorMessage="1" sqref="MPZ983044 MGD983044 LWH983044 LML983044 LCP983044 KST983044 KIX983044 JZB983044 JPF983044 JFJ983044 IVN983044 ILR983044 IBV983044 HRZ983044 HID983044 GYH983044 GOL983044 GEP983044 FUT983044 FKX983044 FBB983044 ERF983044 EHJ983044 DXN983044 DNR983044 DDV983044 CTZ983044 CKD983044 CAH983044 BQL983044 BGP983044 AWT983044 AMX983044 ADB983044 TF983044 JJ983044 N983044 WVV917508 WLZ917508 WCD917508 VSH917508 VIL917508 UYP917508 UOT917508 UEX917508 TVB917508 TLF917508 TBJ917508 SRN917508 SHR917508 RXV917508 RNZ917508 RED917508 QUH917508 QKL917508 QAP917508 PQT917508 PGX917508 OXB917508 ONF917508 ODJ917508 NTN917508 NJR917508 MZV917508 MPZ917508 MGD917508 LWH917508 LML917508 LCP917508 KST917508 KIX917508 JZB917508 JPF917508 JFJ917508 IVN917508 ILR917508 IBV917508 HRZ917508 HID917508 GYH917508 GOL917508 GEP917508 FUT917508 FKX917508 FBB917508 ERF917508 EHJ917508 DXN917508 DNR917508 DDV917508 CTZ917508 CKD917508 CAH917508 BQL917508 BGP917508 AWT917508 AMX917508 ADB917508 TF917508 JJ917508">
      <formula1>#REF!</formula1>
    </dataValidation>
    <dataValidation type="list" allowBlank="1" showInputMessage="1" showErrorMessage="1" sqref="N917508 WVV851972 WLZ851972 WCD851972 VSH851972 VIL851972 UYP851972 UOT851972 UEX851972 TVB851972 TLF851972 TBJ851972 SRN851972 SHR851972 RXV851972 RNZ851972 RED851972 QUH851972 QKL851972 QAP851972 PQT851972 PGX851972 OXB851972 ONF851972 ODJ851972 NTN851972 NJR851972 MZV851972 MPZ851972 MGD851972 LWH851972 LML851972 LCP851972 KST851972 KIX851972 JZB851972 JPF851972 JFJ851972 IVN851972 ILR851972 IBV851972 HRZ851972 HID851972 GYH851972 GOL851972 GEP851972 FUT851972 FKX851972 FBB851972 ERF851972 EHJ851972 DXN851972 DNR851972 DDV851972 CTZ851972 CKD851972 CAH851972 BQL851972 BGP851972 AWT851972 AMX851972 ADB851972 TF851972 JJ851972 N851972 WVV786436 WLZ786436 WCD786436 VSH786436 VIL786436 UYP786436 UOT786436 UEX786436 TVB786436 TLF786436 TBJ786436 SRN786436 SHR786436 RXV786436 RNZ786436 RED786436 QUH786436 QKL786436 QAP786436 PQT786436 PGX786436 OXB786436 ONF786436 ODJ786436 NTN786436 NJR786436 MZV786436 MPZ786436 MGD786436 LWH786436 LML786436 LCP786436 KST786436 KIX786436 JZB786436">
      <formula1>#REF!</formula1>
    </dataValidation>
    <dataValidation type="list" allowBlank="1" showInputMessage="1" showErrorMessage="1" sqref="JPF786436 JFJ786436 IVN786436 ILR786436 IBV786436 HRZ786436 HID786436 GYH786436 GOL786436 GEP786436 FUT786436 FKX786436 FBB786436 ERF786436 EHJ786436 DXN786436 DNR786436 DDV786436 CTZ786436 CKD786436 CAH786436 BQL786436 BGP786436 AWT786436 AMX786436 ADB786436 TF786436 JJ786436 N786436 WVV720900 WLZ720900 WCD720900 VSH720900 VIL720900 UYP720900 UOT720900 UEX720900 TVB720900 TLF720900 TBJ720900 SRN720900 SHR720900 RXV720900 RNZ720900 RED720900 QUH720900 QKL720900 QAP720900 PQT720900 PGX720900 OXB720900 ONF720900 ODJ720900 NTN720900 NJR720900 MZV720900 MPZ720900 MGD720900 LWH720900 LML720900 LCP720900 KST720900 KIX720900 JZB720900 JPF720900 JFJ720900 IVN720900 ILR720900 IBV720900 HRZ720900 HID720900 GYH720900 GOL720900 GEP720900 FUT720900 FKX720900 FBB720900 ERF720900 EHJ720900 DXN720900 DNR720900 DDV720900 CTZ720900 CKD720900 CAH720900 BQL720900 BGP720900 AWT720900 AMX720900 ADB720900 TF720900 JJ720900 N720900 WVV655364 WLZ655364 WCD655364 VSH655364 VIL655364 UYP655364 UOT655364">
      <formula1>#REF!</formula1>
    </dataValidation>
    <dataValidation type="list" allowBlank="1" showInputMessage="1" showErrorMessage="1" sqref="UEX655364 TVB655364 TLF655364 TBJ655364 SRN655364 SHR655364 RXV655364 RNZ655364 RED655364 QUH655364 QKL655364 QAP655364 PQT655364 PGX655364 OXB655364 ONF655364 ODJ655364 NTN655364 NJR655364 MZV655364 MPZ655364 MGD655364 LWH655364 LML655364 LCP655364 KST655364 KIX655364 JZB655364 JPF655364 JFJ655364 IVN655364 ILR655364 IBV655364 HRZ655364 HID655364 GYH655364 GOL655364 GEP655364 FUT655364 FKX655364 FBB655364 ERF655364 EHJ655364 DXN655364 DNR655364 DDV655364 CTZ655364 CKD655364 CAH655364 BQL655364 BGP655364 AWT655364 AMX655364 ADB655364 TF655364 JJ655364 N655364 WVV589828 WLZ589828 WCD589828 VSH589828 VIL589828 UYP589828 UOT589828 UEX589828 TVB589828 TLF589828 TBJ589828 SRN589828 SHR589828 RXV589828 RNZ589828 RED589828 QUH589828 QKL589828 QAP589828 PQT589828 PGX589828 OXB589828 ONF589828 ODJ589828 NTN589828 NJR589828 MZV589828 MPZ589828 MGD589828 LWH589828 LML589828 LCP589828 KST589828 KIX589828 JZB589828 JPF589828 JFJ589828 IVN589828 ILR589828 IBV589828 HRZ589828 HID589828 GYH589828">
      <formula1>#REF!</formula1>
    </dataValidation>
    <dataValidation type="list" allowBlank="1" showInputMessage="1" showErrorMessage="1" sqref="GOL589828 GEP589828 FUT589828 FKX589828 FBB589828 ERF589828 EHJ589828 DXN589828 DNR589828 DDV589828 CTZ589828 CKD589828 CAH589828 BQL589828 BGP589828 AWT589828 AMX589828 ADB589828 TF589828 JJ589828 N589828 WVV524292 WLZ524292 WCD524292 VSH524292 VIL524292 UYP524292 UOT524292 UEX524292 TVB524292 TLF524292 TBJ524292 SRN524292 SHR524292 RXV524292 RNZ524292 RED524292 QUH524292 QKL524292 QAP524292 PQT524292 PGX524292 OXB524292 ONF524292 ODJ524292 NTN524292 NJR524292 MZV524292 MPZ524292 MGD524292 LWH524292 LML524292 LCP524292 KST524292 KIX524292 JZB524292 JPF524292 JFJ524292 IVN524292 ILR524292 IBV524292 HRZ524292 HID524292 GYH524292 GOL524292 GEP524292 FUT524292 FKX524292 FBB524292 ERF524292 EHJ524292 DXN524292 DNR524292 DDV524292 CTZ524292 CKD524292 CAH524292 BQL524292 BGP524292 AWT524292 AMX524292 ADB524292 TF524292 JJ524292 N524292 WVV458756 WLZ458756 WCD458756 VSH458756 VIL458756 UYP458756 UOT458756 UEX458756 TVB458756 TLF458756 TBJ458756 SRN458756 SHR458756 RXV458756 RNZ458756">
      <formula1>#REF!</formula1>
    </dataValidation>
    <dataValidation type="list" allowBlank="1" showInputMessage="1" showErrorMessage="1" sqref="RED458756 QUH458756 QKL458756 QAP458756 PQT458756 PGX458756 OXB458756 ONF458756 ODJ458756 NTN458756 NJR458756 MZV458756 MPZ458756 MGD458756 LWH458756 LML458756 LCP458756 KST458756 KIX458756 JZB458756 JPF458756 JFJ458756 IVN458756 ILR458756 IBV458756 HRZ458756 HID458756 GYH458756 GOL458756 GEP458756 FUT458756 FKX458756 FBB458756 ERF458756 EHJ458756 DXN458756 DNR458756 DDV458756 CTZ458756 CKD458756 CAH458756 BQL458756 BGP458756 AWT458756 AMX458756 ADB458756 TF458756 JJ458756 N458756 WVV393220 WLZ393220 WCD393220 VSH393220 VIL393220 UYP393220 UOT393220 UEX393220 TVB393220 TLF393220 TBJ393220 SRN393220 SHR393220 RXV393220 RNZ393220 RED393220 QUH393220 QKL393220 QAP393220 PQT393220 PGX393220 OXB393220 ONF393220 ODJ393220 NTN393220 NJR393220 MZV393220 MPZ393220 MGD393220 LWH393220 LML393220 LCP393220 KST393220 KIX393220 JZB393220 JPF393220 JFJ393220 IVN393220 ILR393220 IBV393220 HRZ393220 HID393220 GYH393220 GOL393220 GEP393220 FUT393220 FKX393220 FBB393220 ERF393220 EHJ393220 DXN393220">
      <formula1>#REF!</formula1>
    </dataValidation>
    <dataValidation type="list" allowBlank="1" showInputMessage="1" showErrorMessage="1" sqref="DNR393220 DDV393220 CTZ393220 CKD393220 CAH393220 BQL393220 BGP393220 AWT393220 AMX393220 ADB393220 TF393220 JJ393220 N393220 WVV327684 WLZ327684 WCD327684 VSH327684 VIL327684 UYP327684 UOT327684 UEX327684 TVB327684 TLF327684 TBJ327684 SRN327684 SHR327684 RXV327684 RNZ327684 RED327684 QUH327684 QKL327684 QAP327684 PQT327684 PGX327684 OXB327684 ONF327684 ODJ327684 NTN327684 NJR327684 MZV327684 MPZ327684 MGD327684 LWH327684 LML327684 LCP327684 KST327684 KIX327684 JZB327684 JPF327684 JFJ327684 IVN327684 ILR327684 IBV327684 HRZ327684 HID327684 GYH327684 GOL327684 GEP327684 FUT327684 FKX327684 FBB327684 ERF327684 EHJ327684 DXN327684 DNR327684 DDV327684 CTZ327684 CKD327684 CAH327684 BQL327684 BGP327684 AWT327684 AMX327684 ADB327684 TF327684 JJ327684 N327684 WVV262148 WLZ262148 WCD262148 VSH262148 VIL262148 UYP262148 UOT262148 UEX262148 TVB262148 TLF262148 TBJ262148 SRN262148 SHR262148 RXV262148 RNZ262148 RED262148 QUH262148 QKL262148 QAP262148 PQT262148 PGX262148 OXB262148 ONF262148">
      <formula1>#REF!</formula1>
    </dataValidation>
    <dataValidation type="list" allowBlank="1" showInputMessage="1" showErrorMessage="1" sqref="ODJ262148 NTN262148 NJR262148 MZV262148 MPZ262148 MGD262148 LWH262148 LML262148 LCP262148 KST262148 KIX262148 JZB262148 JPF262148 JFJ262148 IVN262148 ILR262148 IBV262148 HRZ262148 HID262148 GYH262148 GOL262148 GEP262148 FUT262148 FKX262148 FBB262148 ERF262148 EHJ262148 DXN262148 DNR262148 DDV262148 CTZ262148 CKD262148 CAH262148 BQL262148 BGP262148 AWT262148 AMX262148 ADB262148 TF262148 JJ262148 N262148 WVV196612 WLZ196612 WCD196612 VSH196612 VIL196612 UYP196612 UOT196612 UEX196612 TVB196612 TLF196612 TBJ196612 SRN196612 SHR196612 RXV196612 RNZ196612 RED196612 QUH196612 QKL196612 QAP196612 PQT196612 PGX196612 OXB196612 ONF196612 ODJ196612 NTN196612 NJR196612 MZV196612 MPZ196612 MGD196612 LWH196612 LML196612 LCP196612 KST196612 KIX196612 JZB196612 JPF196612 JFJ196612 IVN196612 ILR196612 IBV196612 HRZ196612 HID196612 GYH196612 GOL196612 GEP196612 FUT196612 FKX196612 FBB196612 ERF196612 EHJ196612 DXN196612 DNR196612 DDV196612 CTZ196612 CKD196612 CAH196612 BQL196612 BGP196612 AWT196612">
      <formula1>#REF!</formula1>
    </dataValidation>
    <dataValidation type="list" allowBlank="1" showInputMessage="1" showErrorMessage="1" sqref="AMX196612 ADB196612 TF196612 JJ196612 N196612 WVV131076 WLZ131076 WCD131076 VSH131076 VIL131076 UYP131076 UOT131076 UEX131076 TVB131076 TLF131076 TBJ131076 SRN131076 SHR131076 RXV131076 RNZ131076 RED131076 QUH131076 QKL131076 QAP131076 PQT131076 PGX131076 OXB131076 ONF131076 ODJ131076 NTN131076 NJR131076 MZV131076 MPZ131076 MGD131076 LWH131076 LML131076 LCP131076 KST131076 KIX131076 JZB131076 JPF131076 JFJ131076 IVN131076 ILR131076 IBV131076 HRZ131076 HID131076 GYH131076 GOL131076 GEP131076 FUT131076 FKX131076 FBB131076 ERF131076 EHJ131076 DXN131076 DNR131076 DDV131076 CTZ131076 CKD131076 CAH131076 BQL131076 BGP131076 AWT131076 AMX131076 ADB131076 TF131076 JJ131076 N131076 WVV65540 WLZ65540 WCD65540 VSH65540 VIL65540 UYP65540 UOT65540 UEX65540 TVB65540 TLF65540 TBJ65540 SRN65540 SHR65540 RXV65540 RNZ65540 RED65540 QUH65540 QKL65540 QAP65540 PQT65540 PGX65540 OXB65540 ONF65540 ODJ65540 NTN65540 NJR65540 MZV65540 MPZ65540 MGD65540 LWH65540 LML65540">
      <formula1>#REF!</formula1>
    </dataValidation>
    <dataValidation type="list" allowBlank="1" showInputMessage="1" showErrorMessage="1" sqref="LCP65540 KST65540 KIX65540 JZB65540 JPF65540 JFJ65540 IVN65540 ILR65540 IBV65540 HRZ65540 HID65540 GYH65540 GOL65540 GEP65540 FUT65540 FKX65540 FBB65540 ERF65540 EHJ65540 DXN65540 DNR65540 DDV65540 CTZ65540 CKD65540 CAH65540 BQL65540 BGP65540 AWT65540 AMX65540 ADB65540 TF65540 JJ65540 N65540 WVV4 WLZ4 WCD4 VSH4 VIL4 UYP4 UOT4 UEX4 TVB4 TLF4 TBJ4 SRN4 SHR4 RXV4 RNZ4 RED4 QUH4 QKL4 QAP4 PQT4 PGX4 OXB4 ONF4 ODJ4 NTN4 NJR4 MZV4 MPZ4 MGD4 LWH4 LML4 LCP4 KST4 KIX4 JZB4 JPF4 JFJ4 IVN4 ILR4 IBV4 HRZ4 HID4 GYH4 GOL4 GEP4 FUT4 FKX4 FBB4 ERF4 EHJ4 DXN4 DNR4 DDV4 CTZ4 CKD4 CAH4 BQL4 BGP4 AWT4 AMX4 ADB4 TF4 JJ4 N4 WVR983044 WLV983044 WBZ983044">
      <formula1>#REF!</formula1>
    </dataValidation>
    <dataValidation type="list" allowBlank="1" showInputMessage="1" showErrorMessage="1" sqref="VSD983044 VIH983044 UYL983044 UOP983044 UET983044 TUX983044 TLB983044 TBF983044 SRJ983044 SHN983044 RXR983044 RNV983044 RDZ983044 QUD983044 QKH983044 QAL983044 PQP983044 PGT983044 OWX983044 ONB983044 ODF983044 NTJ983044 NJN983044 MZR983044 MPV983044 MFZ983044 LWD983044 LMH983044 LCL983044 KSP983044 KIT983044 JYX983044 JPB983044 JFF983044 IVJ983044 ILN983044 IBR983044 HRV983044 HHZ983044 GYD983044 GOH983044 GEL983044 FUP983044 FKT983044 FAX983044 ERB983044 EHF983044 DXJ983044 DNN983044 DDR983044 CTV983044 CJZ983044 CAD983044 BQH983044 BGL983044 AWP983044 AMT983044 ACX983044 TB983044 JF983044 J983044 WVR917508 WLV917508 WBZ917508 VSD917508 VIH917508 UYL917508 UOP917508 UET917508 TUX917508 TLB917508 TBF917508 SRJ917508 SHN917508 RXR917508 RNV917508 RDZ917508 QUD917508 QKH917508 QAL917508 PQP917508 PGT917508 OWX917508 ONB917508 ODF917508 NTJ917508 NJN917508 MZR917508 MPV917508 MFZ917508 LWD917508 LMH917508 LCL917508 KSP917508 KIT917508 JYX917508 JPB917508 JFF917508 IVJ917508 ILN917508">
      <formula1>#REF!</formula1>
    </dataValidation>
    <dataValidation type="list" allowBlank="1" showInputMessage="1" showErrorMessage="1" sqref="IBR917508 HRV917508 HHZ917508 GYD917508 GOH917508 GEL917508 FUP917508 FKT917508 FAX917508 ERB917508 EHF917508 DXJ917508 DNN917508 DDR917508 CTV917508 CJZ917508 CAD917508 BQH917508 BGL917508 AWP917508 AMT917508 ACX917508 TB917508 JF917508 J917508 WVR851972 WLV851972 WBZ851972 VSD851972 VIH851972 UYL851972 UOP851972 UET851972 TUX851972 TLB851972 TBF851972 SRJ851972 SHN851972 RXR851972 RNV851972 RDZ851972 QUD851972 QKH851972 QAL851972 PQP851972 PGT851972 OWX851972 ONB851972 ODF851972 NTJ851972 NJN851972 MZR851972 MPV851972 MFZ851972 LWD851972 LMH851972 LCL851972 KSP851972 KIT851972 JYX851972 JPB851972 JFF851972 IVJ851972 ILN851972 IBR851972 HRV851972 HHZ851972 GYD851972 GOH851972 GEL851972 FUP851972 FKT851972 FAX851972 ERB851972 EHF851972 DXJ851972 DNN851972 DDR851972 CTV851972 CJZ851972 CAD851972 BQH851972 BGL851972 AWP851972 AMT851972 ACX851972 TB851972 JF851972 J851972 WVR786436 WLV786436 WBZ786436 VSD786436 VIH786436 UYL786436 UOP786436 UET786436 TUX786436 TLB786436 TBF786436">
      <formula1>#REF!</formula1>
    </dataValidation>
    <dataValidation type="list" allowBlank="1" showInputMessage="1" showErrorMessage="1" sqref="SRJ786436 SHN786436 RXR786436 RNV786436 RDZ786436 QUD786436 QKH786436 QAL786436 PQP786436 PGT786436 OWX786436 ONB786436 ODF786436 NTJ786436 NJN786436 MZR786436 MPV786436 MFZ786436 LWD786436 LMH786436 LCL786436 KSP786436 KIT786436 JYX786436 JPB786436 JFF786436 IVJ786436 ILN786436 IBR786436 HRV786436 HHZ786436 GYD786436 GOH786436 GEL786436 FUP786436 FKT786436 FAX786436 ERB786436 EHF786436 DXJ786436 DNN786436 DDR786436 CTV786436 CJZ786436 CAD786436 BQH786436 BGL786436 AWP786436 AMT786436 ACX786436 TB786436 JF786436 J786436 WVR720900 WLV720900 WBZ720900 VSD720900 VIH720900 UYL720900 UOP720900 UET720900 TUX720900 TLB720900 TBF720900 SRJ720900 SHN720900 RXR720900 RNV720900 RDZ720900 QUD720900 QKH720900 QAL720900 PQP720900 PGT720900 OWX720900 ONB720900 ODF720900 NTJ720900 NJN720900 MZR720900 MPV720900 MFZ720900 LWD720900 LMH720900 LCL720900 KSP720900 KIT720900 JYX720900 JPB720900 JFF720900 IVJ720900 ILN720900 IBR720900 HRV720900 HHZ720900 GYD720900 GOH720900 GEL720900 FUP720900 FKT720900">
      <formula1>#REF!</formula1>
    </dataValidation>
    <dataValidation type="list" allowBlank="1" showInputMessage="1" showErrorMessage="1" sqref="FAX720900 ERB720900 EHF720900 DXJ720900 DNN720900 DDR720900 CTV720900 CJZ720900 CAD720900 BQH720900 BGL720900 AWP720900 AMT720900 ACX720900 TB720900 JF720900 J720900 WVR655364 WLV655364 WBZ655364 VSD655364 VIH655364 UYL655364 UOP655364 UET655364 TUX655364 TLB655364 TBF655364 SRJ655364 SHN655364 RXR655364 RNV655364 RDZ655364 QUD655364 QKH655364 QAL655364 PQP655364 PGT655364 OWX655364 ONB655364 ODF655364 NTJ655364 NJN655364 MZR655364 MPV655364 MFZ655364 LWD655364 LMH655364 LCL655364 KSP655364 KIT655364 JYX655364 JPB655364 JFF655364 IVJ655364 ILN655364 IBR655364 HRV655364 HHZ655364 GYD655364 GOH655364 GEL655364 FUP655364 FKT655364 FAX655364 ERB655364 EHF655364 DXJ655364 DNN655364 DDR655364 CTV655364 CJZ655364 CAD655364 BQH655364 BGL655364 AWP655364 AMT655364 ACX655364 TB655364 JF655364 J655364 WVR589828 WLV589828 WBZ589828 VSD589828 VIH589828 UYL589828 UOP589828 UET589828 TUX589828 TLB589828 TBF589828 SRJ589828 SHN589828 RXR589828 RNV589828 RDZ589828 QUD589828 QKH589828 QAL589828">
      <formula1>#REF!</formula1>
    </dataValidation>
    <dataValidation type="list" allowBlank="1" showInputMessage="1" showErrorMessage="1" sqref="PQP589828 PGT589828 OWX589828 ONB589828 ODF589828 NTJ589828 NJN589828 MZR589828 MPV589828 MFZ589828 LWD589828 LMH589828 LCL589828 KSP589828 KIT589828 JYX589828 JPB589828 JFF589828 IVJ589828 ILN589828 IBR589828 HRV589828 HHZ589828 GYD589828 GOH589828 GEL589828 FUP589828 FKT589828 FAX589828 ERB589828 EHF589828 DXJ589828 DNN589828 DDR589828 CTV589828 CJZ589828 CAD589828 BQH589828 BGL589828 AWP589828 AMT589828 ACX589828 TB589828 JF589828 J589828 WVR524292 WLV524292 WBZ524292 VSD524292 VIH524292 UYL524292 UOP524292 UET524292 TUX524292 TLB524292 TBF524292 SRJ524292 SHN524292 RXR524292 RNV524292 RDZ524292 QUD524292 QKH524292 QAL524292 PQP524292 PGT524292 OWX524292 ONB524292 ODF524292 NTJ524292 NJN524292 MZR524292 MPV524292 MFZ524292 LWD524292 LMH524292 LCL524292 KSP524292 KIT524292 JYX524292 JPB524292 JFF524292 IVJ524292 ILN524292 IBR524292 HRV524292 HHZ524292 GYD524292 GOH524292 GEL524292 FUP524292 FKT524292 FAX524292 ERB524292 EHF524292 DXJ524292 DNN524292 DDR524292 CTV524292 CJZ524292">
      <formula1>#REF!</formula1>
    </dataValidation>
    <dataValidation type="list" allowBlank="1" showInputMessage="1" showErrorMessage="1" sqref="CAD524292 BQH524292 BGL524292 AWP524292 AMT524292 ACX524292 TB524292 JF524292 J524292 WVR458756 WLV458756 WBZ458756 VSD458756 VIH458756 UYL458756 UOP458756 UET458756 TUX458756 TLB458756 TBF458756 SRJ458756 SHN458756 RXR458756 RNV458756 RDZ458756 QUD458756 QKH458756 QAL458756 PQP458756 PGT458756 OWX458756 ONB458756 ODF458756 NTJ458756 NJN458756 MZR458756 MPV458756 MFZ458756 LWD458756 LMH458756 LCL458756 KSP458756 KIT458756 JYX458756 JPB458756 JFF458756 IVJ458756 ILN458756 IBR458756 HRV458756 HHZ458756 GYD458756 GOH458756 GEL458756 FUP458756 FKT458756 FAX458756 ERB458756 EHF458756 DXJ458756 DNN458756 DDR458756 CTV458756 CJZ458756 CAD458756 BQH458756 BGL458756 AWP458756 AMT458756 ACX458756 TB458756 JF458756 J458756 WVR393220 WLV393220 WBZ393220 VSD393220 VIH393220 UYL393220 UOP393220 UET393220 TUX393220 TLB393220 TBF393220 SRJ393220 SHN393220 RXR393220 RNV393220 RDZ393220 QUD393220 QKH393220 QAL393220 PQP393220 PGT393220 OWX393220 ONB393220 ODF393220 NTJ393220 NJN393220 MZR393220">
      <formula1>#REF!</formula1>
    </dataValidation>
    <dataValidation type="list" allowBlank="1" showInputMessage="1" showErrorMessage="1" sqref="MPV393220 MFZ393220 LWD393220 LMH393220 LCL393220 KSP393220 KIT393220 JYX393220 JPB393220 JFF393220 IVJ393220 ILN393220 IBR393220 HRV393220 HHZ393220 GYD393220 GOH393220 GEL393220 FUP393220 FKT393220 FAX393220 ERB393220 EHF393220 DXJ393220 DNN393220 DDR393220 CTV393220 CJZ393220 CAD393220 BQH393220 BGL393220 AWP393220 AMT393220 ACX393220 TB393220 JF393220 J393220 WVR327684 WLV327684 WBZ327684 VSD327684 VIH327684 UYL327684 UOP327684 UET327684 TUX327684 TLB327684 TBF327684 SRJ327684 SHN327684 RXR327684 RNV327684 RDZ327684 QUD327684 QKH327684 QAL327684 PQP327684 PGT327684 OWX327684 ONB327684 ODF327684 NTJ327684 NJN327684 MZR327684 MPV327684 MFZ327684 LWD327684 LMH327684 LCL327684 KSP327684 KIT327684 JYX327684 JPB327684 JFF327684 IVJ327684 ILN327684 IBR327684 HRV327684 HHZ327684 GYD327684 GOH327684 GEL327684 FUP327684 FKT327684 FAX327684 ERB327684 EHF327684 DXJ327684 DNN327684 DDR327684 CTV327684 CJZ327684 CAD327684 BQH327684 BGL327684 AWP327684 AMT327684 ACX327684 TB327684 JF327684">
      <formula1>#REF!</formula1>
    </dataValidation>
    <dataValidation type="list" allowBlank="1" showInputMessage="1" showErrorMessage="1" sqref="J327684 WVR262148 WLV262148 WBZ262148 VSD262148 VIH262148 UYL262148 UOP262148 UET262148 TUX262148 TLB262148 TBF262148 SRJ262148 SHN262148 RXR262148 RNV262148 RDZ262148 QUD262148 QKH262148 QAL262148 PQP262148 PGT262148 OWX262148 ONB262148 ODF262148 NTJ262148 NJN262148 MZR262148 MPV262148 MFZ262148 LWD262148 LMH262148 LCL262148 KSP262148 KIT262148 JYX262148 JPB262148 JFF262148 IVJ262148 ILN262148 IBR262148 HRV262148 HHZ262148 GYD262148 GOH262148 GEL262148 FUP262148 FKT262148 FAX262148 ERB262148 EHF262148 DXJ262148 DNN262148 DDR262148 CTV262148 CJZ262148 CAD262148 BQH262148 BGL262148 AWP262148 AMT262148 ACX262148 TB262148 JF262148 J262148 WVR196612 WLV196612 WBZ196612 VSD196612 VIH196612 UYL196612 UOP196612 UET196612 TUX196612 TLB196612 TBF196612 SRJ196612 SHN196612 RXR196612 RNV196612 RDZ196612 QUD196612 QKH196612 QAL196612 PQP196612 PGT196612 OWX196612 ONB196612 ODF196612 NTJ196612 NJN196612 MZR196612 MPV196612 MFZ196612 LWD196612 LMH196612 LCL196612 KSP196612 KIT196612 JYX196612">
      <formula1>#REF!</formula1>
    </dataValidation>
    <dataValidation type="list" allowBlank="1" showInputMessage="1" showErrorMessage="1" sqref="JPB196612 JFF196612 IVJ196612 ILN196612 IBR196612 HRV196612 HHZ196612 GYD196612 GOH196612 GEL196612 FUP196612 FKT196612 FAX196612 ERB196612 EHF196612 DXJ196612 DNN196612 DDR196612 CTV196612 CJZ196612 CAD196612 BQH196612 BGL196612 AWP196612 AMT196612 ACX196612 TB196612 JF196612 J196612 WVR131076 WLV131076 WBZ131076 VSD131076 VIH131076 UYL131076 UOP131076 UET131076 TUX131076 TLB131076 TBF131076 SRJ131076 SHN131076 RXR131076 RNV131076 RDZ131076 QUD131076 QKH131076 QAL131076 PQP131076 PGT131076 OWX131076 ONB131076 ODF131076 NTJ131076 NJN131076 MZR131076 MPV131076 MFZ131076 LWD131076 LMH131076 LCL131076 KSP131076 KIT131076 JYX131076 JPB131076 JFF131076 IVJ131076 ILN131076 IBR131076 HRV131076 HHZ131076 GYD131076 GOH131076 GEL131076 FUP131076 FKT131076 FAX131076 ERB131076 EHF131076 DXJ131076 DNN131076 DDR131076 CTV131076 CJZ131076 CAD131076 BQH131076 BGL131076 AWP131076 AMT131076 ACX131076 TB131076 JF131076 J131076 WVR65540 WLV65540 WBZ65540 VSD65540 VIH65540 UYL65540 UOP65540">
      <formula1>#REF!</formula1>
    </dataValidation>
    <dataValidation type="list" allowBlank="1" showInputMessage="1" showErrorMessage="1" sqref="UET65540 TUX65540 TLB65540 TBF65540 SRJ65540 SHN65540 RXR65540 RNV65540 RDZ65540 QUD65540 QKH65540 QAL65540 PQP65540 PGT65540 OWX65540 ONB65540 ODF65540 NTJ65540 NJN65540 MZR65540 MPV65540 MFZ65540 LWD65540 LMH65540 LCL65540 KSP65540 KIT65540 JYX65540 JPB65540 JFF65540 IVJ65540 ILN65540 IBR65540 HRV65540 HHZ65540 GYD65540 GOH65540 GEL65540 FUP65540 FKT65540 FAX65540 ERB65540 EHF65540 DXJ65540 DNN65540 DDR65540 CTV65540 CJZ65540 CAD65540 BQH65540 BGL65540 AWP65540 AMT65540 ACX65540 TB65540 JF65540 J65540 WVR4 WLV4 WBZ4 VSD4 VIH4 UYL4 UOP4 UET4 TUX4 TLB4 TBF4 SRJ4 SHN4 RXR4 RNV4 RDZ4 QUD4 QKH4 QAL4 PQP4 PGT4 OWX4 ONB4 ODF4 NTJ4 NJN4 MZR4 MPV4 MFZ4 LWD4 LMH4 LCL4 KSP4 KIT4 JYX4 JPB4 JFF4 IVJ4 ILN4 IBR4 HRV4 HHZ4 GYD4">
      <formula1>#REF!</formula1>
    </dataValidation>
    <dataValidation type="list" allowBlank="1" showInputMessage="1" showErrorMessage="1" sqref="GOH4 GEL4 FUP4 FKT4 FAX4 ERB4 EHF4 DXJ4 DNN4 DDR4 CTV4 CJZ4 CAD4 BQH4 BGL4 AWP4 AMT4 ACX4 TB4 JF4 J4 WVN983044 WLR983044 WBV983044 VRZ983044 VID983044 UYH983044 UOL983044 UEP983044 TUT983044 TKX983044 TBB983044 SRF983044 SHJ983044 RXN983044 RNR983044 RDV983044 QTZ983044 QKD983044 QAH983044 PQL983044 PGP983044 OWT983044 OMX983044 ODB983044 NTF983044 NJJ983044 MZN983044 MPR983044 MFV983044 LVZ983044 LMD983044 LCH983044 KSL983044 KIP983044 JYT983044 JOX983044 JFB983044 IVF983044 ILJ983044 IBN983044 HRR983044 HHV983044 GXZ983044 GOD983044 GEH983044 FUL983044 FKP983044 FAT983044 EQX983044 EHB983044 DXF983044 DNJ983044 DDN983044 CTR983044 CJV983044 BZZ983044 BQD983044 BGH983044 AWL983044 AMP983044 ACT983044 SX983044 JB983044 F983044 WVN917508 WLR917508 WBV917508 VRZ917508 VID917508 UYH917508 UOL917508 UEP917508 TUT917508 TKX917508 TBB917508 SRF917508 SHJ917508 RXN917508 RNR917508">
      <formula1>#REF!</formula1>
    </dataValidation>
    <dataValidation type="list" allowBlank="1" showInputMessage="1" showErrorMessage="1" sqref="RDV917508 QTZ917508 QKD917508 QAH917508 PQL917508 PGP917508 OWT917508 OMX917508 ODB917508 NTF917508 NJJ917508 MZN917508 MPR917508 MFV917508 LVZ917508 LMD917508 LCH917508 KSL917508 KIP917508 JYT917508 JOX917508 JFB917508 IVF917508 ILJ917508 IBN917508 HRR917508 HHV917508 GXZ917508 GOD917508 GEH917508 FUL917508 FKP917508 FAT917508 EQX917508 EHB917508 DXF917508 DNJ917508 DDN917508 CTR917508 CJV917508 BZZ917508 BQD917508 BGH917508 AWL917508 AMP917508 ACT917508 SX917508 JB917508 F917508 WVN851972 WLR851972 WBV851972 VRZ851972 VID851972 UYH851972 UOL851972 UEP851972 TUT851972 TKX851972 TBB851972 SRF851972 SHJ851972 RXN851972 RNR851972 RDV851972 QTZ851972 QKD851972 QAH851972 PQL851972 PGP851972 OWT851972 OMX851972 ODB851972 NTF851972 NJJ851972 MZN851972 MPR851972 MFV851972 LVZ851972 LMD851972 LCH851972 KSL851972 KIP851972 JYT851972 JOX851972 JFB851972 IVF851972 ILJ851972 IBN851972 HRR851972 HHV851972 GXZ851972 GOD851972 GEH851972 FUL851972 FKP851972 FAT851972 EQX851972 EHB851972 DXF851972">
      <formula1>#REF!</formula1>
    </dataValidation>
    <dataValidation type="list" allowBlank="1" showInputMessage="1" showErrorMessage="1" sqref="DNJ851972 DDN851972 CTR851972 CJV851972 BZZ851972 BQD851972 BGH851972 AWL851972 AMP851972 ACT851972 SX851972 JB851972 F851972 WVN786436 WLR786436 WBV786436 VRZ786436 VID786436 UYH786436 UOL786436 UEP786436 TUT786436 TKX786436 TBB786436 SRF786436 SHJ786436 RXN786436 RNR786436 RDV786436 QTZ786436 QKD786436 QAH786436 PQL786436 PGP786436 OWT786436 OMX786436 ODB786436 NTF786436 NJJ786436 MZN786436 MPR786436 MFV786436 LVZ786436 LMD786436 LCH786436 KSL786436 KIP786436 JYT786436 JOX786436 JFB786436 IVF786436 ILJ786436 IBN786436 HRR786436 HHV786436 GXZ786436 GOD786436 GEH786436 FUL786436 FKP786436 FAT786436 EQX786436 EHB786436 DXF786436 DNJ786436 DDN786436 CTR786436 CJV786436 BZZ786436 BQD786436 BGH786436 AWL786436 AMP786436 ACT786436 SX786436 JB786436 F786436 WVN720900 WLR720900 WBV720900 VRZ720900 VID720900 UYH720900 UOL720900 UEP720900 TUT720900 TKX720900 TBB720900 SRF720900 SHJ720900 RXN720900 RNR720900 RDV720900 QTZ720900 QKD720900 QAH720900 PQL720900 PGP720900 OWT720900 OMX720900">
      <formula1>#REF!</formula1>
    </dataValidation>
    <dataValidation type="list" allowBlank="1" showInputMessage="1" showErrorMessage="1" sqref="ODB720900 NTF720900 NJJ720900 MZN720900 MPR720900 MFV720900 LVZ720900 LMD720900 LCH720900 KSL720900 KIP720900 JYT720900 JOX720900 JFB720900 IVF720900 ILJ720900 IBN720900 HRR720900 HHV720900 GXZ720900 GOD720900 GEH720900 FUL720900 FKP720900 FAT720900 EQX720900 EHB720900 DXF720900 DNJ720900 DDN720900 CTR720900 CJV720900 BZZ720900 BQD720900 BGH720900 AWL720900 AMP720900 ACT720900 SX720900 JB720900 F720900 WVN655364 WLR655364 WBV655364 VRZ655364 VID655364 UYH655364 UOL655364 UEP655364 TUT655364 TKX655364 TBB655364 SRF655364 SHJ655364 RXN655364 RNR655364 RDV655364 QTZ655364 QKD655364 QAH655364 PQL655364 PGP655364 OWT655364 OMX655364 ODB655364 NTF655364 NJJ655364 MZN655364 MPR655364 MFV655364 LVZ655364 LMD655364 LCH655364 KSL655364 KIP655364 JYT655364 JOX655364 JFB655364 IVF655364 ILJ655364 IBN655364 HRR655364 HHV655364 GXZ655364 GOD655364 GEH655364 FUL655364 FKP655364 FAT655364 EQX655364 EHB655364 DXF655364 DNJ655364 DDN655364 CTR655364 CJV655364 BZZ655364 BQD655364 BGH655364 AWL655364">
      <formula1>#REF!</formula1>
    </dataValidation>
    <dataValidation type="list" allowBlank="1" showInputMessage="1" showErrorMessage="1" sqref="AMP655364 ACT655364 SX655364 JB655364 F655364 WVN589828 WLR589828 WBV589828 VRZ589828 VID589828 UYH589828 UOL589828 UEP589828 TUT589828 TKX589828 TBB589828 SRF589828 SHJ589828 RXN589828 RNR589828 RDV589828 QTZ589828 QKD589828 QAH589828 PQL589828 PGP589828 OWT589828 OMX589828 ODB589828 NTF589828 NJJ589828 MZN589828 MPR589828 MFV589828 LVZ589828 LMD589828 LCH589828 KSL589828 KIP589828 JYT589828 JOX589828 JFB589828 IVF589828 ILJ589828 IBN589828 HRR589828 HHV589828 GXZ589828 GOD589828 GEH589828 FUL589828 FKP589828 FAT589828 EQX589828 EHB589828 DXF589828 DNJ589828 DDN589828 CTR589828 CJV589828 BZZ589828 BQD589828 BGH589828 AWL589828 AMP589828 ACT589828 SX589828 JB589828 F589828 WVN524292 WLR524292 WBV524292 VRZ524292 VID524292 UYH524292 UOL524292 UEP524292 TUT524292 TKX524292 TBB524292 SRF524292 SHJ524292 RXN524292 RNR524292 RDV524292 QTZ524292 QKD524292 QAH524292 PQL524292 PGP524292 OWT524292 OMX524292 ODB524292 NTF524292 NJJ524292 MZN524292 MPR524292 MFV524292 LVZ524292 LMD524292">
      <formula1>#REF!</formula1>
    </dataValidation>
    <dataValidation type="list" allowBlank="1" showInputMessage="1" showErrorMessage="1" sqref="LCH524292 KSL524292 KIP524292 JYT524292 JOX524292 JFB524292 IVF524292 ILJ524292 IBN524292 HRR524292 HHV524292 GXZ524292 GOD524292 GEH524292 FUL524292 FKP524292 FAT524292 EQX524292 EHB524292 DXF524292 DNJ524292 DDN524292 CTR524292 CJV524292 BZZ524292 BQD524292 BGH524292 AWL524292 AMP524292 ACT524292 SX524292 JB524292 F524292 WVN458756 WLR458756 WBV458756 VRZ458756 VID458756 UYH458756 UOL458756 UEP458756 TUT458756 TKX458756 TBB458756 SRF458756 SHJ458756 RXN458756 RNR458756 RDV458756 QTZ458756 QKD458756 QAH458756 PQL458756 PGP458756 OWT458756 OMX458756 ODB458756 NTF458756 NJJ458756 MZN458756 MPR458756 MFV458756 LVZ458756 LMD458756 LCH458756 KSL458756 KIP458756 JYT458756 JOX458756 JFB458756 IVF458756 ILJ458756 IBN458756 HRR458756 HHV458756 GXZ458756 GOD458756 GEH458756 FUL458756 FKP458756 FAT458756 EQX458756 EHB458756 DXF458756 DNJ458756 DDN458756 CTR458756 CJV458756 BZZ458756 BQD458756 BGH458756 AWL458756 AMP458756 ACT458756 SX458756 JB458756 F458756 WVN393220 WLR393220 WBV393220">
      <formula1>#REF!</formula1>
    </dataValidation>
    <dataValidation type="list" allowBlank="1" showInputMessage="1" showErrorMessage="1" sqref="VRZ393220 VID393220 UYH393220 UOL393220 UEP393220 TUT393220 TKX393220 TBB393220 SRF393220 SHJ393220 RXN393220 RNR393220 RDV393220 QTZ393220 QKD393220 QAH393220 PQL393220 PGP393220 OWT393220 OMX393220 ODB393220 NTF393220 NJJ393220 MZN393220 MPR393220 MFV393220 LVZ393220 LMD393220 LCH393220 KSL393220 KIP393220 JYT393220 JOX393220 JFB393220 IVF393220 ILJ393220 IBN393220 HRR393220 HHV393220 GXZ393220 GOD393220 GEH393220 FUL393220 FKP393220 FAT393220 EQX393220 EHB393220 DXF393220 DNJ393220 DDN393220 CTR393220 CJV393220 BZZ393220 BQD393220 BGH393220 AWL393220 AMP393220 ACT393220 SX393220 JB393220 F393220 WVN327684 WLR327684 WBV327684 VRZ327684 VID327684 UYH327684 UOL327684 UEP327684 TUT327684 TKX327684 TBB327684 SRF327684 SHJ327684 RXN327684 RNR327684 RDV327684 QTZ327684 QKD327684 QAH327684 PQL327684 PGP327684 OWT327684 OMX327684 ODB327684 NTF327684 NJJ327684 MZN327684 MPR327684 MFV327684 LVZ327684 LMD327684 LCH327684 KSL327684 KIP327684 JYT327684 JOX327684 JFB327684 IVF327684 ILJ327684">
      <formula1>#REF!</formula1>
    </dataValidation>
    <dataValidation type="list" allowBlank="1" showInputMessage="1" showErrorMessage="1" sqref="IBN327684 HRR327684 HHV327684 GXZ327684 GOD327684 GEH327684 FUL327684 FKP327684 FAT327684 EQX327684 EHB327684 DXF327684 DNJ327684 DDN327684 CTR327684 CJV327684 BZZ327684 BQD327684 BGH327684 AWL327684 AMP327684 ACT327684 SX327684 JB327684 F327684 WVN262148 WLR262148 WBV262148 VRZ262148 VID262148 UYH262148 UOL262148 UEP262148 TUT262148 TKX262148 TBB262148 SRF262148 SHJ262148 RXN262148 RNR262148 RDV262148 QTZ262148 QKD262148 QAH262148 PQL262148 PGP262148 OWT262148 OMX262148 ODB262148 NTF262148 NJJ262148 MZN262148 MPR262148 MFV262148 LVZ262148 LMD262148 LCH262148 KSL262148 KIP262148 JYT262148 JOX262148 JFB262148 IVF262148 ILJ262148 IBN262148 HRR262148 HHV262148 GXZ262148 GOD262148 GEH262148 FUL262148 FKP262148 FAT262148 EQX262148 EHB262148 DXF262148 DNJ262148 DDN262148 CTR262148 CJV262148 BZZ262148 BQD262148 BGH262148 AWL262148 AMP262148 ACT262148 SX262148 JB262148 F262148 WVN196612 WLR196612 WBV196612 VRZ196612 VID196612 UYH196612 UOL196612 UEP196612 TUT196612 TKX196612 TBB196612">
      <formula1>#REF!</formula1>
    </dataValidation>
    <dataValidation type="list" allowBlank="1" showInputMessage="1" showErrorMessage="1" sqref="SRF196612 SHJ196612 RXN196612 RNR196612 RDV196612 QTZ196612 QKD196612 QAH196612 PQL196612 PGP196612 OWT196612 OMX196612 ODB196612 NTF196612 NJJ196612 MZN196612 MPR196612 MFV196612 LVZ196612 LMD196612 LCH196612 KSL196612 KIP196612 JYT196612 JOX196612 JFB196612 IVF196612 ILJ196612 IBN196612 HRR196612 HHV196612 GXZ196612 GOD196612 GEH196612 FUL196612 FKP196612 FAT196612 EQX196612 EHB196612 DXF196612 DNJ196612 DDN196612 CTR196612 CJV196612 BZZ196612 BQD196612 BGH196612 AWL196612 AMP196612 ACT196612 SX196612 JB196612 F196612 WVN131076 WLR131076 WBV131076 VRZ131076 VID131076 UYH131076 UOL131076 UEP131076 TUT131076 TKX131076 TBB131076 SRF131076 SHJ131076 RXN131076 RNR131076 RDV131076 QTZ131076 QKD131076 QAH131076 PQL131076 PGP131076 OWT131076 OMX131076 ODB131076 NTF131076 NJJ131076 MZN131076 MPR131076 MFV131076 LVZ131076 LMD131076 LCH131076 KSL131076 KIP131076 JYT131076 JOX131076 JFB131076 IVF131076 ILJ131076 IBN131076 HRR131076 HHV131076 GXZ131076 GOD131076 GEH131076 FUL131076 FKP131076">
      <formula1>#REF!</formula1>
    </dataValidation>
    <dataValidation type="list" allowBlank="1" showInputMessage="1" showErrorMessage="1" sqref="FAT131076 EQX131076 EHB131076 DXF131076 DNJ131076 DDN131076 CTR131076 CJV131076 BZZ131076 BQD131076 BGH131076 AWL131076 AMP131076 ACT131076 SX131076 JB131076 F131076 WVN65540 WLR65540 WBV65540 VRZ65540 VID65540 UYH65540 UOL65540 UEP65540 TUT65540 TKX65540 TBB65540 SRF65540 SHJ65540 RXN65540 RNR65540 RDV65540 QTZ65540 QKD65540 QAH65540 PQL65540 PGP65540 OWT65540 OMX65540 ODB65540 NTF65540 NJJ65540 MZN65540 MPR65540 MFV65540 LVZ65540 LMD65540 LCH65540 KSL65540 KIP65540 JYT65540 JOX65540 JFB65540 IVF65540 ILJ65540 IBN65540 HRR65540 HHV65540 GXZ65540 GOD65540 GEH65540 FUL65540 FKP65540 FAT65540 EQX65540 EHB65540 DXF65540 DNJ65540 DDN65540 CTR65540 CJV65540 BZZ65540 BQD65540 BGH65540 AWL65540 AMP65540 ACT65540 SX65540 JB65540 F65540 WVN4 WLR4 WBV4 VRZ4 VID4 UYH4 UOL4 UEP4 TUT4 TKX4 TBB4 SRF4 SHJ4 RXN4 RNR4 RDV4 QTZ4 QKD4 QAH4">
      <formula1>#REF!</formula1>
    </dataValidation>
    <dataValidation type="list" allowBlank="1" showInputMessage="1" showErrorMessage="1" sqref="PQL4 PGP4 OWT4 OMX4 ODB4 NTF4 NJJ4 MZN4 MPR4 MFV4 LVZ4 LMD4 LCH4 KSL4 KIP4 JYT4 JOX4 JFB4 IVF4 ILJ4 IBN4 HRR4 HHV4 GXZ4 GOD4 GEH4 FUL4 FKP4 FAT4 EQX4 EHB4 DXF4 DNJ4 DDN4 CTR4 CJV4 BZZ4 BQD4 BGH4 AWL4 AMP4 ACT4 SX4 JB4 F4 WVN983069:WVO983069 WLR983069:WLS983069 WBV983069:WBW983069 VRZ983069:VSA983069 VID983069:VIE983069 UYH983069:UYI983069 UOL983069:UOM983069 UEP983069:UEQ983069 TUT983069:TUU983069 TKX983069:TKY983069 TBB983069:TBC983069 SRF983069:SRG983069 SHJ983069:SHK983069 RXN983069:RXO983069 RNR983069:RNS983069 RDV983069:RDW983069 QTZ983069:QUA983069 QKD983069:QKE983069 QAH983069:QAI983069 PQL983069:PQM983069 PGP983069:PGQ983069 OWT983069:OWU983069 OMX983069:OMY983069 ODB983069:ODC983069 NTF983069:NTG983069 NJJ983069:NJK983069 MZN983069:MZO983069 MPR983069:MPS983069 MFV983069:MFW983069 LVZ983069:LWA983069 LMD983069:LME983069 LCH983069:LCI983069 KSL983069:KSM983069 KIP983069:KIQ983069 JYT983069:JYU983069 JOX983069:JOY983069 JFB983069:JFC983069 IVF983069:IVG983069 ILJ983069:ILK983069 IBN983069:IBO983069 HRR983069:HRS983069 HHV983069:HHW983069 GXZ983069:GYA983069 GOD983069:GOE983069 GEH983069:GEI983069 FUL983069:FUM983069 FKP983069:FKQ983069 FAT983069:FAU983069 EQX983069:EQY983069 EHB983069:EHC983069 DXF983069:DXG983069 DNJ983069:DNK983069 DDN983069:DDO983069 CTR983069:CTS983069 CJV983069:CJW983069">
      <formula1>#REF!</formula1>
    </dataValidation>
    <dataValidation type="list" allowBlank="1" showInputMessage="1" showErrorMessage="1" sqref="BZZ983069:CAA983069 BQD983069:BQE983069 BGH983069:BGI983069 AWL983069:AWM983069 AMP983069:AMQ983069 ACT983069:ACU983069 SX983069:SY983069 JB983069:JC983069 F983069:G983069 WVN917533:WVO917533 WLR917533:WLS917533 WBV917533:WBW917533 VRZ917533:VSA917533 VID917533:VIE917533 UYH917533:UYI917533 UOL917533:UOM917533 UEP917533:UEQ917533 TUT917533:TUU917533 TKX917533:TKY917533 TBB917533:TBC917533 SRF917533:SRG917533 SHJ917533:SHK917533 RXN917533:RXO917533 RNR917533:RNS917533 RDV917533:RDW917533 QTZ917533:QUA917533 QKD917533:QKE917533 QAH917533:QAI917533 PQL917533:PQM917533 PGP917533:PGQ917533 OWT917533:OWU917533 OMX917533:OMY917533 ODB917533:ODC917533 NTF917533:NTG917533 NJJ917533:NJK917533 MZN917533:MZO917533 MPR917533:MPS917533 MFV917533:MFW917533 LVZ917533:LWA917533 LMD917533:LME917533 LCH917533:LCI917533 KSL917533:KSM917533 KIP917533:KIQ917533 JYT917533:JYU917533 JOX917533:JOY917533 JFB917533:JFC917533 IVF917533:IVG917533 ILJ917533:ILK917533 IBN917533:IBO917533 HRR917533:HRS917533 HHV917533:HHW917533 GXZ917533:GYA917533 GOD917533:GOE917533 GEH917533:GEI917533 FUL917533:FUM917533 FKP917533:FKQ917533 FAT917533:FAU917533 EQX917533:EQY917533 EHB917533:EHC917533 DXF917533:DXG917533 DNJ917533:DNK917533 DDN917533:DDO917533 CTR917533:CTS917533 CJV917533:CJW917533 BZZ917533:CAA917533 BQD917533:BQE917533 BGH917533:BGI917533 AWL917533:AWM917533 AMP917533:AMQ917533 ACT917533:ACU917533 SX917533:SY917533 JB917533:JC917533 F917533:G917533 WVN851997:WVO851997 WLR851997:WLS851997 WBV851997:WBW851997 VRZ851997:VSA851997 VID851997:VIE851997 UYH851997:UYI851997 UOL851997:UOM851997 UEP851997:UEQ851997 TUT851997:TUU851997 TKX851997:TKY851997 TBB851997:TBC851997 SRF851997:SRG851997 SHJ851997:SHK851997 RXN851997:RXO851997 RNR851997:RNS851997 RDV851997:RDW851997 QTZ851997:QUA851997 QKD851997:QKE851997 QAH851997:QAI851997 PQL851997:PQM851997 PGP851997:PGQ851997 OWT851997:OWU851997 OMX851997:OMY851997 ODB851997:ODC851997 NTF851997:NTG851997 NJJ851997:NJK851997 MZN851997:MZO851997">
      <formula1>#REF!</formula1>
    </dataValidation>
    <dataValidation type="list" allowBlank="1" showInputMessage="1" showErrorMessage="1" sqref="MPR851997:MPS851997 MFV851997:MFW851997 LVZ851997:LWA851997 LMD851997:LME851997 LCH851997:LCI851997 KSL851997:KSM851997 KIP851997:KIQ851997 JYT851997:JYU851997 JOX851997:JOY851997 JFB851997:JFC851997 IVF851997:IVG851997 ILJ851997:ILK851997 IBN851997:IBO851997 HRR851997:HRS851997 HHV851997:HHW851997 GXZ851997:GYA851997 GOD851997:GOE851997 GEH851997:GEI851997 FUL851997:FUM851997 FKP851997:FKQ851997 FAT851997:FAU851997 EQX851997:EQY851997 EHB851997:EHC851997 DXF851997:DXG851997 DNJ851997:DNK851997 DDN851997:DDO851997 CTR851997:CTS851997 CJV851997:CJW851997 BZZ851997:CAA851997 BQD851997:BQE851997 BGH851997:BGI851997 AWL851997:AWM851997 AMP851997:AMQ851997 ACT851997:ACU851997 SX851997:SY851997 JB851997:JC851997 F851997:G851997 WVN786461:WVO786461 WLR786461:WLS786461 WBV786461:WBW786461 VRZ786461:VSA786461 VID786461:VIE786461 UYH786461:UYI786461 UOL786461:UOM786461 UEP786461:UEQ786461 TUT786461:TUU786461 TKX786461:TKY786461 TBB786461:TBC786461 SRF786461:SRG786461 SHJ786461:SHK786461 RXN786461:RXO786461 RNR786461:RNS786461 RDV786461:RDW786461 QTZ786461:QUA786461 QKD786461:QKE786461 QAH786461:QAI786461 PQL786461:PQM786461 PGP786461:PGQ786461 OWT786461:OWU786461 OMX786461:OMY786461 ODB786461:ODC786461 NTF786461:NTG786461 NJJ786461:NJK786461 MZN786461:MZO786461 MPR786461:MPS786461 MFV786461:MFW786461 LVZ786461:LWA786461 LMD786461:LME786461 LCH786461:LCI786461 KSL786461:KSM786461 KIP786461:KIQ786461 JYT786461:JYU786461 JOX786461:JOY786461 JFB786461:JFC786461 IVF786461:IVG786461 ILJ786461:ILK786461 IBN786461:IBO786461 HRR786461:HRS786461 HHV786461:HHW786461 GXZ786461:GYA786461 GOD786461:GOE786461 GEH786461:GEI786461 FUL786461:FUM786461 FKP786461:FKQ786461 FAT786461:FAU786461 EQX786461:EQY786461 EHB786461:EHC786461 DXF786461:DXG786461 DNJ786461:DNK786461 DDN786461:DDO786461 CTR786461:CTS786461 CJV786461:CJW786461 BZZ786461:CAA786461 BQD786461:BQE786461 BGH786461:BGI786461 AWL786461:AWM786461 AMP786461:AMQ786461 ACT786461:ACU786461 SX786461:SY786461 JB786461:JC786461">
      <formula1>#REF!</formula1>
    </dataValidation>
    <dataValidation type="list" allowBlank="1" showInputMessage="1" showErrorMessage="1" sqref="F786461:G786461 WVN720925:WVO720925 WLR720925:WLS720925 WBV720925:WBW720925 VRZ720925:VSA720925 VID720925:VIE720925 UYH720925:UYI720925 UOL720925:UOM720925 UEP720925:UEQ720925 TUT720925:TUU720925 TKX720925:TKY720925 TBB720925:TBC720925 SRF720925:SRG720925 SHJ720925:SHK720925 RXN720925:RXO720925 RNR720925:RNS720925 RDV720925:RDW720925 QTZ720925:QUA720925 QKD720925:QKE720925 QAH720925:QAI720925 PQL720925:PQM720925 PGP720925:PGQ720925 OWT720925:OWU720925 OMX720925:OMY720925 ODB720925:ODC720925 NTF720925:NTG720925 NJJ720925:NJK720925 MZN720925:MZO720925 MPR720925:MPS720925 MFV720925:MFW720925 LVZ720925:LWA720925 LMD720925:LME720925 LCH720925:LCI720925 KSL720925:KSM720925 KIP720925:KIQ720925 JYT720925:JYU720925 JOX720925:JOY720925 JFB720925:JFC720925 IVF720925:IVG720925 ILJ720925:ILK720925 IBN720925:IBO720925 HRR720925:HRS720925 HHV720925:HHW720925 GXZ720925:GYA720925 GOD720925:GOE720925 GEH720925:GEI720925 FUL720925:FUM720925 FKP720925:FKQ720925 FAT720925:FAU720925 EQX720925:EQY720925 EHB720925:EHC720925 DXF720925:DXG720925 DNJ720925:DNK720925 DDN720925:DDO720925 CTR720925:CTS720925 CJV720925:CJW720925 BZZ720925:CAA720925 BQD720925:BQE720925 BGH720925:BGI720925 AWL720925:AWM720925 AMP720925:AMQ720925 ACT720925:ACU720925 SX720925:SY720925 JB720925:JC720925 F720925:G720925 WVN655389:WVO655389 WLR655389:WLS655389 WBV655389:WBW655389 VRZ655389:VSA655389 VID655389:VIE655389 UYH655389:UYI655389 UOL655389:UOM655389 UEP655389:UEQ655389 TUT655389:TUU655389 TKX655389:TKY655389 TBB655389:TBC655389 SRF655389:SRG655389 SHJ655389:SHK655389 RXN655389:RXO655389 RNR655389:RNS655389 RDV655389:RDW655389 QTZ655389:QUA655389 QKD655389:QKE655389 QAH655389:QAI655389 PQL655389:PQM655389 PGP655389:PGQ655389 OWT655389:OWU655389 OMX655389:OMY655389 ODB655389:ODC655389 NTF655389:NTG655389 NJJ655389:NJK655389 MZN655389:MZO655389 MPR655389:MPS655389 MFV655389:MFW655389 LVZ655389:LWA655389 LMD655389:LME655389 LCH655389:LCI655389 KSL655389:KSM655389 KIP655389:KIQ655389 JYT655389:JYU655389">
      <formula1>#REF!</formula1>
    </dataValidation>
    <dataValidation type="list" allowBlank="1" showInputMessage="1" showErrorMessage="1" sqref="JOX655389:JOY655389 JFB655389:JFC655389 IVF655389:IVG655389 ILJ655389:ILK655389 IBN655389:IBO655389 HRR655389:HRS655389 HHV655389:HHW655389 GXZ655389:GYA655389 GOD655389:GOE655389 GEH655389:GEI655389 FUL655389:FUM655389 FKP655389:FKQ655389 FAT655389:FAU655389 EQX655389:EQY655389 EHB655389:EHC655389 DXF655389:DXG655389 DNJ655389:DNK655389 DDN655389:DDO655389 CTR655389:CTS655389 CJV655389:CJW655389 BZZ655389:CAA655389 BQD655389:BQE655389 BGH655389:BGI655389 AWL655389:AWM655389 AMP655389:AMQ655389 ACT655389:ACU655389 SX655389:SY655389 JB655389:JC655389 F655389:G655389 WVN589853:WVO589853 WLR589853:WLS589853 WBV589853:WBW589853 VRZ589853:VSA589853 VID589853:VIE589853 UYH589853:UYI589853 UOL589853:UOM589853 UEP589853:UEQ589853 TUT589853:TUU589853 TKX589853:TKY589853 TBB589853:TBC589853 SRF589853:SRG589853 SHJ589853:SHK589853 RXN589853:RXO589853 RNR589853:RNS589853 RDV589853:RDW589853 QTZ589853:QUA589853 QKD589853:QKE589853 QAH589853:QAI589853 PQL589853:PQM589853 PGP589853:PGQ589853 OWT589853:OWU589853 OMX589853:OMY589853 ODB589853:ODC589853 NTF589853:NTG589853 NJJ589853:NJK589853 MZN589853:MZO589853 MPR589853:MPS589853 MFV589853:MFW589853 LVZ589853:LWA589853 LMD589853:LME589853 LCH589853:LCI589853 KSL589853:KSM589853 KIP589853:KIQ589853 JYT589853:JYU589853 JOX589853:JOY589853 JFB589853:JFC589853 IVF589853:IVG589853 ILJ589853:ILK589853 IBN589853:IBO589853 HRR589853:HRS589853 HHV589853:HHW589853 GXZ589853:GYA589853 GOD589853:GOE589853 GEH589853:GEI589853 FUL589853:FUM589853 FKP589853:FKQ589853 FAT589853:FAU589853 EQX589853:EQY589853 EHB589853:EHC589853 DXF589853:DXG589853 DNJ589853:DNK589853 DDN589853:DDO589853 CTR589853:CTS589853 CJV589853:CJW589853 BZZ589853:CAA589853 BQD589853:BQE589853 BGH589853:BGI589853 AWL589853:AWM589853 AMP589853:AMQ589853 ACT589853:ACU589853 SX589853:SY589853 JB589853:JC589853 F589853:G589853 WVN524317:WVO524317 WLR524317:WLS524317 WBV524317:WBW524317 VRZ524317:VSA524317 VID524317:VIE524317 UYH524317:UYI524317 UOL524317:UOM524317">
      <formula1>#REF!</formula1>
    </dataValidation>
    <dataValidation type="list" allowBlank="1" showInputMessage="1" showErrorMessage="1" sqref="UEP524317:UEQ524317 TUT524317:TUU524317 TKX524317:TKY524317 TBB524317:TBC524317 SRF524317:SRG524317 SHJ524317:SHK524317 RXN524317:RXO524317 RNR524317:RNS524317 RDV524317:RDW524317 QTZ524317:QUA524317 QKD524317:QKE524317 QAH524317:QAI524317 PQL524317:PQM524317 PGP524317:PGQ524317 OWT524317:OWU524317 OMX524317:OMY524317 ODB524317:ODC524317 NTF524317:NTG524317 NJJ524317:NJK524317 MZN524317:MZO524317 MPR524317:MPS524317 MFV524317:MFW524317 LVZ524317:LWA524317 LMD524317:LME524317 LCH524317:LCI524317 KSL524317:KSM524317 KIP524317:KIQ524317 JYT524317:JYU524317 JOX524317:JOY524317 JFB524317:JFC524317 IVF524317:IVG524317 ILJ524317:ILK524317 IBN524317:IBO524317 HRR524317:HRS524317 HHV524317:HHW524317 GXZ524317:GYA524317 GOD524317:GOE524317 GEH524317:GEI524317 FUL524317:FUM524317 FKP524317:FKQ524317 FAT524317:FAU524317 EQX524317:EQY524317 EHB524317:EHC524317 DXF524317:DXG524317 DNJ524317:DNK524317 DDN524317:DDO524317 CTR524317:CTS524317 CJV524317:CJW524317 BZZ524317:CAA524317 BQD524317:BQE524317 BGH524317:BGI524317 AWL524317:AWM524317 AMP524317:AMQ524317 ACT524317:ACU524317 SX524317:SY524317 JB524317:JC524317 F524317:G524317 WVN458781:WVO458781 WLR458781:WLS458781 WBV458781:WBW458781 VRZ458781:VSA458781 VID458781:VIE458781 UYH458781:UYI458781 UOL458781:UOM458781 UEP458781:UEQ458781 TUT458781:TUU458781 TKX458781:TKY458781 TBB458781:TBC458781 SRF458781:SRG458781 SHJ458781:SHK458781 RXN458781:RXO458781 RNR458781:RNS458781 RDV458781:RDW458781 QTZ458781:QUA458781 QKD458781:QKE458781 QAH458781:QAI458781 PQL458781:PQM458781 PGP458781:PGQ458781 OWT458781:OWU458781 OMX458781:OMY458781 ODB458781:ODC458781 NTF458781:NTG458781 NJJ458781:NJK458781 MZN458781:MZO458781 MPR458781:MPS458781 MFV458781:MFW458781 LVZ458781:LWA458781 LMD458781:LME458781 LCH458781:LCI458781 KSL458781:KSM458781 KIP458781:KIQ458781 JYT458781:JYU458781 JOX458781:JOY458781 JFB458781:JFC458781 IVF458781:IVG458781 ILJ458781:ILK458781 IBN458781:IBO458781 HRR458781:HRS458781 HHV458781:HHW458781 GXZ458781:GYA458781">
      <formula1>#REF!</formula1>
    </dataValidation>
    <dataValidation type="list" allowBlank="1" showInputMessage="1" showErrorMessage="1" sqref="GOD458781:GOE458781 GEH458781:GEI458781 FUL458781:FUM458781 FKP458781:FKQ458781 FAT458781:FAU458781 EQX458781:EQY458781 EHB458781:EHC458781 DXF458781:DXG458781 DNJ458781:DNK458781 DDN458781:DDO458781 CTR458781:CTS458781 CJV458781:CJW458781 BZZ458781:CAA458781 BQD458781:BQE458781 BGH458781:BGI458781 AWL458781:AWM458781 AMP458781:AMQ458781 ACT458781:ACU458781 SX458781:SY458781 JB458781:JC458781 F458781:G458781 WVN393245:WVO393245 WLR393245:WLS393245 WBV393245:WBW393245 VRZ393245:VSA393245 VID393245:VIE393245 UYH393245:UYI393245 UOL393245:UOM393245 UEP393245:UEQ393245 TUT393245:TUU393245 TKX393245:TKY393245 TBB393245:TBC393245 SRF393245:SRG393245 SHJ393245:SHK393245 RXN393245:RXO393245 RNR393245:RNS393245 RDV393245:RDW393245 QTZ393245:QUA393245 QKD393245:QKE393245 QAH393245:QAI393245 PQL393245:PQM393245 PGP393245:PGQ393245 OWT393245:OWU393245 OMX393245:OMY393245 ODB393245:ODC393245 NTF393245:NTG393245 NJJ393245:NJK393245 MZN393245:MZO393245 MPR393245:MPS393245 MFV393245:MFW393245 LVZ393245:LWA393245 LMD393245:LME393245 LCH393245:LCI393245 KSL393245:KSM393245 KIP393245:KIQ393245 JYT393245:JYU393245 JOX393245:JOY393245 JFB393245:JFC393245 IVF393245:IVG393245 ILJ393245:ILK393245 IBN393245:IBO393245 HRR393245:HRS393245 HHV393245:HHW393245 GXZ393245:GYA393245 GOD393245:GOE393245 GEH393245:GEI393245 FUL393245:FUM393245 FKP393245:FKQ393245 FAT393245:FAU393245 EQX393245:EQY393245 EHB393245:EHC393245 DXF393245:DXG393245 DNJ393245:DNK393245 DDN393245:DDO393245 CTR393245:CTS393245 CJV393245:CJW393245 BZZ393245:CAA393245 BQD393245:BQE393245 BGH393245:BGI393245 AWL393245:AWM393245 AMP393245:AMQ393245 ACT393245:ACU393245 SX393245:SY393245 JB393245:JC393245 F393245:G393245 WVN327709:WVO327709 WLR327709:WLS327709 WBV327709:WBW327709 VRZ327709:VSA327709 VID327709:VIE327709 UYH327709:UYI327709 UOL327709:UOM327709 UEP327709:UEQ327709 TUT327709:TUU327709 TKX327709:TKY327709 TBB327709:TBC327709 SRF327709:SRG327709 SHJ327709:SHK327709 RXN327709:RXO327709 RNR327709:RNS327709">
      <formula1>#REF!</formula1>
    </dataValidation>
    <dataValidation type="list" allowBlank="1" showInputMessage="1" showErrorMessage="1" sqref="RDV327709:RDW327709 QTZ327709:QUA327709 QKD327709:QKE327709 QAH327709:QAI327709 PQL327709:PQM327709 PGP327709:PGQ327709 OWT327709:OWU327709 OMX327709:OMY327709 ODB327709:ODC327709 NTF327709:NTG327709 NJJ327709:NJK327709 MZN327709:MZO327709 MPR327709:MPS327709 MFV327709:MFW327709 LVZ327709:LWA327709 LMD327709:LME327709 LCH327709:LCI327709 KSL327709:KSM327709 KIP327709:KIQ327709 JYT327709:JYU327709 JOX327709:JOY327709 JFB327709:JFC327709 IVF327709:IVG327709 ILJ327709:ILK327709 IBN327709:IBO327709 HRR327709:HRS327709 HHV327709:HHW327709 GXZ327709:GYA327709 GOD327709:GOE327709 GEH327709:GEI327709 FUL327709:FUM327709 FKP327709:FKQ327709 FAT327709:FAU327709 EQX327709:EQY327709 EHB327709:EHC327709 DXF327709:DXG327709 DNJ327709:DNK327709 DDN327709:DDO327709 CTR327709:CTS327709 CJV327709:CJW327709 BZZ327709:CAA327709 BQD327709:BQE327709 BGH327709:BGI327709 AWL327709:AWM327709 AMP327709:AMQ327709 ACT327709:ACU327709 SX327709:SY327709 JB327709:JC327709 F327709:G327709 WVN262173:WVO262173 WLR262173:WLS262173 WBV262173:WBW262173 VRZ262173:VSA262173 VID262173:VIE262173 UYH262173:UYI262173 UOL262173:UOM262173 UEP262173:UEQ262173 TUT262173:TUU262173 TKX262173:TKY262173 TBB262173:TBC262173 SRF262173:SRG262173 SHJ262173:SHK262173 RXN262173:RXO262173 RNR262173:RNS262173 RDV262173:RDW262173 QTZ262173:QUA262173 QKD262173:QKE262173 QAH262173:QAI262173 PQL262173:PQM262173 PGP262173:PGQ262173 OWT262173:OWU262173 OMX262173:OMY262173 ODB262173:ODC262173 NTF262173:NTG262173 NJJ262173:NJK262173 MZN262173:MZO262173 MPR262173:MPS262173 MFV262173:MFW262173 LVZ262173:LWA262173 LMD262173:LME262173 LCH262173:LCI262173 KSL262173:KSM262173 KIP262173:KIQ262173 JYT262173:JYU262173 JOX262173:JOY262173 JFB262173:JFC262173 IVF262173:IVG262173 ILJ262173:ILK262173 IBN262173:IBO262173 HRR262173:HRS262173 HHV262173:HHW262173 GXZ262173:GYA262173 GOD262173:GOE262173 GEH262173:GEI262173 FUL262173:FUM262173 FKP262173:FKQ262173 FAT262173:FAU262173 EQX262173:EQY262173 EHB262173:EHC262173 DXF262173:DXG262173">
      <formula1>#REF!</formula1>
    </dataValidation>
    <dataValidation type="list" allowBlank="1" showInputMessage="1" showErrorMessage="1" sqref="DNJ262173:DNK262173 DDN262173:DDO262173 CTR262173:CTS262173 CJV262173:CJW262173 BZZ262173:CAA262173 BQD262173:BQE262173 BGH262173:BGI262173 AWL262173:AWM262173 AMP262173:AMQ262173 ACT262173:ACU262173 SX262173:SY262173 JB262173:JC262173 F262173:G262173 WVN196637:WVO196637 WLR196637:WLS196637 WBV196637:WBW196637 VRZ196637:VSA196637 VID196637:VIE196637 UYH196637:UYI196637 UOL196637:UOM196637 UEP196637:UEQ196637 TUT196637:TUU196637 TKX196637:TKY196637 TBB196637:TBC196637 SRF196637:SRG196637 SHJ196637:SHK196637 RXN196637:RXO196637 RNR196637:RNS196637 RDV196637:RDW196637 QTZ196637:QUA196637 QKD196637:QKE196637 QAH196637:QAI196637 PQL196637:PQM196637 PGP196637:PGQ196637 OWT196637:OWU196637 OMX196637:OMY196637 ODB196637:ODC196637 NTF196637:NTG196637 NJJ196637:NJK196637 MZN196637:MZO196637 MPR196637:MPS196637 MFV196637:MFW196637 LVZ196637:LWA196637 LMD196637:LME196637 LCH196637:LCI196637 KSL196637:KSM196637 KIP196637:KIQ196637 JYT196637:JYU196637 JOX196637:JOY196637 JFB196637:JFC196637 IVF196637:IVG196637 ILJ196637:ILK196637 IBN196637:IBO196637 HRR196637:HRS196637 HHV196637:HHW196637 GXZ196637:GYA196637 GOD196637:GOE196637 GEH196637:GEI196637 FUL196637:FUM196637 FKP196637:FKQ196637 FAT196637:FAU196637 EQX196637:EQY196637 EHB196637:EHC196637 DXF196637:DXG196637 DNJ196637:DNK196637 DDN196637:DDO196637 CTR196637:CTS196637 CJV196637:CJW196637 BZZ196637:CAA196637 BQD196637:BQE196637 BGH196637:BGI196637 AWL196637:AWM196637 AMP196637:AMQ196637 ACT196637:ACU196637 SX196637:SY196637 JB196637:JC196637 F196637:G196637 WVN131101:WVO131101 WLR131101:WLS131101 WBV131101:WBW131101 VRZ131101:VSA131101 VID131101:VIE131101 UYH131101:UYI131101 UOL131101:UOM131101 UEP131101:UEQ131101 TUT131101:TUU131101 TKX131101:TKY131101 TBB131101:TBC131101 SRF131101:SRG131101 SHJ131101:SHK131101 RXN131101:RXO131101 RNR131101:RNS131101 RDV131101:RDW131101 QTZ131101:QUA131101 QKD131101:QKE131101 QAH131101:QAI131101 PQL131101:PQM131101 PGP131101:PGQ131101 OWT131101:OWU131101 OMX131101:OMY131101">
      <formula1>#REF!</formula1>
    </dataValidation>
    <dataValidation type="list" allowBlank="1" showInputMessage="1" showErrorMessage="1" sqref="ODB131101:ODC131101 NTF131101:NTG131101 NJJ131101:NJK131101 MZN131101:MZO131101 MPR131101:MPS131101 MFV131101:MFW131101 LVZ131101:LWA131101 LMD131101:LME131101 LCH131101:LCI131101 KSL131101:KSM131101 KIP131101:KIQ131101 JYT131101:JYU131101 JOX131101:JOY131101 JFB131101:JFC131101 IVF131101:IVG131101 ILJ131101:ILK131101 IBN131101:IBO131101 HRR131101:HRS131101 HHV131101:HHW131101 GXZ131101:GYA131101 GOD131101:GOE131101 GEH131101:GEI131101 FUL131101:FUM131101 FKP131101:FKQ131101 FAT131101:FAU131101 EQX131101:EQY131101 EHB131101:EHC131101 DXF131101:DXG131101 DNJ131101:DNK131101 DDN131101:DDO131101 CTR131101:CTS131101 CJV131101:CJW131101 BZZ131101:CAA131101 BQD131101:BQE131101 BGH131101:BGI131101 AWL131101:AWM131101 AMP131101:AMQ131101 ACT131101:ACU131101 SX131101:SY131101 JB131101:JC131101 F131101:G131101 WVN65565:WVO65565 WLR65565:WLS65565 WBV65565:WBW65565 VRZ65565:VSA65565 VID65565:VIE65565 UYH65565:UYI65565 UOL65565:UOM65565 UEP65565:UEQ65565 TUT65565:TUU65565 TKX65565:TKY65565 TBB65565:TBC65565 SRF65565:SRG65565 SHJ65565:SHK65565 RXN65565:RXO65565 RNR65565:RNS65565 RDV65565:RDW65565 QTZ65565:QUA65565 QKD65565:QKE65565 QAH65565:QAI65565 PQL65565:PQM65565 PGP65565:PGQ65565 OWT65565:OWU65565 OMX65565:OMY65565 ODB65565:ODC65565 NTF65565:NTG65565 NJJ65565:NJK65565 MZN65565:MZO65565 MPR65565:MPS65565 MFV65565:MFW65565 LVZ65565:LWA65565 LMD65565:LME65565 LCH65565:LCI65565 KSL65565:KSM65565 KIP65565:KIQ65565 JYT65565:JYU65565 JOX65565:JOY65565 JFB65565:JFC65565 IVF65565:IVG65565 ILJ65565:ILK65565 IBN65565:IBO65565 HRR65565:HRS65565 HHV65565:HHW65565 GXZ65565:GYA65565 GOD65565:GOE65565 GEH65565:GEI65565 FUL65565:FUM65565 FKP65565:FKQ65565 FAT65565:FAU65565 EQX65565:EQY65565 EHB65565:EHC65565 DXF65565:DXG65565 DNJ65565:DNK65565 DDN65565:DDO65565 CTR65565:CTS65565 CJV65565:CJW65565 BZZ65565:CAA65565 BQD65565:BQE65565 BGH65565:BGI65565 AWL65565:AWM65565">
      <formula1>#REF!</formula1>
    </dataValidation>
    <dataValidation type="list" allowBlank="1" showInputMessage="1" showErrorMessage="1" sqref="AMP65565:AMQ65565 ACT65565:ACU65565 SX65565:SY65565 JB65565:JC65565 F65565:G65565 WVN29:WVO29 WLR29:WLS29 WBV29:WBW29 VRZ29:VSA29 VID29:VIE29 UYH29:UYI29 UOL29:UOM29 UEP29:UEQ29 TUT29:TUU29 TKX29:TKY29 TBB29:TBC29 SRF29:SRG29 SHJ29:SHK29 RXN29:RXO29 RNR29:RNS29 RDV29:RDW29 QTZ29:QUA29 QKD29:QKE29 QAH29:QAI29 PQL29:PQM29 PGP29:PGQ29 OWT29:OWU29 OMX29:OMY29 ODB29:ODC29 NTF29:NTG29 NJJ29:NJK29 MZN29:MZO29 MPR29:MPS29 MFV29:MFW29 LVZ29:LWA29 LMD29:LME29 LCH29:LCI29 KSL29:KSM29 KIP29:KIQ29 JYT29:JYU29 JOX29:JOY29 JFB29:JFC29 IVF29:IVG29 ILJ29:ILK29 IBN29:IBO29 HRR29:HRS29 HHV29:HHW29 GXZ29:GYA29 GOD29:GOE29 GEH29:GEI29 FUL29:FUM29 FKP29:FKQ29 FAT29:FAU29 EQX29:EQY29 EHB29:EHC29 DXF29:DXG29 DNJ29:DNK29 DDN29:DDO29 CTR29:CTS29 CJV29:CJW29 BZZ29:CAA29 BQD29:BQE29 BGH29:BGI29 AWL29:AWM29 AMP29:AMQ29 ACT29:ACU29 SX29:SY29 JB29:JC29 JN29:JO29 WVR983069:WVS983069 WLV983069:WLW983069 WBZ983069:WCA983069 VSD983069:VSE983069 VIH983069:VII983069 UYL983069:UYM983069 UOP983069:UOQ983069 UET983069:UEU983069 TUX983069:TUY983069 TLB983069:TLC983069 TBF983069:TBG983069 SRJ983069:SRK983069 SHN983069:SHO983069 RXR983069:RXS983069 RNV983069:RNW983069 RDZ983069:REA983069 QUD983069:QUE983069 QKH983069:QKI983069 QAL983069:QAM983069 PQP983069:PQQ983069 PGT983069:PGU983069 OWX983069:OWY983069 ONB983069:ONC983069 ODF983069:ODG983069 NTJ983069:NTK983069 NJN983069:NJO983069 MZR983069:MZS983069 MPV983069:MPW983069 MFZ983069:MGA983069 LWD983069:LWE983069 LMH983069:LMI983069">
      <formula1>#REF!</formula1>
    </dataValidation>
    <dataValidation type="list" allowBlank="1" showInputMessage="1" showErrorMessage="1" sqref="LCL983069:LCM983069 KSP983069:KSQ983069 KIT983069:KIU983069 JYX983069:JYY983069 JPB983069:JPC983069 JFF983069:JFG983069 IVJ983069:IVK983069 ILN983069:ILO983069 IBR983069:IBS983069 HRV983069:HRW983069 HHZ983069:HIA983069 GYD983069:GYE983069 GOH983069:GOI983069 GEL983069:GEM983069 FUP983069:FUQ983069 FKT983069:FKU983069 FAX983069:FAY983069 ERB983069:ERC983069 EHF983069:EHG983069 DXJ983069:DXK983069 DNN983069:DNO983069 DDR983069:DDS983069 CTV983069:CTW983069 CJZ983069:CKA983069 CAD983069:CAE983069 BQH983069:BQI983069 BGL983069:BGM983069 AWP983069:AWQ983069 AMT983069:AMU983069 ACX983069:ACY983069 TB983069:TC983069 JF983069:JG983069 J983069:K983069 WVR917533:WVS917533 WLV917533:WLW917533 WBZ917533:WCA917533 VSD917533:VSE917533 VIH917533:VII917533 UYL917533:UYM917533 UOP917533:UOQ917533 UET917533:UEU917533 TUX917533:TUY917533 TLB917533:TLC917533 TBF917533:TBG917533 SRJ917533:SRK917533 SHN917533:SHO917533 RXR917533:RXS917533 RNV917533:RNW917533 RDZ917533:REA917533 QUD917533:QUE917533 QKH917533:QKI917533 QAL917533:QAM917533 PQP917533:PQQ917533 PGT917533:PGU917533 OWX917533:OWY917533 ONB917533:ONC917533 ODF917533:ODG917533 NTJ917533:NTK917533 NJN917533:NJO917533 MZR917533:MZS917533 MPV917533:MPW917533 MFZ917533:MGA917533 LWD917533:LWE917533 LMH917533:LMI917533 LCL917533:LCM917533 KSP917533:KSQ917533 KIT917533:KIU917533 JYX917533:JYY917533 JPB917533:JPC917533 JFF917533:JFG917533 IVJ917533:IVK917533 ILN917533:ILO917533 IBR917533:IBS917533 HRV917533:HRW917533 HHZ917533:HIA917533 GYD917533:GYE917533 GOH917533:GOI917533 GEL917533:GEM917533 FUP917533:FUQ917533 FKT917533:FKU917533 FAX917533:FAY917533 ERB917533:ERC917533 EHF917533:EHG917533 DXJ917533:DXK917533 DNN917533:DNO917533 DDR917533:DDS917533 CTV917533:CTW917533 CJZ917533:CKA917533 CAD917533:CAE917533 BQH917533:BQI917533 BGL917533:BGM917533 AWP917533:AWQ917533 AMT917533:AMU917533 ACX917533:ACY917533 TB917533:TC917533 JF917533:JG917533 J917533:K917533 WVR851997:WVS851997 WLV851997:WLW851997 WBZ851997:WCA851997">
      <formula1>#REF!</formula1>
    </dataValidation>
    <dataValidation type="list" allowBlank="1" showInputMessage="1" showErrorMessage="1" sqref="VSD851997:VSE851997 VIH851997:VII851997 UYL851997:UYM851997 UOP851997:UOQ851997 UET851997:UEU851997 TUX851997:TUY851997 TLB851997:TLC851997 TBF851997:TBG851997 SRJ851997:SRK851997 SHN851997:SHO851997 RXR851997:RXS851997 RNV851997:RNW851997 RDZ851997:REA851997 QUD851997:QUE851997 QKH851997:QKI851997 QAL851997:QAM851997 PQP851997:PQQ851997 PGT851997:PGU851997 OWX851997:OWY851997 ONB851997:ONC851997 ODF851997:ODG851997 NTJ851997:NTK851997 NJN851997:NJO851997 MZR851997:MZS851997 MPV851997:MPW851997 MFZ851997:MGA851997 LWD851997:LWE851997 LMH851997:LMI851997 LCL851997:LCM851997 KSP851997:KSQ851997 KIT851997:KIU851997 JYX851997:JYY851997 JPB851997:JPC851997 JFF851997:JFG851997 IVJ851997:IVK851997 ILN851997:ILO851997 IBR851997:IBS851997 HRV851997:HRW851997 HHZ851997:HIA851997 GYD851997:GYE851997 GOH851997:GOI851997 GEL851997:GEM851997 FUP851997:FUQ851997 FKT851997:FKU851997 FAX851997:FAY851997 ERB851997:ERC851997 EHF851997:EHG851997 DXJ851997:DXK851997 DNN851997:DNO851997 DDR851997:DDS851997 CTV851997:CTW851997 CJZ851997:CKA851997 CAD851997:CAE851997 BQH851997:BQI851997 BGL851997:BGM851997 AWP851997:AWQ851997 AMT851997:AMU851997 ACX851997:ACY851997 TB851997:TC851997 JF851997:JG851997 J851997:K851997 WVR786461:WVS786461 WLV786461:WLW786461 WBZ786461:WCA786461 VSD786461:VSE786461 VIH786461:VII786461 UYL786461:UYM786461 UOP786461:UOQ786461 UET786461:UEU786461 TUX786461:TUY786461 TLB786461:TLC786461 TBF786461:TBG786461 SRJ786461:SRK786461 SHN786461:SHO786461 RXR786461:RXS786461 RNV786461:RNW786461 RDZ786461:REA786461 QUD786461:QUE786461 QKH786461:QKI786461 QAL786461:QAM786461 PQP786461:PQQ786461 PGT786461:PGU786461 OWX786461:OWY786461 ONB786461:ONC786461 ODF786461:ODG786461 NTJ786461:NTK786461 NJN786461:NJO786461 MZR786461:MZS786461 MPV786461:MPW786461 MFZ786461:MGA786461 LWD786461:LWE786461 LMH786461:LMI786461 LCL786461:LCM786461 KSP786461:KSQ786461 KIT786461:KIU786461 JYX786461:JYY786461 JPB786461:JPC786461 JFF786461:JFG786461 IVJ786461:IVK786461 ILN786461:ILO786461">
      <formula1>#REF!</formula1>
    </dataValidation>
    <dataValidation type="list" allowBlank="1" showInputMessage="1" showErrorMessage="1" sqref="IBR786461:IBS786461 HRV786461:HRW786461 HHZ786461:HIA786461 GYD786461:GYE786461 GOH786461:GOI786461 GEL786461:GEM786461 FUP786461:FUQ786461 FKT786461:FKU786461 FAX786461:FAY786461 ERB786461:ERC786461 EHF786461:EHG786461 DXJ786461:DXK786461 DNN786461:DNO786461 DDR786461:DDS786461 CTV786461:CTW786461 CJZ786461:CKA786461 CAD786461:CAE786461 BQH786461:BQI786461 BGL786461:BGM786461 AWP786461:AWQ786461 AMT786461:AMU786461 ACX786461:ACY786461 TB786461:TC786461 JF786461:JG786461 J786461:K786461 WVR720925:WVS720925 WLV720925:WLW720925 WBZ720925:WCA720925 VSD720925:VSE720925 VIH720925:VII720925 UYL720925:UYM720925 UOP720925:UOQ720925 UET720925:UEU720925 TUX720925:TUY720925 TLB720925:TLC720925 TBF720925:TBG720925 SRJ720925:SRK720925 SHN720925:SHO720925 RXR720925:RXS720925 RNV720925:RNW720925 RDZ720925:REA720925 QUD720925:QUE720925 QKH720925:QKI720925 QAL720925:QAM720925 PQP720925:PQQ720925 PGT720925:PGU720925 OWX720925:OWY720925 ONB720925:ONC720925 ODF720925:ODG720925 NTJ720925:NTK720925 NJN720925:NJO720925 MZR720925:MZS720925 MPV720925:MPW720925 MFZ720925:MGA720925 LWD720925:LWE720925 LMH720925:LMI720925 LCL720925:LCM720925 KSP720925:KSQ720925 KIT720925:KIU720925 JYX720925:JYY720925 JPB720925:JPC720925 JFF720925:JFG720925 IVJ720925:IVK720925 ILN720925:ILO720925 IBR720925:IBS720925 HRV720925:HRW720925 HHZ720925:HIA720925 GYD720925:GYE720925 GOH720925:GOI720925 GEL720925:GEM720925 FUP720925:FUQ720925 FKT720925:FKU720925 FAX720925:FAY720925 ERB720925:ERC720925 EHF720925:EHG720925 DXJ720925:DXK720925 DNN720925:DNO720925 DDR720925:DDS720925 CTV720925:CTW720925 CJZ720925:CKA720925 CAD720925:CAE720925 BQH720925:BQI720925 BGL720925:BGM720925 AWP720925:AWQ720925 AMT720925:AMU720925 ACX720925:ACY720925 TB720925:TC720925 JF720925:JG720925 J720925:K720925 WVR655389:WVS655389 WLV655389:WLW655389 WBZ655389:WCA655389 VSD655389:VSE655389 VIH655389:VII655389 UYL655389:UYM655389 UOP655389:UOQ655389 UET655389:UEU655389 TUX655389:TUY655389 TLB655389:TLC655389 TBF655389:TBG655389">
      <formula1>#REF!</formula1>
    </dataValidation>
    <dataValidation type="list" allowBlank="1" showInputMessage="1" showErrorMessage="1" sqref="SRJ655389:SRK655389 SHN655389:SHO655389 RXR655389:RXS655389 RNV655389:RNW655389 RDZ655389:REA655389 QUD655389:QUE655389 QKH655389:QKI655389 QAL655389:QAM655389 PQP655389:PQQ655389 PGT655389:PGU655389 OWX655389:OWY655389 ONB655389:ONC655389 ODF655389:ODG655389 NTJ655389:NTK655389 NJN655389:NJO655389 MZR655389:MZS655389 MPV655389:MPW655389 MFZ655389:MGA655389 LWD655389:LWE655389 LMH655389:LMI655389 LCL655389:LCM655389 KSP655389:KSQ655389 KIT655389:KIU655389 JYX655389:JYY655389 JPB655389:JPC655389 JFF655389:JFG655389 IVJ655389:IVK655389 ILN655389:ILO655389 IBR655389:IBS655389 HRV655389:HRW655389 HHZ655389:HIA655389 GYD655389:GYE655389 GOH655389:GOI655389 GEL655389:GEM655389 FUP655389:FUQ655389 FKT655389:FKU655389 FAX655389:FAY655389 ERB655389:ERC655389 EHF655389:EHG655389 DXJ655389:DXK655389 DNN655389:DNO655389 DDR655389:DDS655389 CTV655389:CTW655389 CJZ655389:CKA655389 CAD655389:CAE655389 BQH655389:BQI655389 BGL655389:BGM655389 AWP655389:AWQ655389 AMT655389:AMU655389 ACX655389:ACY655389 TB655389:TC655389 JF655389:JG655389 J655389:K655389 WVR589853:WVS589853 WLV589853:WLW589853 WBZ589853:WCA589853 VSD589853:VSE589853 VIH589853:VII589853 UYL589853:UYM589853 UOP589853:UOQ589853 UET589853:UEU589853 TUX589853:TUY589853 TLB589853:TLC589853 TBF589853:TBG589853 SRJ589853:SRK589853 SHN589853:SHO589853 RXR589853:RXS589853 RNV589853:RNW589853 RDZ589853:REA589853 QUD589853:QUE589853 QKH589853:QKI589853 QAL589853:QAM589853 PQP589853:PQQ589853 PGT589853:PGU589853 OWX589853:OWY589853 ONB589853:ONC589853 ODF589853:ODG589853 NTJ589853:NTK589853 NJN589853:NJO589853 MZR589853:MZS589853 MPV589853:MPW589853 MFZ589853:MGA589853 LWD589853:LWE589853 LMH589853:LMI589853 LCL589853:LCM589853 KSP589853:KSQ589853 KIT589853:KIU589853 JYX589853:JYY589853 JPB589853:JPC589853 JFF589853:JFG589853 IVJ589853:IVK589853 ILN589853:ILO589853 IBR589853:IBS589853 HRV589853:HRW589853 HHZ589853:HIA589853 GYD589853:GYE589853 GOH589853:GOI589853 GEL589853:GEM589853 FUP589853:FUQ589853 FKT589853:FKU589853">
      <formula1>#REF!</formula1>
    </dataValidation>
    <dataValidation type="list" allowBlank="1" showInputMessage="1" showErrorMessage="1" sqref="FAX589853:FAY589853 ERB589853:ERC589853 EHF589853:EHG589853 DXJ589853:DXK589853 DNN589853:DNO589853 DDR589853:DDS589853 CTV589853:CTW589853 CJZ589853:CKA589853 CAD589853:CAE589853 BQH589853:BQI589853 BGL589853:BGM589853 AWP589853:AWQ589853 AMT589853:AMU589853 ACX589853:ACY589853 TB589853:TC589853 JF589853:JG589853 J589853:K589853 WVR524317:WVS524317 WLV524317:WLW524317 WBZ524317:WCA524317 VSD524317:VSE524317 VIH524317:VII524317 UYL524317:UYM524317 UOP524317:UOQ524317 UET524317:UEU524317 TUX524317:TUY524317 TLB524317:TLC524317 TBF524317:TBG524317 SRJ524317:SRK524317 SHN524317:SHO524317 RXR524317:RXS524317 RNV524317:RNW524317 RDZ524317:REA524317 QUD524317:QUE524317 QKH524317:QKI524317 QAL524317:QAM524317 PQP524317:PQQ524317 PGT524317:PGU524317 OWX524317:OWY524317 ONB524317:ONC524317 ODF524317:ODG524317 NTJ524317:NTK524317 NJN524317:NJO524317 MZR524317:MZS524317 MPV524317:MPW524317 MFZ524317:MGA524317 LWD524317:LWE524317 LMH524317:LMI524317 LCL524317:LCM524317 KSP524317:KSQ524317 KIT524317:KIU524317 JYX524317:JYY524317 JPB524317:JPC524317 JFF524317:JFG524317 IVJ524317:IVK524317 ILN524317:ILO524317 IBR524317:IBS524317 HRV524317:HRW524317 HHZ524317:HIA524317 GYD524317:GYE524317 GOH524317:GOI524317 GEL524317:GEM524317 FUP524317:FUQ524317 FKT524317:FKU524317 FAX524317:FAY524317 ERB524317:ERC524317 EHF524317:EHG524317 DXJ524317:DXK524317 DNN524317:DNO524317 DDR524317:DDS524317 CTV524317:CTW524317 CJZ524317:CKA524317 CAD524317:CAE524317 BQH524317:BQI524317 BGL524317:BGM524317 AWP524317:AWQ524317 AMT524317:AMU524317 ACX524317:ACY524317 TB524317:TC524317 JF524317:JG524317 J524317:K524317 WVR458781:WVS458781 WLV458781:WLW458781 WBZ458781:WCA458781 VSD458781:VSE458781 VIH458781:VII458781 UYL458781:UYM458781 UOP458781:UOQ458781 UET458781:UEU458781 TUX458781:TUY458781 TLB458781:TLC458781 TBF458781:TBG458781 SRJ458781:SRK458781 SHN458781:SHO458781 RXR458781:RXS458781 RNV458781:RNW458781 RDZ458781:REA458781 QUD458781:QUE458781 QKH458781:QKI458781 QAL458781:QAM458781">
      <formula1>#REF!</formula1>
    </dataValidation>
    <dataValidation type="list" allowBlank="1" showInputMessage="1" showErrorMessage="1" sqref="PQP458781:PQQ458781 PGT458781:PGU458781 OWX458781:OWY458781 ONB458781:ONC458781 ODF458781:ODG458781 NTJ458781:NTK458781 NJN458781:NJO458781 MZR458781:MZS458781 MPV458781:MPW458781 MFZ458781:MGA458781 LWD458781:LWE458781 LMH458781:LMI458781 LCL458781:LCM458781 KSP458781:KSQ458781 KIT458781:KIU458781 JYX458781:JYY458781 JPB458781:JPC458781 JFF458781:JFG458781 IVJ458781:IVK458781 ILN458781:ILO458781 IBR458781:IBS458781 HRV458781:HRW458781 HHZ458781:HIA458781 GYD458781:GYE458781 GOH458781:GOI458781 GEL458781:GEM458781 FUP458781:FUQ458781 FKT458781:FKU458781 FAX458781:FAY458781 ERB458781:ERC458781 EHF458781:EHG458781 DXJ458781:DXK458781 DNN458781:DNO458781 DDR458781:DDS458781 CTV458781:CTW458781 CJZ458781:CKA458781 CAD458781:CAE458781 BQH458781:BQI458781 BGL458781:BGM458781 AWP458781:AWQ458781 AMT458781:AMU458781 ACX458781:ACY458781 TB458781:TC458781 JF458781:JG458781 J458781:K458781 WVR393245:WVS393245 WLV393245:WLW393245 WBZ393245:WCA393245 VSD393245:VSE393245 VIH393245:VII393245 UYL393245:UYM393245 UOP393245:UOQ393245 UET393245:UEU393245 TUX393245:TUY393245 TLB393245:TLC393245 TBF393245:TBG393245 SRJ393245:SRK393245 SHN393245:SHO393245 RXR393245:RXS393245 RNV393245:RNW393245 RDZ393245:REA393245 QUD393245:QUE393245 QKH393245:QKI393245 QAL393245:QAM393245 PQP393245:PQQ393245 PGT393245:PGU393245 OWX393245:OWY393245 ONB393245:ONC393245 ODF393245:ODG393245 NTJ393245:NTK393245 NJN393245:NJO393245 MZR393245:MZS393245 MPV393245:MPW393245 MFZ393245:MGA393245 LWD393245:LWE393245 LMH393245:LMI393245 LCL393245:LCM393245 KSP393245:KSQ393245 KIT393245:KIU393245 JYX393245:JYY393245 JPB393245:JPC393245 JFF393245:JFG393245 IVJ393245:IVK393245 ILN393245:ILO393245 IBR393245:IBS393245 HRV393245:HRW393245 HHZ393245:HIA393245 GYD393245:GYE393245 GOH393245:GOI393245 GEL393245:GEM393245 FUP393245:FUQ393245 FKT393245:FKU393245 FAX393245:FAY393245 ERB393245:ERC393245 EHF393245:EHG393245 DXJ393245:DXK393245 DNN393245:DNO393245 DDR393245:DDS393245 CTV393245:CTW393245 CJZ393245:CKA393245">
      <formula1>#REF!</formula1>
    </dataValidation>
    <dataValidation type="list" allowBlank="1" showInputMessage="1" showErrorMessage="1" sqref="CAD393245:CAE393245 BQH393245:BQI393245 BGL393245:BGM393245 AWP393245:AWQ393245 AMT393245:AMU393245 ACX393245:ACY393245 TB393245:TC393245 JF393245:JG393245 J393245:K393245 WVR327709:WVS327709 WLV327709:WLW327709 WBZ327709:WCA327709 VSD327709:VSE327709 VIH327709:VII327709 UYL327709:UYM327709 UOP327709:UOQ327709 UET327709:UEU327709 TUX327709:TUY327709 TLB327709:TLC327709 TBF327709:TBG327709 SRJ327709:SRK327709 SHN327709:SHO327709 RXR327709:RXS327709 RNV327709:RNW327709 RDZ327709:REA327709 QUD327709:QUE327709 QKH327709:QKI327709 QAL327709:QAM327709 PQP327709:PQQ327709 PGT327709:PGU327709 OWX327709:OWY327709 ONB327709:ONC327709 ODF327709:ODG327709 NTJ327709:NTK327709 NJN327709:NJO327709 MZR327709:MZS327709 MPV327709:MPW327709 MFZ327709:MGA327709 LWD327709:LWE327709 LMH327709:LMI327709 LCL327709:LCM327709 KSP327709:KSQ327709 KIT327709:KIU327709 JYX327709:JYY327709 JPB327709:JPC327709 JFF327709:JFG327709 IVJ327709:IVK327709 ILN327709:ILO327709 IBR327709:IBS327709 HRV327709:HRW327709 HHZ327709:HIA327709 GYD327709:GYE327709 GOH327709:GOI327709 GEL327709:GEM327709 FUP327709:FUQ327709 FKT327709:FKU327709 FAX327709:FAY327709 ERB327709:ERC327709 EHF327709:EHG327709 DXJ327709:DXK327709 DNN327709:DNO327709 DDR327709:DDS327709 CTV327709:CTW327709 CJZ327709:CKA327709 CAD327709:CAE327709 BQH327709:BQI327709 BGL327709:BGM327709 AWP327709:AWQ327709 AMT327709:AMU327709 ACX327709:ACY327709 TB327709:TC327709 JF327709:JG327709 J327709:K327709 WVR262173:WVS262173 WLV262173:WLW262173 WBZ262173:WCA262173 VSD262173:VSE262173 VIH262173:VII262173 UYL262173:UYM262173 UOP262173:UOQ262173 UET262173:UEU262173 TUX262173:TUY262173 TLB262173:TLC262173 TBF262173:TBG262173 SRJ262173:SRK262173 SHN262173:SHO262173 RXR262173:RXS262173 RNV262173:RNW262173 RDZ262173:REA262173 QUD262173:QUE262173 QKH262173:QKI262173 QAL262173:QAM262173 PQP262173:PQQ262173 PGT262173:PGU262173 OWX262173:OWY262173 ONB262173:ONC262173 ODF262173:ODG262173 NTJ262173:NTK262173 NJN262173:NJO262173 MZR262173:MZS262173">
      <formula1>#REF!</formula1>
    </dataValidation>
    <dataValidation type="list" allowBlank="1" showInputMessage="1" showErrorMessage="1" sqref="MPV262173:MPW262173 MFZ262173:MGA262173 LWD262173:LWE262173 LMH262173:LMI262173 LCL262173:LCM262173 KSP262173:KSQ262173 KIT262173:KIU262173 JYX262173:JYY262173 JPB262173:JPC262173 JFF262173:JFG262173 IVJ262173:IVK262173 ILN262173:ILO262173 IBR262173:IBS262173 HRV262173:HRW262173 HHZ262173:HIA262173 GYD262173:GYE262173 GOH262173:GOI262173 GEL262173:GEM262173 FUP262173:FUQ262173 FKT262173:FKU262173 FAX262173:FAY262173 ERB262173:ERC262173 EHF262173:EHG262173 DXJ262173:DXK262173 DNN262173:DNO262173 DDR262173:DDS262173 CTV262173:CTW262173 CJZ262173:CKA262173 CAD262173:CAE262173 BQH262173:BQI262173 BGL262173:BGM262173 AWP262173:AWQ262173 AMT262173:AMU262173 ACX262173:ACY262173 TB262173:TC262173 JF262173:JG262173 J262173:K262173 WVR196637:WVS196637 WLV196637:WLW196637 WBZ196637:WCA196637 VSD196637:VSE196637 VIH196637:VII196637 UYL196637:UYM196637 UOP196637:UOQ196637 UET196637:UEU196637 TUX196637:TUY196637 TLB196637:TLC196637 TBF196637:TBG196637 SRJ196637:SRK196637 SHN196637:SHO196637 RXR196637:RXS196637 RNV196637:RNW196637 RDZ196637:REA196637 QUD196637:QUE196637 QKH196637:QKI196637 QAL196637:QAM196637 PQP196637:PQQ196637 PGT196637:PGU196637 OWX196637:OWY196637 ONB196637:ONC196637 ODF196637:ODG196637 NTJ196637:NTK196637 NJN196637:NJO196637 MZR196637:MZS196637 MPV196637:MPW196637 MFZ196637:MGA196637 LWD196637:LWE196637 LMH196637:LMI196637 LCL196637:LCM196637 KSP196637:KSQ196637 KIT196637:KIU196637 JYX196637:JYY196637 JPB196637:JPC196637 JFF196637:JFG196637 IVJ196637:IVK196637 ILN196637:ILO196637 IBR196637:IBS196637 HRV196637:HRW196637 HHZ196637:HIA196637 GYD196637:GYE196637 GOH196637:GOI196637 GEL196637:GEM196637 FUP196637:FUQ196637 FKT196637:FKU196637 FAX196637:FAY196637 ERB196637:ERC196637 EHF196637:EHG196637 DXJ196637:DXK196637 DNN196637:DNO196637 DDR196637:DDS196637 CTV196637:CTW196637 CJZ196637:CKA196637 CAD196637:CAE196637 BQH196637:BQI196637 BGL196637:BGM196637 AWP196637:AWQ196637 AMT196637:AMU196637 ACX196637:ACY196637 TB196637:TC196637 JF196637:JG196637">
      <formula1>#REF!</formula1>
    </dataValidation>
    <dataValidation type="list" allowBlank="1" showInputMessage="1" showErrorMessage="1" sqref="J196637:K196637 WVR131101:WVS131101 WLV131101:WLW131101 WBZ131101:WCA131101 VSD131101:VSE131101 VIH131101:VII131101 UYL131101:UYM131101 UOP131101:UOQ131101 UET131101:UEU131101 TUX131101:TUY131101 TLB131101:TLC131101 TBF131101:TBG131101 SRJ131101:SRK131101 SHN131101:SHO131101 RXR131101:RXS131101 RNV131101:RNW131101 RDZ131101:REA131101 QUD131101:QUE131101 QKH131101:QKI131101 QAL131101:QAM131101 PQP131101:PQQ131101 PGT131101:PGU131101 OWX131101:OWY131101 ONB131101:ONC131101 ODF131101:ODG131101 NTJ131101:NTK131101 NJN131101:NJO131101 MZR131101:MZS131101 MPV131101:MPW131101 MFZ131101:MGA131101 LWD131101:LWE131101 LMH131101:LMI131101 LCL131101:LCM131101 KSP131101:KSQ131101 KIT131101:KIU131101 JYX131101:JYY131101 JPB131101:JPC131101 JFF131101:JFG131101 IVJ131101:IVK131101 ILN131101:ILO131101 IBR131101:IBS131101 HRV131101:HRW131101 HHZ131101:HIA131101 GYD131101:GYE131101 GOH131101:GOI131101 GEL131101:GEM131101 FUP131101:FUQ131101 FKT131101:FKU131101 FAX131101:FAY131101 ERB131101:ERC131101 EHF131101:EHG131101 DXJ131101:DXK131101 DNN131101:DNO131101 DDR131101:DDS131101 CTV131101:CTW131101 CJZ131101:CKA131101 CAD131101:CAE131101 BQH131101:BQI131101 BGL131101:BGM131101 AWP131101:AWQ131101 AMT131101:AMU131101 ACX131101:ACY131101 TB131101:TC131101 JF131101:JG131101 J131101:K131101 WVR65565:WVS65565 WLV65565:WLW65565 WBZ65565:WCA65565 VSD65565:VSE65565 VIH65565:VII65565 UYL65565:UYM65565 UOP65565:UOQ65565 UET65565:UEU65565 TUX65565:TUY65565 TLB65565:TLC65565 TBF65565:TBG65565 SRJ65565:SRK65565 SHN65565:SHO65565 RXR65565:RXS65565 RNV65565:RNW65565 RDZ65565:REA65565 QUD65565:QUE65565 QKH65565:QKI65565 QAL65565:QAM65565 PQP65565:PQQ65565 PGT65565:PGU65565 OWX65565:OWY65565 ONB65565:ONC65565 ODF65565:ODG65565 NTJ65565:NTK65565 NJN65565:NJO65565 MZR65565:MZS65565 MPV65565:MPW65565 MFZ65565:MGA65565 LWD65565:LWE65565 LMH65565:LMI65565 LCL65565:LCM65565 KSP65565:KSQ65565 KIT65565:KIU65565 JYX65565:JYY65565">
      <formula1>#REF!</formula1>
    </dataValidation>
    <dataValidation type="list" allowBlank="1" showInputMessage="1" showErrorMessage="1" sqref="JPB65565:JPC65565 JFF65565:JFG65565 IVJ65565:IVK65565 ILN65565:ILO65565 IBR65565:IBS65565 HRV65565:HRW65565 HHZ65565:HIA65565 GYD65565:GYE65565 GOH65565:GOI65565 GEL65565:GEM65565 FUP65565:FUQ65565 FKT65565:FKU65565 FAX65565:FAY65565 ERB65565:ERC65565 EHF65565:EHG65565 DXJ65565:DXK65565 DNN65565:DNO65565 DDR65565:DDS65565 CTV65565:CTW65565 CJZ65565:CKA65565 CAD65565:CAE65565 BQH65565:BQI65565 BGL65565:BGM65565 AWP65565:AWQ65565 AMT65565:AMU65565 ACX65565:ACY65565 TB65565:TC65565 JF65565:JG65565 J65565:K65565 WVR29:WVS29 WLV29:WLW29 WBZ29:WCA29 VSD29:VSE29 VIH29:VII29 UYL29:UYM29 UOP29:UOQ29 UET29:UEU29 TUX29:TUY29 TLB29:TLC29 TBF29:TBG29 SRJ29:SRK29 SHN29:SHO29 RXR29:RXS29 RNV29:RNW29 RDZ29:REA29 QUD29:QUE29 QKH29:QKI29 QAL29:QAM29 PQP29:PQQ29 PGT29:PGU29 OWX29:OWY29 ONB29:ONC29 ODF29:ODG29 NTJ29:NTK29 NJN29:NJO29 MZR29:MZS29 MPV29:MPW29 MFZ29:MGA29 LWD29:LWE29 LMH29:LMI29 LCL29:LCM29 KSP29:KSQ29 KIT29:KIU29 JYX29:JYY29 JPB29:JPC29 JFF29:JFG29 IVJ29:IVK29 ILN29:ILO29 IBR29:IBS29 HRV29:HRW29 HHZ29:HIA29 GYD29:GYE29 GOH29:GOI29 GEL29:GEM29 FUP29:FUQ29 FKT29:FKU29 FAX29:FAY29 ERB29:ERC29 EHF29:EHG29 DXJ29:DXK29 DNN29:DNO29 DDR29:DDS29 CTV29:CTW29 CJZ29:CKA29 CAD29:CAE29 BQH29:BQI29 BGL29:BGM29 AWP29:AWQ29 AMT29:AMU29 ACX29:ACY29 TB29:TC29 JF29:JG29 J29:K29 WVV983069:WVW983069 WLZ983069:WMA983069 WCD983069:WCE983069 VSH983069:VSI983069 VIL983069:VIM983069 UYP983069:UYQ983069 UOT983069:UOU983069">
      <formula1>#REF!</formula1>
    </dataValidation>
    <dataValidation type="list" allowBlank="1" showInputMessage="1" showErrorMessage="1" sqref="UEX983069:UEY983069 TVB983069:TVC983069 TLF983069:TLG983069 TBJ983069:TBK983069 SRN983069:SRO983069 SHR983069:SHS983069 RXV983069:RXW983069 RNZ983069:ROA983069 RED983069:REE983069 QUH983069:QUI983069 QKL983069:QKM983069 QAP983069:QAQ983069 PQT983069:PQU983069 PGX983069:PGY983069 OXB983069:OXC983069 ONF983069:ONG983069 ODJ983069:ODK983069 NTN983069:NTO983069 NJR983069:NJS983069 MZV983069:MZW983069 MPZ983069:MQA983069 MGD983069:MGE983069 LWH983069:LWI983069 LML983069:LMM983069 LCP983069:LCQ983069 KST983069:KSU983069 KIX983069:KIY983069 JZB983069:JZC983069 JPF983069:JPG983069 JFJ983069:JFK983069 IVN983069:IVO983069 ILR983069:ILS983069 IBV983069:IBW983069 HRZ983069:HSA983069 HID983069:HIE983069 GYH983069:GYI983069 GOL983069:GOM983069 GEP983069:GEQ983069 FUT983069:FUU983069 FKX983069:FKY983069 FBB983069:FBC983069 ERF983069:ERG983069 EHJ983069:EHK983069 DXN983069:DXO983069 DNR983069:DNS983069 DDV983069:DDW983069 CTZ983069:CUA983069 CKD983069:CKE983069 CAH983069:CAI983069 BQL983069:BQM983069 BGP983069:BGQ983069 AWT983069:AWU983069 AMX983069:AMY983069 ADB983069:ADC983069 TF983069:TG983069 JJ983069:JK983069 N983069:O983069 WVV917533:WVW917533 WLZ917533:WMA917533 WCD917533:WCE917533 VSH917533:VSI917533 VIL917533:VIM917533 UYP917533:UYQ917533 UOT917533:UOU917533 UEX917533:UEY917533 TVB917533:TVC917533 TLF917533:TLG917533 TBJ917533:TBK917533 SRN917533:SRO917533 SHR917533:SHS917533 RXV917533:RXW917533 RNZ917533:ROA917533 RED917533:REE917533 QUH917533:QUI917533 QKL917533:QKM917533 QAP917533:QAQ917533 PQT917533:PQU917533 PGX917533:PGY917533 OXB917533:OXC917533 ONF917533:ONG917533 ODJ917533:ODK917533 NTN917533:NTO917533 NJR917533:NJS917533 MZV917533:MZW917533 MPZ917533:MQA917533 MGD917533:MGE917533 LWH917533:LWI917533 LML917533:LMM917533 LCP917533:LCQ917533 KST917533:KSU917533 KIX917533:KIY917533 JZB917533:JZC917533 JPF917533:JPG917533 JFJ917533:JFK917533 IVN917533:IVO917533 ILR917533:ILS917533 IBV917533:IBW917533 HRZ917533:HSA917533 HID917533:HIE917533 GYH917533:GYI917533">
      <formula1>#REF!</formula1>
    </dataValidation>
    <dataValidation type="list" allowBlank="1" showInputMessage="1" showErrorMessage="1" sqref="GOL917533:GOM917533 GEP917533:GEQ917533 FUT917533:FUU917533 FKX917533:FKY917533 FBB917533:FBC917533 ERF917533:ERG917533 EHJ917533:EHK917533 DXN917533:DXO917533 DNR917533:DNS917533 DDV917533:DDW917533 CTZ917533:CUA917533 CKD917533:CKE917533 CAH917533:CAI917533 BQL917533:BQM917533 BGP917533:BGQ917533 AWT917533:AWU917533 AMX917533:AMY917533 ADB917533:ADC917533 TF917533:TG917533 JJ917533:JK917533 N917533:O917533 WVV851997:WVW851997 WLZ851997:WMA851997 WCD851997:WCE851997 VSH851997:VSI851997 VIL851997:VIM851997 UYP851997:UYQ851997 UOT851997:UOU851997 UEX851997:UEY851997 TVB851997:TVC851997 TLF851997:TLG851997 TBJ851997:TBK851997 SRN851997:SRO851997 SHR851997:SHS851997 RXV851997:RXW851997 RNZ851997:ROA851997 RED851997:REE851997 QUH851997:QUI851997 QKL851997:QKM851997 QAP851997:QAQ851997 PQT851997:PQU851997 PGX851997:PGY851997 OXB851997:OXC851997 ONF851997:ONG851997 ODJ851997:ODK851997 NTN851997:NTO851997 NJR851997:NJS851997 MZV851997:MZW851997 MPZ851997:MQA851997 MGD851997:MGE851997 LWH851997:LWI851997 LML851997:LMM851997 LCP851997:LCQ851997 KST851997:KSU851997 KIX851997:KIY851997 JZB851997:JZC851997 JPF851997:JPG851997 JFJ851997:JFK851997 IVN851997:IVO851997 ILR851997:ILS851997 IBV851997:IBW851997 HRZ851997:HSA851997 HID851997:HIE851997 GYH851997:GYI851997 GOL851997:GOM851997 GEP851997:GEQ851997 FUT851997:FUU851997 FKX851997:FKY851997 FBB851997:FBC851997 ERF851997:ERG851997 EHJ851997:EHK851997 DXN851997:DXO851997 DNR851997:DNS851997 DDV851997:DDW851997 CTZ851997:CUA851997 CKD851997:CKE851997 CAH851997:CAI851997 BQL851997:BQM851997 BGP851997:BGQ851997 AWT851997:AWU851997 AMX851997:AMY851997 ADB851997:ADC851997 TF851997:TG851997 JJ851997:JK851997 N851997:O851997 WVV786461:WVW786461 WLZ786461:WMA786461 WCD786461:WCE786461 VSH786461:VSI786461 VIL786461:VIM786461 UYP786461:UYQ786461 UOT786461:UOU786461 UEX786461:UEY786461 TVB786461:TVC786461 TLF786461:TLG786461 TBJ786461:TBK786461 SRN786461:SRO786461 SHR786461:SHS786461 RXV786461:RXW786461 RNZ786461:ROA786461">
      <formula1>#REF!</formula1>
    </dataValidation>
    <dataValidation type="list" allowBlank="1" showInputMessage="1" showErrorMessage="1" sqref="RED786461:REE786461 QUH786461:QUI786461 QKL786461:QKM786461 QAP786461:QAQ786461 PQT786461:PQU786461 PGX786461:PGY786461 OXB786461:OXC786461 ONF786461:ONG786461 ODJ786461:ODK786461 NTN786461:NTO786461 NJR786461:NJS786461 MZV786461:MZW786461 MPZ786461:MQA786461 MGD786461:MGE786461 LWH786461:LWI786461 LML786461:LMM786461 LCP786461:LCQ786461 KST786461:KSU786461 KIX786461:KIY786461 JZB786461:JZC786461 JPF786461:JPG786461 JFJ786461:JFK786461 IVN786461:IVO786461 ILR786461:ILS786461 IBV786461:IBW786461 HRZ786461:HSA786461 HID786461:HIE786461 GYH786461:GYI786461 GOL786461:GOM786461 GEP786461:GEQ786461 FUT786461:FUU786461 FKX786461:FKY786461 FBB786461:FBC786461 ERF786461:ERG786461 EHJ786461:EHK786461 DXN786461:DXO786461 DNR786461:DNS786461 DDV786461:DDW786461 CTZ786461:CUA786461 CKD786461:CKE786461 CAH786461:CAI786461 BQL786461:BQM786461 BGP786461:BGQ786461 AWT786461:AWU786461 AMX786461:AMY786461 ADB786461:ADC786461 TF786461:TG786461 JJ786461:JK786461 N786461:O786461 WVV720925:WVW720925 WLZ720925:WMA720925 WCD720925:WCE720925 VSH720925:VSI720925 VIL720925:VIM720925 UYP720925:UYQ720925 UOT720925:UOU720925 UEX720925:UEY720925 TVB720925:TVC720925 TLF720925:TLG720925 TBJ720925:TBK720925 SRN720925:SRO720925 SHR720925:SHS720925 RXV720925:RXW720925 RNZ720925:ROA720925 RED720925:REE720925 QUH720925:QUI720925 QKL720925:QKM720925 QAP720925:QAQ720925 PQT720925:PQU720925 PGX720925:PGY720925 OXB720925:OXC720925 ONF720925:ONG720925 ODJ720925:ODK720925 NTN720925:NTO720925 NJR720925:NJS720925 MZV720925:MZW720925 MPZ720925:MQA720925 MGD720925:MGE720925 LWH720925:LWI720925 LML720925:LMM720925 LCP720925:LCQ720925 KST720925:KSU720925 KIX720925:KIY720925 JZB720925:JZC720925 JPF720925:JPG720925 JFJ720925:JFK720925 IVN720925:IVO720925 ILR720925:ILS720925 IBV720925:IBW720925 HRZ720925:HSA720925 HID720925:HIE720925 GYH720925:GYI720925 GOL720925:GOM720925 GEP720925:GEQ720925 FUT720925:FUU720925 FKX720925:FKY720925 FBB720925:FBC720925 ERF720925:ERG720925 EHJ720925:EHK720925 DXN720925:DXO720925">
      <formula1>#REF!</formula1>
    </dataValidation>
    <dataValidation type="list" allowBlank="1" showInputMessage="1" showErrorMessage="1" sqref="DNR720925:DNS720925 DDV720925:DDW720925 CTZ720925:CUA720925 CKD720925:CKE720925 CAH720925:CAI720925 BQL720925:BQM720925 BGP720925:BGQ720925 AWT720925:AWU720925 AMX720925:AMY720925 ADB720925:ADC720925 TF720925:TG720925 JJ720925:JK720925 N720925:O720925 WVV655389:WVW655389 WLZ655389:WMA655389 WCD655389:WCE655389 VSH655389:VSI655389 VIL655389:VIM655389 UYP655389:UYQ655389 UOT655389:UOU655389 UEX655389:UEY655389 TVB655389:TVC655389 TLF655389:TLG655389 TBJ655389:TBK655389 SRN655389:SRO655389 SHR655389:SHS655389 RXV655389:RXW655389 RNZ655389:ROA655389 RED655389:REE655389 QUH655389:QUI655389 QKL655389:QKM655389 QAP655389:QAQ655389 PQT655389:PQU655389 PGX655389:PGY655389 OXB655389:OXC655389 ONF655389:ONG655389 ODJ655389:ODK655389 NTN655389:NTO655389 NJR655389:NJS655389 MZV655389:MZW655389 MPZ655389:MQA655389 MGD655389:MGE655389 LWH655389:LWI655389 LML655389:LMM655389 LCP655389:LCQ655389 KST655389:KSU655389 KIX655389:KIY655389 JZB655389:JZC655389 JPF655389:JPG655389 JFJ655389:JFK655389 IVN655389:IVO655389 ILR655389:ILS655389 IBV655389:IBW655389 HRZ655389:HSA655389 HID655389:HIE655389 GYH655389:GYI655389 GOL655389:GOM655389 GEP655389:GEQ655389 FUT655389:FUU655389 FKX655389:FKY655389 FBB655389:FBC655389 ERF655389:ERG655389 EHJ655389:EHK655389 DXN655389:DXO655389 DNR655389:DNS655389 DDV655389:DDW655389 CTZ655389:CUA655389 CKD655389:CKE655389 CAH655389:CAI655389 BQL655389:BQM655389 BGP655389:BGQ655389 AWT655389:AWU655389 AMX655389:AMY655389 ADB655389:ADC655389 TF655389:TG655389 JJ655389:JK655389 N655389:O655389 WVV589853:WVW589853 WLZ589853:WMA589853 WCD589853:WCE589853 VSH589853:VSI589853 VIL589853:VIM589853 UYP589853:UYQ589853 UOT589853:UOU589853 UEX589853:UEY589853 TVB589853:TVC589853 TLF589853:TLG589853 TBJ589853:TBK589853 SRN589853:SRO589853 SHR589853:SHS589853 RXV589853:RXW589853 RNZ589853:ROA589853 RED589853:REE589853 QUH589853:QUI589853 QKL589853:QKM589853 QAP589853:QAQ589853 PQT589853:PQU589853 PGX589853:PGY589853 OXB589853:OXC589853 ONF589853:ONG589853">
      <formula1>#REF!</formula1>
    </dataValidation>
    <dataValidation type="list" allowBlank="1" showInputMessage="1" showErrorMessage="1" sqref="ODJ589853:ODK589853 NTN589853:NTO589853 NJR589853:NJS589853 MZV589853:MZW589853 MPZ589853:MQA589853 MGD589853:MGE589853 LWH589853:LWI589853 LML589853:LMM589853 LCP589853:LCQ589853 KST589853:KSU589853 KIX589853:KIY589853 JZB589853:JZC589853 JPF589853:JPG589853 JFJ589853:JFK589853 IVN589853:IVO589853 ILR589853:ILS589853 IBV589853:IBW589853 HRZ589853:HSA589853 HID589853:HIE589853 GYH589853:GYI589853 GOL589853:GOM589853 GEP589853:GEQ589853 FUT589853:FUU589853 FKX589853:FKY589853 FBB589853:FBC589853 ERF589853:ERG589853 EHJ589853:EHK589853 DXN589853:DXO589853 DNR589853:DNS589853 DDV589853:DDW589853 CTZ589853:CUA589853 CKD589853:CKE589853 CAH589853:CAI589853 BQL589853:BQM589853 BGP589853:BGQ589853 AWT589853:AWU589853 AMX589853:AMY589853 ADB589853:ADC589853 TF589853:TG589853 JJ589853:JK589853 N589853:O589853 WVV524317:WVW524317 WLZ524317:WMA524317 WCD524317:WCE524317 VSH524317:VSI524317 VIL524317:VIM524317 UYP524317:UYQ524317 UOT524317:UOU524317 UEX524317:UEY524317 TVB524317:TVC524317 TLF524317:TLG524317 TBJ524317:TBK524317 SRN524317:SRO524317 SHR524317:SHS524317 RXV524317:RXW524317 RNZ524317:ROA524317 RED524317:REE524317 QUH524317:QUI524317 QKL524317:QKM524317 QAP524317:QAQ524317 PQT524317:PQU524317 PGX524317:PGY524317 OXB524317:OXC524317 ONF524317:ONG524317 ODJ524317:ODK524317 NTN524317:NTO524317 NJR524317:NJS524317 MZV524317:MZW524317 MPZ524317:MQA524317 MGD524317:MGE524317 LWH524317:LWI524317 LML524317:LMM524317 LCP524317:LCQ524317 KST524317:KSU524317 KIX524317:KIY524317 JZB524317:JZC524317 JPF524317:JPG524317 JFJ524317:JFK524317 IVN524317:IVO524317 ILR524317:ILS524317 IBV524317:IBW524317 HRZ524317:HSA524317 HID524317:HIE524317 GYH524317:GYI524317 GOL524317:GOM524317 GEP524317:GEQ524317 FUT524317:FUU524317 FKX524317:FKY524317 FBB524317:FBC524317 ERF524317:ERG524317 EHJ524317:EHK524317 DXN524317:DXO524317 DNR524317:DNS524317 DDV524317:DDW524317 CTZ524317:CUA524317 CKD524317:CKE524317 CAH524317:CAI524317 BQL524317:BQM524317 BGP524317:BGQ524317 AWT524317:AWU524317">
      <formula1>#REF!</formula1>
    </dataValidation>
    <dataValidation type="list" allowBlank="1" showInputMessage="1" showErrorMessage="1" sqref="AMX524317:AMY524317 ADB524317:ADC524317 TF524317:TG524317 JJ524317:JK524317 N524317:O524317 WVV458781:WVW458781 WLZ458781:WMA458781 WCD458781:WCE458781 VSH458781:VSI458781 VIL458781:VIM458781 UYP458781:UYQ458781 UOT458781:UOU458781 UEX458781:UEY458781 TVB458781:TVC458781 TLF458781:TLG458781 TBJ458781:TBK458781 SRN458781:SRO458781 SHR458781:SHS458781 RXV458781:RXW458781 RNZ458781:ROA458781 RED458781:REE458781 QUH458781:QUI458781 QKL458781:QKM458781 QAP458781:QAQ458781 PQT458781:PQU458781 PGX458781:PGY458781 OXB458781:OXC458781 ONF458781:ONG458781 ODJ458781:ODK458781 NTN458781:NTO458781 NJR458781:NJS458781 MZV458781:MZW458781 MPZ458781:MQA458781 MGD458781:MGE458781 LWH458781:LWI458781 LML458781:LMM458781 LCP458781:LCQ458781 KST458781:KSU458781 KIX458781:KIY458781 JZB458781:JZC458781 JPF458781:JPG458781 JFJ458781:JFK458781 IVN458781:IVO458781 ILR458781:ILS458781 IBV458781:IBW458781 HRZ458781:HSA458781 HID458781:HIE458781 GYH458781:GYI458781 GOL458781:GOM458781 GEP458781:GEQ458781 FUT458781:FUU458781 FKX458781:FKY458781 FBB458781:FBC458781 ERF458781:ERG458781 EHJ458781:EHK458781 DXN458781:DXO458781 DNR458781:DNS458781 DDV458781:DDW458781 CTZ458781:CUA458781 CKD458781:CKE458781 CAH458781:CAI458781 BQL458781:BQM458781 BGP458781:BGQ458781 AWT458781:AWU458781 AMX458781:AMY458781 ADB458781:ADC458781 TF458781:TG458781 JJ458781:JK458781 N458781:O458781 WVV393245:WVW393245 WLZ393245:WMA393245 WCD393245:WCE393245 VSH393245:VSI393245 VIL393245:VIM393245 UYP393245:UYQ393245 UOT393245:UOU393245 UEX393245:UEY393245 TVB393245:TVC393245 TLF393245:TLG393245 TBJ393245:TBK393245 SRN393245:SRO393245 SHR393245:SHS393245 RXV393245:RXW393245 RNZ393245:ROA393245 RED393245:REE393245 QUH393245:QUI393245 QKL393245:QKM393245 QAP393245:QAQ393245 PQT393245:PQU393245 PGX393245:PGY393245 OXB393245:OXC393245 ONF393245:ONG393245 ODJ393245:ODK393245 NTN393245:NTO393245 NJR393245:NJS393245 MZV393245:MZW393245 MPZ393245:MQA393245 MGD393245:MGE393245 LWH393245:LWI393245 LML393245:LMM393245">
      <formula1>#REF!</formula1>
    </dataValidation>
    <dataValidation type="list" allowBlank="1" showInputMessage="1" showErrorMessage="1" sqref="LCP393245:LCQ393245 KST393245:KSU393245 KIX393245:KIY393245 JZB393245:JZC393245 JPF393245:JPG393245 JFJ393245:JFK393245 IVN393245:IVO393245 ILR393245:ILS393245 IBV393245:IBW393245 HRZ393245:HSA393245 HID393245:HIE393245 GYH393245:GYI393245 GOL393245:GOM393245 GEP393245:GEQ393245 FUT393245:FUU393245 FKX393245:FKY393245 FBB393245:FBC393245 ERF393245:ERG393245 EHJ393245:EHK393245 DXN393245:DXO393245 DNR393245:DNS393245 DDV393245:DDW393245 CTZ393245:CUA393245 CKD393245:CKE393245 CAH393245:CAI393245 BQL393245:BQM393245 BGP393245:BGQ393245 AWT393245:AWU393245 AMX393245:AMY393245 ADB393245:ADC393245 TF393245:TG393245 JJ393245:JK393245 N393245:O393245 WVV327709:WVW327709 WLZ327709:WMA327709 WCD327709:WCE327709 VSH327709:VSI327709 VIL327709:VIM327709 UYP327709:UYQ327709 UOT327709:UOU327709 UEX327709:UEY327709 TVB327709:TVC327709 TLF327709:TLG327709 TBJ327709:TBK327709 SRN327709:SRO327709 SHR327709:SHS327709 RXV327709:RXW327709 RNZ327709:ROA327709 RED327709:REE327709 QUH327709:QUI327709 QKL327709:QKM327709 QAP327709:QAQ327709 PQT327709:PQU327709 PGX327709:PGY327709 OXB327709:OXC327709 ONF327709:ONG327709 ODJ327709:ODK327709 NTN327709:NTO327709 NJR327709:NJS327709 MZV327709:MZW327709 MPZ327709:MQA327709 MGD327709:MGE327709 LWH327709:LWI327709 LML327709:LMM327709 LCP327709:LCQ327709 KST327709:KSU327709 KIX327709:KIY327709 JZB327709:JZC327709 JPF327709:JPG327709 JFJ327709:JFK327709 IVN327709:IVO327709 ILR327709:ILS327709 IBV327709:IBW327709 HRZ327709:HSA327709 HID327709:HIE327709 GYH327709:GYI327709 GOL327709:GOM327709 GEP327709:GEQ327709 FUT327709:FUU327709 FKX327709:FKY327709 FBB327709:FBC327709 ERF327709:ERG327709 EHJ327709:EHK327709 DXN327709:DXO327709 DNR327709:DNS327709 DDV327709:DDW327709 CTZ327709:CUA327709 CKD327709:CKE327709 CAH327709:CAI327709 BQL327709:BQM327709 BGP327709:BGQ327709 AWT327709:AWU327709 AMX327709:AMY327709 ADB327709:ADC327709 TF327709:TG327709 JJ327709:JK327709 N327709:O327709 WVV262173:WVW262173 WLZ262173:WMA262173 WCD262173:WCE262173">
      <formula1>#REF!</formula1>
    </dataValidation>
    <dataValidation type="list" allowBlank="1" showInputMessage="1" showErrorMessage="1" sqref="VSH262173:VSI262173 VIL262173:VIM262173 UYP262173:UYQ262173 UOT262173:UOU262173 UEX262173:UEY262173 TVB262173:TVC262173 TLF262173:TLG262173 TBJ262173:TBK262173 SRN262173:SRO262173 SHR262173:SHS262173 RXV262173:RXW262173 RNZ262173:ROA262173 RED262173:REE262173 QUH262173:QUI262173 QKL262173:QKM262173 QAP262173:QAQ262173 PQT262173:PQU262173 PGX262173:PGY262173 OXB262173:OXC262173 ONF262173:ONG262173 ODJ262173:ODK262173 NTN262173:NTO262173 NJR262173:NJS262173 MZV262173:MZW262173 MPZ262173:MQA262173 MGD262173:MGE262173 LWH262173:LWI262173 LML262173:LMM262173 LCP262173:LCQ262173 KST262173:KSU262173 KIX262173:KIY262173 JZB262173:JZC262173 JPF262173:JPG262173 JFJ262173:JFK262173 IVN262173:IVO262173 ILR262173:ILS262173 IBV262173:IBW262173 HRZ262173:HSA262173 HID262173:HIE262173 GYH262173:GYI262173 GOL262173:GOM262173 GEP262173:GEQ262173 FUT262173:FUU262173 FKX262173:FKY262173 FBB262173:FBC262173 ERF262173:ERG262173 EHJ262173:EHK262173 DXN262173:DXO262173 DNR262173:DNS262173 DDV262173:DDW262173 CTZ262173:CUA262173 CKD262173:CKE262173 CAH262173:CAI262173 BQL262173:BQM262173 BGP262173:BGQ262173 AWT262173:AWU262173 AMX262173:AMY262173 ADB262173:ADC262173 TF262173:TG262173 JJ262173:JK262173 N262173:O262173 WVV196637:WVW196637 WLZ196637:WMA196637 WCD196637:WCE196637 VSH196637:VSI196637 VIL196637:VIM196637 UYP196637:UYQ196637 UOT196637:UOU196637 UEX196637:UEY196637 TVB196637:TVC196637 TLF196637:TLG196637 TBJ196637:TBK196637 SRN196637:SRO196637 SHR196637:SHS196637 RXV196637:RXW196637 RNZ196637:ROA196637 RED196637:REE196637 QUH196637:QUI196637 QKL196637:QKM196637 QAP196637:QAQ196637 PQT196637:PQU196637 PGX196637:PGY196637 OXB196637:OXC196637 ONF196637:ONG196637 ODJ196637:ODK196637 NTN196637:NTO196637 NJR196637:NJS196637 MZV196637:MZW196637 MPZ196637:MQA196637 MGD196637:MGE196637 LWH196637:LWI196637 LML196637:LMM196637 LCP196637:LCQ196637 KST196637:KSU196637 KIX196637:KIY196637 JZB196637:JZC196637 JPF196637:JPG196637 JFJ196637:JFK196637 IVN196637:IVO196637 ILR196637:ILS196637">
      <formula1>#REF!</formula1>
    </dataValidation>
    <dataValidation type="list" allowBlank="1" showInputMessage="1" showErrorMessage="1" sqref="IBV196637:IBW196637 HRZ196637:HSA196637 HID196637:HIE196637 GYH196637:GYI196637 GOL196637:GOM196637 GEP196637:GEQ196637 FUT196637:FUU196637 FKX196637:FKY196637 FBB196637:FBC196637 ERF196637:ERG196637 EHJ196637:EHK196637 DXN196637:DXO196637 DNR196637:DNS196637 DDV196637:DDW196637 CTZ196637:CUA196637 CKD196637:CKE196637 CAH196637:CAI196637 BQL196637:BQM196637 BGP196637:BGQ196637 AWT196637:AWU196637 AMX196637:AMY196637 ADB196637:ADC196637 TF196637:TG196637 JJ196637:JK196637 N196637:O196637 WVV131101:WVW131101 WLZ131101:WMA131101 WCD131101:WCE131101 VSH131101:VSI131101 VIL131101:VIM131101 UYP131101:UYQ131101 UOT131101:UOU131101 UEX131101:UEY131101 TVB131101:TVC131101 TLF131101:TLG131101 TBJ131101:TBK131101 SRN131101:SRO131101 SHR131101:SHS131101 RXV131101:RXW131101 RNZ131101:ROA131101 RED131101:REE131101 QUH131101:QUI131101 QKL131101:QKM131101 QAP131101:QAQ131101 PQT131101:PQU131101 PGX131101:PGY131101 OXB131101:OXC131101 ONF131101:ONG131101 ODJ131101:ODK131101 NTN131101:NTO131101 NJR131101:NJS131101 MZV131101:MZW131101 MPZ131101:MQA131101 MGD131101:MGE131101 LWH131101:LWI131101 LML131101:LMM131101 LCP131101:LCQ131101 KST131101:KSU131101 KIX131101:KIY131101 JZB131101:JZC131101 JPF131101:JPG131101 JFJ131101:JFK131101 IVN131101:IVO131101 ILR131101:ILS131101 IBV131101:IBW131101 HRZ131101:HSA131101 HID131101:HIE131101 GYH131101:GYI131101 GOL131101:GOM131101 GEP131101:GEQ131101 FUT131101:FUU131101 FKX131101:FKY131101 FBB131101:FBC131101 ERF131101:ERG131101 EHJ131101:EHK131101 DXN131101:DXO131101 DNR131101:DNS131101 DDV131101:DDW131101 CTZ131101:CUA131101 CKD131101:CKE131101 CAH131101:CAI131101 BQL131101:BQM131101 BGP131101:BGQ131101 AWT131101:AWU131101 AMX131101:AMY131101 ADB131101:ADC131101 TF131101:TG131101 JJ131101:JK131101 N131101:O131101 WVV65565:WVW65565 WLZ65565:WMA65565 WCD65565:WCE65565 VSH65565:VSI65565 VIL65565:VIM65565 UYP65565:UYQ65565 UOT65565:UOU65565 UEX65565:UEY65565 TVB65565:TVC65565 TLF65565:TLG65565 TBJ65565:TBK65565">
      <formula1>#REF!</formula1>
    </dataValidation>
    <dataValidation type="list" allowBlank="1" showInputMessage="1" showErrorMessage="1" sqref="SRN65565:SRO65565 SHR65565:SHS65565 RXV65565:RXW65565 RNZ65565:ROA65565 RED65565:REE65565 QUH65565:QUI65565 QKL65565:QKM65565 QAP65565:QAQ65565 PQT65565:PQU65565 PGX65565:PGY65565 OXB65565:OXC65565 ONF65565:ONG65565 ODJ65565:ODK65565 NTN65565:NTO65565 NJR65565:NJS65565 MZV65565:MZW65565 MPZ65565:MQA65565 MGD65565:MGE65565 LWH65565:LWI65565 LML65565:LMM65565 LCP65565:LCQ65565 KST65565:KSU65565 KIX65565:KIY65565 JZB65565:JZC65565 JPF65565:JPG65565 JFJ65565:JFK65565 IVN65565:IVO65565 ILR65565:ILS65565 IBV65565:IBW65565 HRZ65565:HSA65565 HID65565:HIE65565 GYH65565:GYI65565 GOL65565:GOM65565 GEP65565:GEQ65565 FUT65565:FUU65565 FKX65565:FKY65565 FBB65565:FBC65565 ERF65565:ERG65565 EHJ65565:EHK65565 DXN65565:DXO65565 DNR65565:DNS65565 DDV65565:DDW65565 CTZ65565:CUA65565 CKD65565:CKE65565 CAH65565:CAI65565 BQL65565:BQM65565 BGP65565:BGQ65565 AWT65565:AWU65565 AMX65565:AMY65565 ADB65565:ADC65565 TF65565:TG65565 JJ65565:JK65565 N65565:O65565 WVV29:WVW29 WLZ29:WMA29 WCD29:WCE29 VSH29:VSI29 VIL29:VIM29 UYP29:UYQ29 UOT29:UOU29 UEX29:UEY29 TVB29:TVC29 TLF29:TLG29 TBJ29:TBK29 SRN29:SRO29 SHR29:SHS29 RXV29:RXW29 RNZ29:ROA29 RED29:REE29 QUH29:QUI29 QKL29:QKM29 QAP29:QAQ29 PQT29:PQU29 PGX29:PGY29 OXB29:OXC29 ONF29:ONG29 ODJ29:ODK29 NTN29:NTO29 NJR29:NJS29 MZV29:MZW29 MPZ29:MQA29 MGD29:MGE29 LWH29:LWI29 LML29:LMM29 LCP29:LCQ29 KST29:KSU29 KIX29:KIY29 JZB29:JZC29 JPF29:JPG29 JFJ29:JFK29 IVN29:IVO29 ILR29:ILS29 IBV29:IBW29 HRZ29:HSA29 HID29:HIE29 GYH29:GYI29 GOL29:GOM29 GEP29:GEQ29 FUT29:FUU29 FKX29:FKY29">
      <formula1>#REF!</formula1>
    </dataValidation>
    <dataValidation type="list" allowBlank="1" showInputMessage="1" showErrorMessage="1" sqref="FBB29:FBC29 ERF29:ERG29 EHJ29:EHK29 DXN29:DXO29 DNR29:DNS29 DDV29:DDW29 CTZ29:CUA29 CKD29:CKE29 CAH29:CAI29 BQL29:BQM29 BGP29:BGQ29 AWT29:AWU29 AMX29:AMY29 ADB29:ADC29 TF29:TG29 JJ29:JK29 N29:O29 WVZ983069:WWA983069 WMD983069:WME983069 WCH983069:WCI983069 VSL983069:VSM983069 VIP983069:VIQ983069 UYT983069:UYU983069 UOX983069:UOY983069 UFB983069:UFC983069 TVF983069:TVG983069 TLJ983069:TLK983069 TBN983069:TBO983069 SRR983069:SRS983069 SHV983069:SHW983069 RXZ983069:RYA983069 ROD983069:ROE983069 REH983069:REI983069 QUL983069:QUM983069 QKP983069:QKQ983069 QAT983069:QAU983069 PQX983069:PQY983069 PHB983069:PHC983069 OXF983069:OXG983069 ONJ983069:ONK983069 ODN983069:ODO983069 NTR983069:NTS983069 NJV983069:NJW983069 MZZ983069:NAA983069 MQD983069:MQE983069 MGH983069:MGI983069 LWL983069:LWM983069 LMP983069:LMQ983069 LCT983069:LCU983069 KSX983069:KSY983069 KJB983069:KJC983069 JZF983069:JZG983069 JPJ983069:JPK983069 JFN983069:JFO983069 IVR983069:IVS983069 ILV983069:ILW983069 IBZ983069:ICA983069 HSD983069:HSE983069 HIH983069:HII983069 GYL983069:GYM983069 GOP983069:GOQ983069 GET983069:GEU983069 FUX983069:FUY983069 FLB983069:FLC983069 FBF983069:FBG983069 ERJ983069:ERK983069 EHN983069:EHO983069 DXR983069:DXS983069 DNV983069:DNW983069 DDZ983069:DEA983069 CUD983069:CUE983069 CKH983069:CKI983069 CAL983069:CAM983069 BQP983069:BQQ983069 BGT983069:BGU983069 AWX983069:AWY983069 ANB983069:ANC983069 ADF983069:ADG983069 TJ983069:TK983069 JN983069:JO983069 R983069:S983069 WVZ917533:WWA917533 WMD917533:WME917533 WCH917533:WCI917533 VSL917533:VSM917533 VIP917533:VIQ917533 UYT917533:UYU917533 UOX917533:UOY917533 UFB917533:UFC917533 TVF917533:TVG917533 TLJ917533:TLK917533 TBN917533:TBO917533 SRR917533:SRS917533 SHV917533:SHW917533 RXZ917533:RYA917533 ROD917533:ROE917533 REH917533:REI917533 QUL917533:QUM917533 QKP917533:QKQ917533 QAT917533:QAU917533">
      <formula1>#REF!</formula1>
    </dataValidation>
    <dataValidation type="list" allowBlank="1" showInputMessage="1" showErrorMessage="1" sqref="PQX917533:PQY917533 PHB917533:PHC917533 OXF917533:OXG917533 ONJ917533:ONK917533 ODN917533:ODO917533 NTR917533:NTS917533 NJV917533:NJW917533 MZZ917533:NAA917533 MQD917533:MQE917533 MGH917533:MGI917533 LWL917533:LWM917533 LMP917533:LMQ917533 LCT917533:LCU917533 KSX917533:KSY917533 KJB917533:KJC917533 JZF917533:JZG917533 JPJ917533:JPK917533 JFN917533:JFO917533 IVR917533:IVS917533 ILV917533:ILW917533 IBZ917533:ICA917533 HSD917533:HSE917533 HIH917533:HII917533 GYL917533:GYM917533 GOP917533:GOQ917533 GET917533:GEU917533 FUX917533:FUY917533 FLB917533:FLC917533 FBF917533:FBG917533 ERJ917533:ERK917533 EHN917533:EHO917533 DXR917533:DXS917533 DNV917533:DNW917533 DDZ917533:DEA917533 CUD917533:CUE917533 CKH917533:CKI917533 CAL917533:CAM917533 BQP917533:BQQ917533 BGT917533:BGU917533 AWX917533:AWY917533 ANB917533:ANC917533 ADF917533:ADG917533 TJ917533:TK917533 JN917533:JO917533 R917533:S917533 WVZ851997:WWA851997 WMD851997:WME851997 WCH851997:WCI851997 VSL851997:VSM851997 VIP851997:VIQ851997 UYT851997:UYU851997 UOX851997:UOY851997 UFB851997:UFC851997 TVF851997:TVG851997 TLJ851997:TLK851997 TBN851997:TBO851997 SRR851997:SRS851997 SHV851997:SHW851997 RXZ851997:RYA851997 ROD851997:ROE851997 REH851997:REI851997 QUL851997:QUM851997 QKP851997:QKQ851997 QAT851997:QAU851997 PQX851997:PQY851997 PHB851997:PHC851997 OXF851997:OXG851997 ONJ851997:ONK851997 ODN851997:ODO851997 NTR851997:NTS851997 NJV851997:NJW851997 MZZ851997:NAA851997 MQD851997:MQE851997 MGH851997:MGI851997 LWL851997:LWM851997 LMP851997:LMQ851997 LCT851997:LCU851997 KSX851997:KSY851997 KJB851997:KJC851997 JZF851997:JZG851997 JPJ851997:JPK851997 JFN851997:JFO851997 IVR851997:IVS851997 ILV851997:ILW851997 IBZ851997:ICA851997 HSD851997:HSE851997 HIH851997:HII851997 GYL851997:GYM851997 GOP851997:GOQ851997 GET851997:GEU851997 FUX851997:FUY851997 FLB851997:FLC851997 FBF851997:FBG851997 ERJ851997:ERK851997 EHN851997:EHO851997 DXR851997:DXS851997 DNV851997:DNW851997 DDZ851997:DEA851997 CUD851997:CUE851997 CKH851997:CKI851997">
      <formula1>#REF!</formula1>
    </dataValidation>
    <dataValidation type="list" allowBlank="1" showInputMessage="1" showErrorMessage="1" sqref="CAL851997:CAM851997 BQP851997:BQQ851997 BGT851997:BGU851997 AWX851997:AWY851997 ANB851997:ANC851997 ADF851997:ADG851997 TJ851997:TK851997 JN851997:JO851997 R851997:S851997 WVZ786461:WWA786461 WMD786461:WME786461 WCH786461:WCI786461 VSL786461:VSM786461 VIP786461:VIQ786461 UYT786461:UYU786461 UOX786461:UOY786461 UFB786461:UFC786461 TVF786461:TVG786461 TLJ786461:TLK786461 TBN786461:TBO786461 SRR786461:SRS786461 SHV786461:SHW786461 RXZ786461:RYA786461 ROD786461:ROE786461 REH786461:REI786461 QUL786461:QUM786461 QKP786461:QKQ786461 QAT786461:QAU786461 PQX786461:PQY786461 PHB786461:PHC786461 OXF786461:OXG786461 ONJ786461:ONK786461 ODN786461:ODO786461 NTR786461:NTS786461 NJV786461:NJW786461 MZZ786461:NAA786461 MQD786461:MQE786461 MGH786461:MGI786461 LWL786461:LWM786461 LMP786461:LMQ786461 LCT786461:LCU786461 KSX786461:KSY786461 KJB786461:KJC786461 JZF786461:JZG786461 JPJ786461:JPK786461 JFN786461:JFO786461 IVR786461:IVS786461 ILV786461:ILW786461 IBZ786461:ICA786461 HSD786461:HSE786461 HIH786461:HII786461 GYL786461:GYM786461 GOP786461:GOQ786461 GET786461:GEU786461 FUX786461:FUY786461 FLB786461:FLC786461 FBF786461:FBG786461 ERJ786461:ERK786461 EHN786461:EHO786461 DXR786461:DXS786461 DNV786461:DNW786461 DDZ786461:DEA786461 CUD786461:CUE786461 CKH786461:CKI786461 CAL786461:CAM786461 BQP786461:BQQ786461 BGT786461:BGU786461 AWX786461:AWY786461 ANB786461:ANC786461 ADF786461:ADG786461 TJ786461:TK786461 JN786461:JO786461 R786461:S786461 WVZ720925:WWA720925 WMD720925:WME720925 WCH720925:WCI720925 VSL720925:VSM720925 VIP720925:VIQ720925 UYT720925:UYU720925 UOX720925:UOY720925 UFB720925:UFC720925 TVF720925:TVG720925 TLJ720925:TLK720925 TBN720925:TBO720925 SRR720925:SRS720925 SHV720925:SHW720925 RXZ720925:RYA720925 ROD720925:ROE720925 REH720925:REI720925 QUL720925:QUM720925 QKP720925:QKQ720925 QAT720925:QAU720925 PQX720925:PQY720925 PHB720925:PHC720925 OXF720925:OXG720925 ONJ720925:ONK720925 ODN720925:ODO720925 NTR720925:NTS720925 NJV720925:NJW720925 MZZ720925:NAA720925">
      <formula1>#REF!</formula1>
    </dataValidation>
    <dataValidation type="list" allowBlank="1" showInputMessage="1" showErrorMessage="1" sqref="MQD720925:MQE720925 MGH720925:MGI720925 LWL720925:LWM720925 LMP720925:LMQ720925 LCT720925:LCU720925 KSX720925:KSY720925 KJB720925:KJC720925 JZF720925:JZG720925 JPJ720925:JPK720925 JFN720925:JFO720925 IVR720925:IVS720925 ILV720925:ILW720925 IBZ720925:ICA720925 HSD720925:HSE720925 HIH720925:HII720925 GYL720925:GYM720925 GOP720925:GOQ720925 GET720925:GEU720925 FUX720925:FUY720925 FLB720925:FLC720925 FBF720925:FBG720925 ERJ720925:ERK720925 EHN720925:EHO720925 DXR720925:DXS720925 DNV720925:DNW720925 DDZ720925:DEA720925 CUD720925:CUE720925 CKH720925:CKI720925 CAL720925:CAM720925 BQP720925:BQQ720925 BGT720925:BGU720925 AWX720925:AWY720925 ANB720925:ANC720925 ADF720925:ADG720925 TJ720925:TK720925 JN720925:JO720925 R720925:S720925 WVZ655389:WWA655389 WMD655389:WME655389 WCH655389:WCI655389 VSL655389:VSM655389 VIP655389:VIQ655389 UYT655389:UYU655389 UOX655389:UOY655389 UFB655389:UFC655389 TVF655389:TVG655389 TLJ655389:TLK655389 TBN655389:TBO655389 SRR655389:SRS655389 SHV655389:SHW655389 RXZ655389:RYA655389 ROD655389:ROE655389 REH655389:REI655389 QUL655389:QUM655389 QKP655389:QKQ655389 QAT655389:QAU655389 PQX655389:PQY655389 PHB655389:PHC655389 OXF655389:OXG655389 ONJ655389:ONK655389 ODN655389:ODO655389 NTR655389:NTS655389 NJV655389:NJW655389 MZZ655389:NAA655389 MQD655389:MQE655389 MGH655389:MGI655389 LWL655389:LWM655389 LMP655389:LMQ655389 LCT655389:LCU655389 KSX655389:KSY655389 KJB655389:KJC655389 JZF655389:JZG655389 JPJ655389:JPK655389 JFN655389:JFO655389 IVR655389:IVS655389 ILV655389:ILW655389 IBZ655389:ICA655389 HSD655389:HSE655389 HIH655389:HII655389 GYL655389:GYM655389 GOP655389:GOQ655389 GET655389:GEU655389 FUX655389:FUY655389 FLB655389:FLC655389 FBF655389:FBG655389 ERJ655389:ERK655389 EHN655389:EHO655389 DXR655389:DXS655389 DNV655389:DNW655389 DDZ655389:DEA655389 CUD655389:CUE655389 CKH655389:CKI655389 CAL655389:CAM655389 BQP655389:BQQ655389 BGT655389:BGU655389 AWX655389:AWY655389 ANB655389:ANC655389 ADF655389:ADG655389 TJ655389:TK655389 JN655389:JO655389">
      <formula1>#REF!</formula1>
    </dataValidation>
    <dataValidation type="list" allowBlank="1" showInputMessage="1" showErrorMessage="1" sqref="R655389:S655389 WVZ589853:WWA589853 WMD589853:WME589853 WCH589853:WCI589853 VSL589853:VSM589853 VIP589853:VIQ589853 UYT589853:UYU589853 UOX589853:UOY589853 UFB589853:UFC589853 TVF589853:TVG589853 TLJ589853:TLK589853 TBN589853:TBO589853 SRR589853:SRS589853 SHV589853:SHW589853 RXZ589853:RYA589853 ROD589853:ROE589853 REH589853:REI589853 QUL589853:QUM589853 QKP589853:QKQ589853 QAT589853:QAU589853 PQX589853:PQY589853 PHB589853:PHC589853 OXF589853:OXG589853 ONJ589853:ONK589853 ODN589853:ODO589853 NTR589853:NTS589853 NJV589853:NJW589853 MZZ589853:NAA589853 MQD589853:MQE589853 MGH589853:MGI589853 LWL589853:LWM589853 LMP589853:LMQ589853 LCT589853:LCU589853 KSX589853:KSY589853 KJB589853:KJC589853 JZF589853:JZG589853 JPJ589853:JPK589853 JFN589853:JFO589853 IVR589853:IVS589853 ILV589853:ILW589853 IBZ589853:ICA589853 HSD589853:HSE589853 HIH589853:HII589853 GYL589853:GYM589853 GOP589853:GOQ589853 GET589853:GEU589853 FUX589853:FUY589853 FLB589853:FLC589853 FBF589853:FBG589853 ERJ589853:ERK589853 EHN589853:EHO589853 DXR589853:DXS589853 DNV589853:DNW589853 DDZ589853:DEA589853 CUD589853:CUE589853 CKH589853:CKI589853 CAL589853:CAM589853 BQP589853:BQQ589853 BGT589853:BGU589853 AWX589853:AWY589853 ANB589853:ANC589853 ADF589853:ADG589853 TJ589853:TK589853 JN589853:JO589853 R589853:S589853 WVZ524317:WWA524317 WMD524317:WME524317 WCH524317:WCI524317 VSL524317:VSM524317 VIP524317:VIQ524317 UYT524317:UYU524317 UOX524317:UOY524317 UFB524317:UFC524317 TVF524317:TVG524317 TLJ524317:TLK524317 TBN524317:TBO524317 SRR524317:SRS524317 SHV524317:SHW524317 RXZ524317:RYA524317 ROD524317:ROE524317 REH524317:REI524317 QUL524317:QUM524317 QKP524317:QKQ524317 QAT524317:QAU524317 PQX524317:PQY524317 PHB524317:PHC524317 OXF524317:OXG524317 ONJ524317:ONK524317 ODN524317:ODO524317 NTR524317:NTS524317 NJV524317:NJW524317 MZZ524317:NAA524317 MQD524317:MQE524317 MGH524317:MGI524317 LWL524317:LWM524317 LMP524317:LMQ524317 LCT524317:LCU524317 KSX524317:KSY524317 KJB524317:KJC524317 JZF524317:JZG524317">
      <formula1>#REF!</formula1>
    </dataValidation>
    <dataValidation type="list" allowBlank="1" showInputMessage="1" showErrorMessage="1" sqref="JPJ524317:JPK524317 JFN524317:JFO524317 IVR524317:IVS524317 ILV524317:ILW524317 IBZ524317:ICA524317 HSD524317:HSE524317 HIH524317:HII524317 GYL524317:GYM524317 GOP524317:GOQ524317 GET524317:GEU524317 FUX524317:FUY524317 FLB524317:FLC524317 FBF524317:FBG524317 ERJ524317:ERK524317 EHN524317:EHO524317 DXR524317:DXS524317 DNV524317:DNW524317 DDZ524317:DEA524317 CUD524317:CUE524317 CKH524317:CKI524317 CAL524317:CAM524317 BQP524317:BQQ524317 BGT524317:BGU524317 AWX524317:AWY524317 ANB524317:ANC524317 ADF524317:ADG524317 TJ524317:TK524317 JN524317:JO524317 R524317:S524317 WVZ458781:WWA458781 WMD458781:WME458781 WCH458781:WCI458781 VSL458781:VSM458781 VIP458781:VIQ458781 UYT458781:UYU458781 UOX458781:UOY458781 UFB458781:UFC458781 TVF458781:TVG458781 TLJ458781:TLK458781 TBN458781:TBO458781 SRR458781:SRS458781 SHV458781:SHW458781 RXZ458781:RYA458781 ROD458781:ROE458781 REH458781:REI458781 QUL458781:QUM458781 QKP458781:QKQ458781 QAT458781:QAU458781 PQX458781:PQY458781 PHB458781:PHC458781 OXF458781:OXG458781 ONJ458781:ONK458781 ODN458781:ODO458781 NTR458781:NTS458781 NJV458781:NJW458781 MZZ458781:NAA458781 MQD458781:MQE458781 MGH458781:MGI458781 LWL458781:LWM458781 LMP458781:LMQ458781 LCT458781:LCU458781 KSX458781:KSY458781 KJB458781:KJC458781 JZF458781:JZG458781 JPJ458781:JPK458781 JFN458781:JFO458781 IVR458781:IVS458781 ILV458781:ILW458781 IBZ458781:ICA458781 HSD458781:HSE458781 HIH458781:HII458781 GYL458781:GYM458781 GOP458781:GOQ458781 GET458781:GEU458781 FUX458781:FUY458781 FLB458781:FLC458781 FBF458781:FBG458781 ERJ458781:ERK458781 EHN458781:EHO458781 DXR458781:DXS458781 DNV458781:DNW458781 DDZ458781:DEA458781 CUD458781:CUE458781 CKH458781:CKI458781 CAL458781:CAM458781 BQP458781:BQQ458781 BGT458781:BGU458781 AWX458781:AWY458781 ANB458781:ANC458781 ADF458781:ADG458781 TJ458781:TK458781 JN458781:JO458781 R458781:S458781 WVZ393245:WWA393245 WMD393245:WME393245 WCH393245:WCI393245 VSL393245:VSM393245 VIP393245:VIQ393245 UYT393245:UYU393245 UOX393245:UOY393245">
      <formula1>#REF!</formula1>
    </dataValidation>
    <dataValidation type="list" allowBlank="1" showInputMessage="1" showErrorMessage="1" sqref="UFB393245:UFC393245 TVF393245:TVG393245 TLJ393245:TLK393245 TBN393245:TBO393245 SRR393245:SRS393245 SHV393245:SHW393245 RXZ393245:RYA393245 ROD393245:ROE393245 REH393245:REI393245 QUL393245:QUM393245 QKP393245:QKQ393245 QAT393245:QAU393245 PQX393245:PQY393245 PHB393245:PHC393245 OXF393245:OXG393245 ONJ393245:ONK393245 ODN393245:ODO393245 NTR393245:NTS393245 NJV393245:NJW393245 MZZ393245:NAA393245 MQD393245:MQE393245 MGH393245:MGI393245 LWL393245:LWM393245 LMP393245:LMQ393245 LCT393245:LCU393245 KSX393245:KSY393245 KJB393245:KJC393245 JZF393245:JZG393245 JPJ393245:JPK393245 JFN393245:JFO393245 IVR393245:IVS393245 ILV393245:ILW393245 IBZ393245:ICA393245 HSD393245:HSE393245 HIH393245:HII393245 GYL393245:GYM393245 GOP393245:GOQ393245 GET393245:GEU393245 FUX393245:FUY393245 FLB393245:FLC393245 FBF393245:FBG393245 ERJ393245:ERK393245 EHN393245:EHO393245 DXR393245:DXS393245 DNV393245:DNW393245 DDZ393245:DEA393245 CUD393245:CUE393245 CKH393245:CKI393245 CAL393245:CAM393245 BQP393245:BQQ393245 BGT393245:BGU393245 AWX393245:AWY393245 ANB393245:ANC393245 ADF393245:ADG393245 TJ393245:TK393245 JN393245:JO393245 R393245:S393245 WVZ327709:WWA327709 WMD327709:WME327709 WCH327709:WCI327709 VSL327709:VSM327709 VIP327709:VIQ327709 UYT327709:UYU327709 UOX327709:UOY327709 UFB327709:UFC327709 TVF327709:TVG327709 TLJ327709:TLK327709 TBN327709:TBO327709 SRR327709:SRS327709 SHV327709:SHW327709 RXZ327709:RYA327709 ROD327709:ROE327709 REH327709:REI327709 QUL327709:QUM327709 QKP327709:QKQ327709 QAT327709:QAU327709 PQX327709:PQY327709 PHB327709:PHC327709 OXF327709:OXG327709 ONJ327709:ONK327709 ODN327709:ODO327709 NTR327709:NTS327709 NJV327709:NJW327709 MZZ327709:NAA327709 MQD327709:MQE327709 MGH327709:MGI327709 LWL327709:LWM327709 LMP327709:LMQ327709 LCT327709:LCU327709 KSX327709:KSY327709 KJB327709:KJC327709 JZF327709:JZG327709 JPJ327709:JPK327709 JFN327709:JFO327709 IVR327709:IVS327709 ILV327709:ILW327709 IBZ327709:ICA327709 HSD327709:HSE327709 HIH327709:HII327709 GYL327709:GYM327709">
      <formula1>#REF!</formula1>
    </dataValidation>
    <dataValidation type="list" allowBlank="1" showInputMessage="1" showErrorMessage="1" sqref="GOP327709:GOQ327709 GET327709:GEU327709 FUX327709:FUY327709 FLB327709:FLC327709 FBF327709:FBG327709 ERJ327709:ERK327709 EHN327709:EHO327709 DXR327709:DXS327709 DNV327709:DNW327709 DDZ327709:DEA327709 CUD327709:CUE327709 CKH327709:CKI327709 CAL327709:CAM327709 BQP327709:BQQ327709 BGT327709:BGU327709 AWX327709:AWY327709 ANB327709:ANC327709 ADF327709:ADG327709 TJ327709:TK327709 JN327709:JO327709 R327709:S327709 WVZ262173:WWA262173 WMD262173:WME262173 WCH262173:WCI262173 VSL262173:VSM262173 VIP262173:VIQ262173 UYT262173:UYU262173 UOX262173:UOY262173 UFB262173:UFC262173 TVF262173:TVG262173 TLJ262173:TLK262173 TBN262173:TBO262173 SRR262173:SRS262173 SHV262173:SHW262173 RXZ262173:RYA262173 ROD262173:ROE262173 REH262173:REI262173 QUL262173:QUM262173 QKP262173:QKQ262173 QAT262173:QAU262173 PQX262173:PQY262173 PHB262173:PHC262173 OXF262173:OXG262173 ONJ262173:ONK262173 ODN262173:ODO262173 NTR262173:NTS262173 NJV262173:NJW262173 MZZ262173:NAA262173 MQD262173:MQE262173 MGH262173:MGI262173 LWL262173:LWM262173 LMP262173:LMQ262173 LCT262173:LCU262173 KSX262173:KSY262173 KJB262173:KJC262173 JZF262173:JZG262173 JPJ262173:JPK262173 JFN262173:JFO262173 IVR262173:IVS262173 ILV262173:ILW262173 IBZ262173:ICA262173 HSD262173:HSE262173 HIH262173:HII262173 GYL262173:GYM262173 GOP262173:GOQ262173 GET262173:GEU262173 FUX262173:FUY262173 FLB262173:FLC262173 FBF262173:FBG262173 ERJ262173:ERK262173 EHN262173:EHO262173 DXR262173:DXS262173 DNV262173:DNW262173 DDZ262173:DEA262173 CUD262173:CUE262173 CKH262173:CKI262173 CAL262173:CAM262173 BQP262173:BQQ262173 BGT262173:BGU262173 AWX262173:AWY262173 ANB262173:ANC262173 ADF262173:ADG262173 TJ262173:TK262173 JN262173:JO262173 R262173:S262173 WVZ196637:WWA196637 WMD196637:WME196637 WCH196637:WCI196637 VSL196637:VSM196637 VIP196637:VIQ196637 UYT196637:UYU196637 UOX196637:UOY196637 UFB196637:UFC196637 TVF196637:TVG196637 TLJ196637:TLK196637 TBN196637:TBO196637 SRR196637:SRS196637 SHV196637:SHW196637 RXZ196637:RYA196637 ROD196637:ROE196637">
      <formula1>#REF!</formula1>
    </dataValidation>
    <dataValidation type="list" allowBlank="1" showInputMessage="1" showErrorMessage="1" sqref="REH196637:REI196637 QUL196637:QUM196637 QKP196637:QKQ196637 QAT196637:QAU196637 PQX196637:PQY196637 PHB196637:PHC196637 OXF196637:OXG196637 ONJ196637:ONK196637 ODN196637:ODO196637 NTR196637:NTS196637 NJV196637:NJW196637 MZZ196637:NAA196637 MQD196637:MQE196637 MGH196637:MGI196637 LWL196637:LWM196637 LMP196637:LMQ196637 LCT196637:LCU196637 KSX196637:KSY196637 KJB196637:KJC196637 JZF196637:JZG196637 JPJ196637:JPK196637 JFN196637:JFO196637 IVR196637:IVS196637 ILV196637:ILW196637 IBZ196637:ICA196637 HSD196637:HSE196637 HIH196637:HII196637 GYL196637:GYM196637 GOP196637:GOQ196637 GET196637:GEU196637 FUX196637:FUY196637 FLB196637:FLC196637 FBF196637:FBG196637 ERJ196637:ERK196637 EHN196637:EHO196637 DXR196637:DXS196637 DNV196637:DNW196637 DDZ196637:DEA196637 CUD196637:CUE196637 CKH196637:CKI196637 CAL196637:CAM196637 BQP196637:BQQ196637 BGT196637:BGU196637 AWX196637:AWY196637 ANB196637:ANC196637 ADF196637:ADG196637 TJ196637:TK196637 JN196637:JO196637 R196637:S196637 WVZ131101:WWA131101 WMD131101:WME131101 WCH131101:WCI131101 VSL131101:VSM131101 VIP131101:VIQ131101 UYT131101:UYU131101 UOX131101:UOY131101 UFB131101:UFC131101 TVF131101:TVG131101 TLJ131101:TLK131101 TBN131101:TBO131101 SRR131101:SRS131101 SHV131101:SHW131101 RXZ131101:RYA131101 ROD131101:ROE131101 REH131101:REI131101 QUL131101:QUM131101 QKP131101:QKQ131101 QAT131101:QAU131101 PQX131101:PQY131101 PHB131101:PHC131101 OXF131101:OXG131101 ONJ131101:ONK131101 ODN131101:ODO131101 NTR131101:NTS131101 NJV131101:NJW131101 MZZ131101:NAA131101 MQD131101:MQE131101 MGH131101:MGI131101 LWL131101:LWM131101 LMP131101:LMQ131101 LCT131101:LCU131101 KSX131101:KSY131101 KJB131101:KJC131101 JZF131101:JZG131101 JPJ131101:JPK131101 JFN131101:JFO131101 IVR131101:IVS131101 ILV131101:ILW131101 IBZ131101:ICA131101 HSD131101:HSE131101 HIH131101:HII131101 GYL131101:GYM131101 GOP131101:GOQ131101 GET131101:GEU131101 FUX131101:FUY131101 FLB131101:FLC131101 FBF131101:FBG131101 ERJ131101:ERK131101 EHN131101:EHO131101 DXR131101:DXS131101">
      <formula1>#REF!</formula1>
    </dataValidation>
    <dataValidation type="list" allowBlank="1" showInputMessage="1" showErrorMessage="1" sqref="DNV131101:DNW131101 DDZ131101:DEA131101 CUD131101:CUE131101 CKH131101:CKI131101 CAL131101:CAM131101 BQP131101:BQQ131101 BGT131101:BGU131101 AWX131101:AWY131101 ANB131101:ANC131101 ADF131101:ADG131101 TJ131101:TK131101 JN131101:JO131101 R131101:S131101 WVZ65565:WWA65565 WMD65565:WME65565 WCH65565:WCI65565 VSL65565:VSM65565 VIP65565:VIQ65565 UYT65565:UYU65565 UOX65565:UOY65565 UFB65565:UFC65565 TVF65565:TVG65565 TLJ65565:TLK65565 TBN65565:TBO65565 SRR65565:SRS65565 SHV65565:SHW65565 RXZ65565:RYA65565 ROD65565:ROE65565 REH65565:REI65565 QUL65565:QUM65565 QKP65565:QKQ65565 QAT65565:QAU65565 PQX65565:PQY65565 PHB65565:PHC65565 OXF65565:OXG65565 ONJ65565:ONK65565 ODN65565:ODO65565 NTR65565:NTS65565 NJV65565:NJW65565 MZZ65565:NAA65565 MQD65565:MQE65565 MGH65565:MGI65565 LWL65565:LWM65565 LMP65565:LMQ65565 LCT65565:LCU65565 KSX65565:KSY65565 KJB65565:KJC65565 JZF65565:JZG65565 JPJ65565:JPK65565 JFN65565:JFO65565 IVR65565:IVS65565 ILV65565:ILW65565 IBZ65565:ICA65565 HSD65565:HSE65565 HIH65565:HII65565 GYL65565:GYM65565 GOP65565:GOQ65565 GET65565:GEU65565 FUX65565:FUY65565 FLB65565:FLC65565 FBF65565:FBG65565 ERJ65565:ERK65565 EHN65565:EHO65565 DXR65565:DXS65565 DNV65565:DNW65565 DDZ65565:DEA65565 CUD65565:CUE65565 CKH65565:CKI65565 CAL65565:CAM65565 BQP65565:BQQ65565 BGT65565:BGU65565 AWX65565:AWY65565 ANB65565:ANC65565 ADF65565:ADG65565 TJ65565:TK65565 JN65565:JO65565 R65565:S65565 WVZ29:WWA29 WMD29:WME29 WCH29:WCI29 VSL29:VSM29 VIP29:VIQ29 UYT29:UYU29 UOX29:UOY29 UFB29:UFC29 TVF29:TVG29 TLJ29:TLK29 TBN29:TBO29 SRR29:SRS29 SHV29:SHW29 RXZ29:RYA29 ROD29:ROE29 REH29:REI29 QUL29:QUM29 QKP29:QKQ29 QAT29:QAU29 PQX29:PQY29 PHB29:PHC29 OXF29:OXG29 ONJ29:ONK29">
      <formula1>#REF!</formula1>
    </dataValidation>
    <dataValidation type="list" allowBlank="1" showInputMessage="1" showErrorMessage="1" sqref="ODN29:ODO29 NTR29:NTS29 NJV29:NJW29 MZZ29:NAA29 MQD29:MQE29 MGH29:MGI29 LWL29:LWM29 LMP29:LMQ29 LCT29:LCU29 KSX29:KSY29 KJB29:KJC29 JZF29:JZG29 JPJ29:JPK29 JFN29:JFO29 IVR29:IVS29 ILV29:ILW29 IBZ29:ICA29 HSD29:HSE29 HIH29:HII29 GYL29:GYM29 GOP29:GOQ29 GET29:GEU29 FUX29:FUY29 FLB29:FLC29 FBF29:FBG29 ERJ29:ERK29 EHN29:EHO29 DXR29:DXS29 DNV29:DNW29 DDZ29:DEA29 CUD29:CUE29 CKH29:CKI29 CAL29:CAM29 BQP29:BQQ29 BGT29:BGU29 AWX29:AWY29 ANB29:ANC29 ADF29:ADG29 TJ29:TK29">
      <formula1>#REF!</formula1>
    </dataValidation>
  </dataValidations>
  <printOptions/>
  <pageMargins left="0" right="0" top="0.984251968503937" bottom="0.984251968503937" header="0.5118110236220472" footer="0.5118110236220472"/>
  <pageSetup fitToHeight="1" fitToWidth="1" horizontalDpi="600" verticalDpi="600" orientation="landscape" paperSize="9" scale="4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2:AB46"/>
  <sheetViews>
    <sheetView showGridLines="0" zoomScale="60" zoomScaleNormal="60" workbookViewId="0" topLeftCell="A1"/>
  </sheetViews>
  <sheetFormatPr defaultColWidth="9.00390625" defaultRowHeight="13.5"/>
  <cols>
    <col min="1" max="1" width="9.00390625" style="150" customWidth="1"/>
    <col min="2" max="2" width="4.625" style="151" customWidth="1"/>
    <col min="3" max="4" width="6.625" style="152" customWidth="1"/>
    <col min="5" max="5" width="12.625" style="150" customWidth="1"/>
    <col min="6" max="6" width="6.625" style="150" customWidth="1"/>
    <col min="7" max="7" width="6.625" style="152" customWidth="1"/>
    <col min="8" max="8" width="4.625" style="150" customWidth="1"/>
    <col min="9" max="9" width="4.625" style="151" customWidth="1"/>
    <col min="10" max="11" width="6.625" style="152" customWidth="1"/>
    <col min="12" max="12" width="12.625" style="150" customWidth="1"/>
    <col min="13" max="13" width="6.625" style="150" customWidth="1"/>
    <col min="14" max="14" width="6.625" style="152" customWidth="1"/>
    <col min="15" max="15" width="4.625" style="150" customWidth="1"/>
    <col min="16" max="16" width="9.00390625" style="152" customWidth="1"/>
    <col min="17" max="17" width="3.625" style="152" hidden="1" customWidth="1"/>
    <col min="18" max="18" width="7.625" style="153" hidden="1" customWidth="1"/>
    <col min="19" max="19" width="20.125" style="154" hidden="1" customWidth="1"/>
    <col min="20" max="20" width="9.00390625" style="150" hidden="1" customWidth="1"/>
    <col min="21" max="21" width="20.125" style="154" hidden="1" customWidth="1"/>
    <col min="22" max="22" width="9.00390625" style="150" hidden="1" customWidth="1"/>
    <col min="23" max="16384" width="9.00390625" style="150" customWidth="1"/>
  </cols>
  <sheetData>
    <row r="2" spans="2:18" ht="16.75">
      <c r="B2" s="555" t="str">
        <f>'大会要項'!B3</f>
        <v>第11回 全日本不動産協会杯争奪U-12サッカー大会【ラビットカップ】大分県大会</v>
      </c>
      <c r="C2" s="555"/>
      <c r="D2" s="555"/>
      <c r="E2" s="555"/>
      <c r="F2" s="555"/>
      <c r="G2" s="555"/>
      <c r="H2" s="555"/>
      <c r="I2" s="555"/>
      <c r="J2" s="555"/>
      <c r="K2" s="555"/>
      <c r="L2" s="555"/>
      <c r="M2" s="555" t="s">
        <v>424</v>
      </c>
      <c r="N2" s="555"/>
      <c r="O2" s="555"/>
      <c r="R2" s="153" t="s">
        <v>6</v>
      </c>
    </row>
    <row r="3" spans="18:21" ht="14.25" customHeight="1">
      <c r="R3" s="2" t="s">
        <v>8</v>
      </c>
      <c r="S3" s="2" t="s">
        <v>9</v>
      </c>
      <c r="U3" s="2"/>
    </row>
    <row r="4" spans="5:23" ht="15.75" customHeight="1">
      <c r="E4" s="156" t="s">
        <v>425</v>
      </c>
      <c r="F4" s="155"/>
      <c r="L4" s="155" t="s">
        <v>426</v>
      </c>
      <c r="M4" s="155"/>
      <c r="Q4" s="157" t="s">
        <v>427</v>
      </c>
      <c r="R4" s="556" t="s">
        <v>13</v>
      </c>
      <c r="S4" s="158" t="s">
        <v>428</v>
      </c>
      <c r="U4" s="158" t="str">
        <f>'抽選会資料'!B11</f>
        <v>リノスフットボールクラブ　Ｕ－１２</v>
      </c>
      <c r="V4" s="150" t="s">
        <v>13</v>
      </c>
      <c r="W4" s="159"/>
    </row>
    <row r="5" spans="4:23" ht="15.75" customHeight="1">
      <c r="D5" s="151" t="s">
        <v>429</v>
      </c>
      <c r="E5" s="557" t="str">
        <f>IF(ISERROR(VLOOKUP(D5,$Q:$S,3,FALSE))=TRUE,"",VLOOKUP(D5,$Q:$S,3,FALSE))</f>
        <v>東　Ｆ．Ｃ．</v>
      </c>
      <c r="F5" s="160"/>
      <c r="G5" s="545"/>
      <c r="H5" s="161"/>
      <c r="K5" s="151" t="s">
        <v>430</v>
      </c>
      <c r="L5" s="559" t="str">
        <f>IF(ISERROR(VLOOKUP(K5,$Q:$S,3,FALSE))=TRUE,"",VLOOKUP(K5,$Q:$S,3,FALSE))</f>
        <v>ＯＫＹ山香</v>
      </c>
      <c r="M5" s="160"/>
      <c r="N5" s="545"/>
      <c r="O5" s="161"/>
      <c r="Q5" s="157" t="s">
        <v>431</v>
      </c>
      <c r="R5" s="556"/>
      <c r="S5" s="158" t="s">
        <v>432</v>
      </c>
      <c r="U5" s="158" t="str">
        <f>'抽選会資料'!B12</f>
        <v>北郡坂ノ市サッカースポーツ少年団</v>
      </c>
      <c r="V5" s="150" t="s">
        <v>13</v>
      </c>
      <c r="W5" s="159"/>
    </row>
    <row r="6" spans="4:23" ht="15.75" customHeight="1">
      <c r="D6" s="546"/>
      <c r="E6" s="558"/>
      <c r="F6" s="548"/>
      <c r="G6" s="545"/>
      <c r="H6" s="161"/>
      <c r="K6" s="546"/>
      <c r="L6" s="560"/>
      <c r="M6" s="548"/>
      <c r="N6" s="545"/>
      <c r="O6" s="161"/>
      <c r="Q6" s="157" t="s">
        <v>433</v>
      </c>
      <c r="R6" s="556"/>
      <c r="S6" s="162" t="s">
        <v>434</v>
      </c>
      <c r="U6" s="158" t="str">
        <f>'抽選会資料'!B13</f>
        <v>アトレチコエラン横瀬</v>
      </c>
      <c r="V6" s="150" t="s">
        <v>13</v>
      </c>
      <c r="W6" s="159"/>
    </row>
    <row r="7" spans="3:23" ht="15.75" customHeight="1">
      <c r="C7" s="160"/>
      <c r="D7" s="546"/>
      <c r="E7" s="549"/>
      <c r="F7" s="548"/>
      <c r="G7" s="160"/>
      <c r="H7" s="161"/>
      <c r="J7" s="160"/>
      <c r="K7" s="546"/>
      <c r="L7" s="549"/>
      <c r="M7" s="548"/>
      <c r="N7" s="160"/>
      <c r="O7" s="161"/>
      <c r="Q7" s="157" t="s">
        <v>435</v>
      </c>
      <c r="R7" s="556"/>
      <c r="S7" s="158" t="s">
        <v>436</v>
      </c>
      <c r="U7" s="158" t="str">
        <f>'抽選会資料'!B14</f>
        <v>ＫＩＮＧＳ　ＦＯＯＴＢＡＬＬＣＬＵＢ　Ｕ－１２</v>
      </c>
      <c r="V7" s="150" t="s">
        <v>13</v>
      </c>
      <c r="W7" s="159"/>
    </row>
    <row r="8" spans="3:23" ht="15.75" customHeight="1">
      <c r="C8" s="163"/>
      <c r="D8" s="547"/>
      <c r="E8" s="549"/>
      <c r="F8" s="548"/>
      <c r="G8" s="163"/>
      <c r="H8" s="164"/>
      <c r="J8" s="163"/>
      <c r="K8" s="547"/>
      <c r="L8" s="549"/>
      <c r="M8" s="548"/>
      <c r="N8" s="163"/>
      <c r="O8" s="164"/>
      <c r="Q8" s="157" t="s">
        <v>437</v>
      </c>
      <c r="R8" s="556"/>
      <c r="S8" s="158" t="s">
        <v>438</v>
      </c>
      <c r="U8" s="158" t="str">
        <f>'抽選会資料'!B15</f>
        <v>スマイス　セレソン　スポーツクラブ</v>
      </c>
      <c r="V8" s="150" t="s">
        <v>13</v>
      </c>
      <c r="W8" s="159"/>
    </row>
    <row r="9" spans="2:23" ht="15.75" customHeight="1">
      <c r="B9" s="151" t="s">
        <v>427</v>
      </c>
      <c r="C9" s="539" t="str">
        <f>IF(ISERROR(VLOOKUP(B9,$Q:$S,3,FALSE))=TRUE,"",VLOOKUP(B9,$Q:$S,3,FALSE))</f>
        <v>リノス</v>
      </c>
      <c r="D9" s="540"/>
      <c r="E9" s="165"/>
      <c r="F9" s="539" t="str">
        <f>IF(ISERROR(VLOOKUP(H9,$Q:$S,3,FALSE))=TRUE,"",VLOOKUP(H9,$Q:$S,3,FALSE))</f>
        <v>明治</v>
      </c>
      <c r="G9" s="540"/>
      <c r="H9" s="161" t="s">
        <v>439</v>
      </c>
      <c r="I9" s="151" t="s">
        <v>437</v>
      </c>
      <c r="J9" s="539" t="str">
        <f>IF(ISERROR(VLOOKUP(I9,$Q:$S,3,FALSE))=TRUE,"",VLOOKUP(I9,$Q:$S,3,FALSE))</f>
        <v>スマイス　スポーツ</v>
      </c>
      <c r="K9" s="540"/>
      <c r="L9" s="165"/>
      <c r="M9" s="551" t="str">
        <f>IF(ISERROR(VLOOKUP(O9,$Q:$S,3,FALSE))=TRUE,"",VLOOKUP(O9,$Q:$S,3,FALSE))</f>
        <v>下毛ＦＣ</v>
      </c>
      <c r="N9" s="552"/>
      <c r="O9" s="161" t="s">
        <v>440</v>
      </c>
      <c r="Q9" s="157" t="s">
        <v>441</v>
      </c>
      <c r="R9" s="556"/>
      <c r="S9" s="158" t="s">
        <v>442</v>
      </c>
      <c r="U9" s="158" t="str">
        <f>'抽選会資料'!B16</f>
        <v>大分トリニータＵ－１２</v>
      </c>
      <c r="V9" s="150" t="s">
        <v>13</v>
      </c>
      <c r="W9" s="159"/>
    </row>
    <row r="10" spans="3:23" ht="15.75" customHeight="1">
      <c r="C10" s="541"/>
      <c r="D10" s="542"/>
      <c r="E10" s="164"/>
      <c r="F10" s="541"/>
      <c r="G10" s="542"/>
      <c r="H10" s="161"/>
      <c r="J10" s="541"/>
      <c r="K10" s="542"/>
      <c r="L10" s="164"/>
      <c r="M10" s="553"/>
      <c r="N10" s="554"/>
      <c r="O10" s="161"/>
      <c r="Q10" s="157" t="s">
        <v>439</v>
      </c>
      <c r="R10" s="556"/>
      <c r="S10" s="158" t="s">
        <v>443</v>
      </c>
      <c r="U10" s="158" t="str">
        <f>'抽選会資料'!B17</f>
        <v>明治サッカースポーツ少年団</v>
      </c>
      <c r="V10" s="150" t="s">
        <v>13</v>
      </c>
      <c r="W10" s="159"/>
    </row>
    <row r="11" spans="3:23" ht="15.75" customHeight="1">
      <c r="C11" s="160"/>
      <c r="D11" s="160"/>
      <c r="E11" s="163"/>
      <c r="F11" s="163"/>
      <c r="G11" s="160"/>
      <c r="H11" s="160"/>
      <c r="I11" s="166"/>
      <c r="J11" s="160"/>
      <c r="K11" s="160"/>
      <c r="L11" s="163"/>
      <c r="M11" s="163"/>
      <c r="N11" s="160"/>
      <c r="Q11" s="157" t="s">
        <v>444</v>
      </c>
      <c r="R11" s="556"/>
      <c r="S11" s="158" t="s">
        <v>445</v>
      </c>
      <c r="U11" s="158" t="str">
        <f>'抽選会資料'!B18</f>
        <v>ドリームキッズフットボールクラブ</v>
      </c>
      <c r="V11" s="150" t="s">
        <v>13</v>
      </c>
      <c r="W11" s="159"/>
    </row>
    <row r="12" spans="3:23" ht="15.75" customHeight="1">
      <c r="C12" s="160"/>
      <c r="D12" s="160"/>
      <c r="E12" s="155" t="s">
        <v>446</v>
      </c>
      <c r="F12" s="155"/>
      <c r="G12" s="160"/>
      <c r="H12" s="167"/>
      <c r="L12" s="155" t="s">
        <v>447</v>
      </c>
      <c r="M12" s="155"/>
      <c r="Q12" s="157" t="s">
        <v>448</v>
      </c>
      <c r="R12" s="556"/>
      <c r="S12" s="158" t="s">
        <v>449</v>
      </c>
      <c r="U12" s="158" t="str">
        <f>'抽選会資料'!B19</f>
        <v>日岡サッカースポーツ少年団</v>
      </c>
      <c r="V12" s="150" t="s">
        <v>13</v>
      </c>
      <c r="W12" s="159"/>
    </row>
    <row r="13" spans="4:23" ht="15.75" customHeight="1">
      <c r="D13" s="151" t="s">
        <v>450</v>
      </c>
      <c r="E13" s="543" t="str">
        <f>IF(ISERROR(VLOOKUP(D13,$Q:$S,3,FALSE))=TRUE,"",VLOOKUP(D13,$Q:$S,3,FALSE))</f>
        <v>スマイス・セレソン</v>
      </c>
      <c r="F13" s="160"/>
      <c r="G13" s="545"/>
      <c r="H13" s="161"/>
      <c r="K13" s="151" t="s">
        <v>451</v>
      </c>
      <c r="L13" s="543" t="str">
        <f>IF(ISERROR(VLOOKUP(K13,$Q:$S,3,FALSE))=TRUE,"",VLOOKUP(K13,$Q:$S,3,FALSE))</f>
        <v>市浜レッドソックス</v>
      </c>
      <c r="M13" s="160"/>
      <c r="N13" s="545"/>
      <c r="O13" s="161"/>
      <c r="Q13" s="157" t="s">
        <v>452</v>
      </c>
      <c r="R13" s="556"/>
      <c r="S13" s="158" t="s">
        <v>453</v>
      </c>
      <c r="U13" s="158" t="str">
        <f>'抽選会資料'!B20</f>
        <v>ブルーウイングフットボールクラブ</v>
      </c>
      <c r="V13" s="150" t="s">
        <v>13</v>
      </c>
      <c r="W13" s="159"/>
    </row>
    <row r="14" spans="4:23" ht="15.75" customHeight="1">
      <c r="D14" s="546"/>
      <c r="E14" s="544"/>
      <c r="F14" s="548"/>
      <c r="G14" s="545"/>
      <c r="H14" s="161"/>
      <c r="K14" s="546"/>
      <c r="L14" s="544"/>
      <c r="M14" s="548"/>
      <c r="N14" s="545"/>
      <c r="O14" s="161"/>
      <c r="Q14" s="157" t="s">
        <v>454</v>
      </c>
      <c r="R14" s="556"/>
      <c r="S14" s="158" t="s">
        <v>455</v>
      </c>
      <c r="U14" s="158" t="str">
        <f>'抽選会資料'!B21</f>
        <v>別保ＳＦＣ</v>
      </c>
      <c r="V14" s="150" t="s">
        <v>13</v>
      </c>
      <c r="W14" s="159"/>
    </row>
    <row r="15" spans="3:15" ht="15.75" customHeight="1">
      <c r="C15" s="160"/>
      <c r="D15" s="546"/>
      <c r="E15" s="549"/>
      <c r="F15" s="548"/>
      <c r="G15" s="160"/>
      <c r="H15" s="161"/>
      <c r="J15" s="160"/>
      <c r="K15" s="546"/>
      <c r="L15" s="549"/>
      <c r="M15" s="548"/>
      <c r="N15" s="160"/>
      <c r="O15" s="161"/>
    </row>
    <row r="16" spans="3:21" ht="15.75" customHeight="1">
      <c r="C16" s="163"/>
      <c r="D16" s="547"/>
      <c r="E16" s="549"/>
      <c r="F16" s="548"/>
      <c r="G16" s="163"/>
      <c r="H16" s="164"/>
      <c r="J16" s="163"/>
      <c r="K16" s="547"/>
      <c r="L16" s="549"/>
      <c r="M16" s="548"/>
      <c r="N16" s="163"/>
      <c r="O16" s="164"/>
      <c r="R16" s="1"/>
      <c r="S16" s="159"/>
      <c r="U16" s="159"/>
    </row>
    <row r="17" spans="2:21" ht="15.75" customHeight="1">
      <c r="B17" s="151" t="s">
        <v>441</v>
      </c>
      <c r="C17" s="539" t="str">
        <f>IF(ISERROR(VLOOKUP(B17,$Q:$S,3,FALSE))=TRUE,"",VLOOKUP(B17,$Q:$S,3,FALSE))</f>
        <v>大分トリニータ</v>
      </c>
      <c r="D17" s="540"/>
      <c r="E17" s="165"/>
      <c r="F17" s="539" t="str">
        <f>IF(ISERROR(VLOOKUP(H17,$Q:$S,3,FALSE))=TRUE,"",VLOOKUP(H17,$Q:$S,3,FALSE))</f>
        <v>ＦＣアリアーレ</v>
      </c>
      <c r="G17" s="540"/>
      <c r="H17" s="161" t="s">
        <v>456</v>
      </c>
      <c r="I17" s="151" t="s">
        <v>433</v>
      </c>
      <c r="J17" s="539" t="str">
        <f>IF(ISERROR(VLOOKUP(I17,$Q:$S,3,FALSE))=TRUE,"",VLOOKUP(I17,$Q:$S,3,FALSE))</f>
        <v>横瀬</v>
      </c>
      <c r="K17" s="540"/>
      <c r="L17" s="165"/>
      <c r="M17" s="539" t="str">
        <f>IF(ISERROR(VLOOKUP(O17,$Q:$S,3,FALSE))=TRUE,"",VLOOKUP(O17,$Q:$S,3,FALSE))</f>
        <v>ＦＣ　ＵＮＩＴＥ</v>
      </c>
      <c r="N17" s="540"/>
      <c r="O17" s="161" t="s">
        <v>457</v>
      </c>
      <c r="R17" s="1"/>
      <c r="S17" s="159"/>
      <c r="U17" s="159"/>
    </row>
    <row r="18" spans="3:18" ht="15.75" customHeight="1">
      <c r="C18" s="541"/>
      <c r="D18" s="542"/>
      <c r="E18" s="164"/>
      <c r="F18" s="541"/>
      <c r="G18" s="542"/>
      <c r="H18" s="161"/>
      <c r="J18" s="541"/>
      <c r="K18" s="542"/>
      <c r="L18" s="164"/>
      <c r="M18" s="541"/>
      <c r="N18" s="542"/>
      <c r="O18" s="161"/>
      <c r="R18" s="153" t="s">
        <v>7</v>
      </c>
    </row>
    <row r="19" spans="17:21" ht="15.75" customHeight="1">
      <c r="Q19" s="153"/>
      <c r="R19" s="2" t="s">
        <v>8</v>
      </c>
      <c r="S19" s="2"/>
      <c r="U19" s="2"/>
    </row>
    <row r="20" spans="17:23" ht="15.75" customHeight="1">
      <c r="Q20" s="168" t="s">
        <v>458</v>
      </c>
      <c r="R20" s="550" t="s">
        <v>17</v>
      </c>
      <c r="S20" s="162" t="s">
        <v>459</v>
      </c>
      <c r="U20" s="158" t="str">
        <f>'抽選会資料'!I11</f>
        <v>中津沖代ジュニアサッカークラブ</v>
      </c>
      <c r="V20" s="150" t="s">
        <v>17</v>
      </c>
      <c r="W20" s="159"/>
    </row>
    <row r="21" spans="5:23" ht="15.75" customHeight="1">
      <c r="E21" s="156" t="s">
        <v>460</v>
      </c>
      <c r="F21" s="155"/>
      <c r="I21" s="166"/>
      <c r="J21" s="160"/>
      <c r="K21" s="160"/>
      <c r="L21" s="155" t="s">
        <v>461</v>
      </c>
      <c r="M21" s="155"/>
      <c r="N21" s="160"/>
      <c r="Q21" s="168" t="s">
        <v>462</v>
      </c>
      <c r="R21" s="550"/>
      <c r="S21" s="162" t="s">
        <v>463</v>
      </c>
      <c r="U21" s="158" t="str">
        <f>'抽選会資料'!I12</f>
        <v>ＦＣ中津ジュニア</v>
      </c>
      <c r="V21" s="150" t="s">
        <v>17</v>
      </c>
      <c r="W21" s="159"/>
    </row>
    <row r="22" spans="4:23" ht="15.75" customHeight="1">
      <c r="D22" s="151" t="s">
        <v>462</v>
      </c>
      <c r="E22" s="543" t="str">
        <f>IF(ISERROR(VLOOKUP(D22,$Q:$S,3,FALSE))=TRUE,"",VLOOKUP(D22,$Q:$S,3,FALSE))</f>
        <v>ＦＣ中津</v>
      </c>
      <c r="F22" s="160"/>
      <c r="G22" s="545"/>
      <c r="H22" s="161"/>
      <c r="K22" s="151" t="s">
        <v>458</v>
      </c>
      <c r="L22" s="543" t="str">
        <f>IF(ISERROR(VLOOKUP(K22,$Q:$S,3,FALSE))=TRUE,"",VLOOKUP(K22,$Q:$S,3,FALSE))</f>
        <v>中津沖代</v>
      </c>
      <c r="M22" s="160"/>
      <c r="N22" s="545"/>
      <c r="O22" s="161"/>
      <c r="Q22" s="168" t="s">
        <v>440</v>
      </c>
      <c r="R22" s="550"/>
      <c r="S22" s="162" t="s">
        <v>22</v>
      </c>
      <c r="U22" s="158" t="str">
        <f>'抽選会資料'!I13</f>
        <v>下毛ＦＣ</v>
      </c>
      <c r="V22" s="150" t="s">
        <v>17</v>
      </c>
      <c r="W22" s="159"/>
    </row>
    <row r="23" spans="4:23" ht="15.75" customHeight="1">
      <c r="D23" s="546"/>
      <c r="E23" s="544"/>
      <c r="F23" s="548"/>
      <c r="G23" s="545"/>
      <c r="H23" s="161"/>
      <c r="K23" s="546"/>
      <c r="L23" s="544"/>
      <c r="M23" s="548"/>
      <c r="N23" s="545"/>
      <c r="O23" s="161"/>
      <c r="Q23" s="168" t="s">
        <v>430</v>
      </c>
      <c r="R23" s="550" t="s">
        <v>24</v>
      </c>
      <c r="S23" s="162" t="s">
        <v>464</v>
      </c>
      <c r="U23" s="158" t="str">
        <f>'抽選会資料'!I14</f>
        <v>ＯＫＹ山香サッカークラブ</v>
      </c>
      <c r="V23" s="150" t="s">
        <v>24</v>
      </c>
      <c r="W23" s="159"/>
    </row>
    <row r="24" spans="3:23" ht="15.75" customHeight="1">
      <c r="C24" s="160"/>
      <c r="D24" s="546"/>
      <c r="E24" s="549"/>
      <c r="F24" s="548"/>
      <c r="G24" s="160"/>
      <c r="H24" s="161"/>
      <c r="J24" s="160"/>
      <c r="K24" s="546"/>
      <c r="L24" s="549"/>
      <c r="M24" s="548"/>
      <c r="N24" s="160"/>
      <c r="O24" s="161"/>
      <c r="Q24" s="168" t="s">
        <v>429</v>
      </c>
      <c r="R24" s="550"/>
      <c r="S24" s="162" t="s">
        <v>27</v>
      </c>
      <c r="U24" s="158" t="str">
        <f>'抽選会資料'!I15</f>
        <v>東　Ｆ．Ｃ．</v>
      </c>
      <c r="V24" s="150" t="s">
        <v>24</v>
      </c>
      <c r="W24" s="159"/>
    </row>
    <row r="25" spans="3:23" ht="15.75" customHeight="1">
      <c r="C25" s="163"/>
      <c r="D25" s="547"/>
      <c r="E25" s="549"/>
      <c r="F25" s="548"/>
      <c r="G25" s="163"/>
      <c r="H25" s="164"/>
      <c r="J25" s="163"/>
      <c r="K25" s="547"/>
      <c r="L25" s="549"/>
      <c r="M25" s="548"/>
      <c r="N25" s="163"/>
      <c r="O25" s="164"/>
      <c r="Q25" s="168" t="s">
        <v>450</v>
      </c>
      <c r="R25" s="550" t="s">
        <v>29</v>
      </c>
      <c r="S25" s="162" t="s">
        <v>30</v>
      </c>
      <c r="U25" s="158" t="str">
        <f>'抽選会資料'!I16</f>
        <v>スマイス・セレソン</v>
      </c>
      <c r="V25" s="150" t="s">
        <v>29</v>
      </c>
      <c r="W25" s="159"/>
    </row>
    <row r="26" spans="2:23" ht="15.75" customHeight="1">
      <c r="B26" s="151" t="s">
        <v>431</v>
      </c>
      <c r="C26" s="539" t="str">
        <f>IF(ISERROR(VLOOKUP(B26,$Q:$S,3,FALSE))=TRUE,"",VLOOKUP(B26,$Q:$S,3,FALSE))</f>
        <v>北郡坂ノ市</v>
      </c>
      <c r="D26" s="540"/>
      <c r="E26" s="165"/>
      <c r="F26" s="539" t="str">
        <f>IF(ISERROR(VLOOKUP(H26,$Q:$S,3,FALSE))=TRUE,"",VLOOKUP(H26,$Q:$S,3,FALSE))</f>
        <v>日岡</v>
      </c>
      <c r="G26" s="540"/>
      <c r="H26" s="161" t="s">
        <v>448</v>
      </c>
      <c r="I26" s="151" t="s">
        <v>435</v>
      </c>
      <c r="J26" s="539" t="str">
        <f>IF(ISERROR(VLOOKUP(I26,$Q:$S,3,FALSE))=TRUE,"",VLOOKUP(I26,$Q:$S,3,FALSE))</f>
        <v>ＫＩＮＧＳ</v>
      </c>
      <c r="K26" s="540"/>
      <c r="L26" s="165"/>
      <c r="M26" s="539" t="str">
        <f>IF(ISERROR(VLOOKUP(O26,$Q:$S,3,FALSE))=TRUE,"",VLOOKUP(O26,$Q:$S,3,FALSE))</f>
        <v>鶴岡Ｓ―ｐｌａｙ</v>
      </c>
      <c r="N26" s="540"/>
      <c r="O26" s="161" t="s">
        <v>465</v>
      </c>
      <c r="Q26" s="168" t="s">
        <v>466</v>
      </c>
      <c r="R26" s="550"/>
      <c r="S26" s="162" t="s">
        <v>467</v>
      </c>
      <c r="U26" s="158" t="str">
        <f>'抽選会資料'!I17</f>
        <v>別府フットボールクラブ．ミネルバＵ－１２</v>
      </c>
      <c r="V26" s="150" t="s">
        <v>29</v>
      </c>
      <c r="W26" s="159"/>
    </row>
    <row r="27" spans="3:23" ht="15.75" customHeight="1">
      <c r="C27" s="541"/>
      <c r="D27" s="542"/>
      <c r="E27" s="164"/>
      <c r="F27" s="541"/>
      <c r="G27" s="542"/>
      <c r="H27" s="161"/>
      <c r="J27" s="541"/>
      <c r="K27" s="542"/>
      <c r="L27" s="164"/>
      <c r="M27" s="541"/>
      <c r="N27" s="542"/>
      <c r="O27" s="161"/>
      <c r="Q27" s="168" t="s">
        <v>468</v>
      </c>
      <c r="R27" s="550" t="s">
        <v>34</v>
      </c>
      <c r="S27" s="162" t="s">
        <v>469</v>
      </c>
      <c r="U27" s="158" t="str">
        <f>'抽選会資料'!I18</f>
        <v>太陽スポーツクラブ大分西</v>
      </c>
      <c r="V27" s="150" t="s">
        <v>34</v>
      </c>
      <c r="W27" s="159"/>
    </row>
    <row r="28" spans="3:23" ht="15.75" customHeight="1">
      <c r="C28" s="160"/>
      <c r="D28" s="160"/>
      <c r="E28" s="163"/>
      <c r="F28" s="163"/>
      <c r="G28" s="160"/>
      <c r="H28" s="160"/>
      <c r="I28" s="166"/>
      <c r="J28" s="160"/>
      <c r="K28" s="160"/>
      <c r="L28" s="163"/>
      <c r="M28" s="163"/>
      <c r="N28" s="160"/>
      <c r="Q28" s="168" t="s">
        <v>456</v>
      </c>
      <c r="R28" s="550"/>
      <c r="S28" s="162" t="s">
        <v>37</v>
      </c>
      <c r="U28" s="158" t="str">
        <f>'抽選会資料'!I19</f>
        <v>ＦＣアリアーレ</v>
      </c>
      <c r="V28" s="150" t="s">
        <v>34</v>
      </c>
      <c r="W28" s="159"/>
    </row>
    <row r="29" spans="3:23" ht="15.75" customHeight="1">
      <c r="C29" s="160"/>
      <c r="D29" s="160"/>
      <c r="E29" s="155" t="s">
        <v>470</v>
      </c>
      <c r="F29" s="155"/>
      <c r="G29" s="160"/>
      <c r="H29" s="167"/>
      <c r="I29" s="166"/>
      <c r="L29" s="155" t="s">
        <v>471</v>
      </c>
      <c r="M29" s="155"/>
      <c r="Q29" s="168" t="s">
        <v>457</v>
      </c>
      <c r="R29" s="169" t="s">
        <v>39</v>
      </c>
      <c r="S29" s="162" t="s">
        <v>40</v>
      </c>
      <c r="U29" s="158" t="str">
        <f>'抽選会資料'!I20</f>
        <v>ＦＣ　ＵＮＩＴＥ</v>
      </c>
      <c r="V29" s="150" t="s">
        <v>39</v>
      </c>
      <c r="W29" s="159"/>
    </row>
    <row r="30" spans="4:23" ht="15.75" customHeight="1">
      <c r="D30" s="151" t="s">
        <v>454</v>
      </c>
      <c r="E30" s="543" t="str">
        <f>IF(ISERROR(VLOOKUP(D30,$Q:$S,3,FALSE))=TRUE,"",VLOOKUP(D30,$Q:$S,3,FALSE))</f>
        <v>別保</v>
      </c>
      <c r="F30" s="160"/>
      <c r="G30" s="545"/>
      <c r="H30" s="161"/>
      <c r="K30" s="151" t="s">
        <v>466</v>
      </c>
      <c r="L30" s="543" t="str">
        <f>IF(ISERROR(VLOOKUP(K30,$Q:$S,3,FALSE))=TRUE,"",VLOOKUP(K30,$Q:$S,3,FALSE))</f>
        <v>別府ＦＣ．ミネルバ</v>
      </c>
      <c r="M30" s="160"/>
      <c r="N30" s="545"/>
      <c r="O30" s="161"/>
      <c r="Q30" s="168" t="s">
        <v>465</v>
      </c>
      <c r="R30" s="169" t="s">
        <v>42</v>
      </c>
      <c r="S30" s="162" t="s">
        <v>472</v>
      </c>
      <c r="U30" s="158" t="str">
        <f>'抽選会資料'!I21</f>
        <v>鶴岡Ｓ―ｐｌａｙ・ＭＩＮＡＭＩ</v>
      </c>
      <c r="V30" s="150" t="s">
        <v>42</v>
      </c>
      <c r="W30" s="159"/>
    </row>
    <row r="31" spans="4:23" ht="15.75" customHeight="1">
      <c r="D31" s="546"/>
      <c r="E31" s="544"/>
      <c r="F31" s="548"/>
      <c r="G31" s="545"/>
      <c r="H31" s="161"/>
      <c r="K31" s="546"/>
      <c r="L31" s="544"/>
      <c r="M31" s="548"/>
      <c r="N31" s="545"/>
      <c r="O31" s="161"/>
      <c r="Q31" s="168" t="s">
        <v>473</v>
      </c>
      <c r="R31" s="169" t="s">
        <v>44</v>
      </c>
      <c r="S31" s="162" t="s">
        <v>45</v>
      </c>
      <c r="U31" s="158" t="str">
        <f>'抽選会資料'!I22</f>
        <v>ＦＣ大野</v>
      </c>
      <c r="V31" s="150" t="s">
        <v>44</v>
      </c>
      <c r="W31" s="159"/>
    </row>
    <row r="32" spans="3:28" ht="15.75" customHeight="1">
      <c r="C32" s="160"/>
      <c r="D32" s="546"/>
      <c r="E32" s="549"/>
      <c r="F32" s="548"/>
      <c r="G32" s="160"/>
      <c r="H32" s="161"/>
      <c r="J32" s="160"/>
      <c r="K32" s="546"/>
      <c r="L32" s="549"/>
      <c r="M32" s="548"/>
      <c r="N32" s="160"/>
      <c r="O32" s="161"/>
      <c r="Q32" s="168" t="s">
        <v>451</v>
      </c>
      <c r="R32" s="169" t="s">
        <v>46</v>
      </c>
      <c r="S32" s="162" t="s">
        <v>47</v>
      </c>
      <c r="U32" s="158" t="str">
        <f>'抽選会資料'!I23</f>
        <v>市浜レッドソックス</v>
      </c>
      <c r="V32" s="150" t="s">
        <v>46</v>
      </c>
      <c r="W32" s="159"/>
      <c r="AB32" s="170"/>
    </row>
    <row r="33" spans="3:21" ht="15.75" customHeight="1">
      <c r="C33" s="163"/>
      <c r="D33" s="547"/>
      <c r="E33" s="549"/>
      <c r="F33" s="548"/>
      <c r="G33" s="163"/>
      <c r="H33" s="164"/>
      <c r="J33" s="163"/>
      <c r="K33" s="547"/>
      <c r="L33" s="549"/>
      <c r="M33" s="548"/>
      <c r="N33" s="163"/>
      <c r="O33" s="164"/>
      <c r="Q33" s="2"/>
      <c r="R33" s="1"/>
      <c r="S33" s="159"/>
      <c r="U33" s="159"/>
    </row>
    <row r="34" spans="2:21" ht="15.75" customHeight="1">
      <c r="B34" s="151" t="s">
        <v>444</v>
      </c>
      <c r="C34" s="539" t="str">
        <f>IF(ISERROR(VLOOKUP(B34,$Q:$S,3,FALSE))=TRUE,"",VLOOKUP(B34,$Q:$S,3,FALSE))</f>
        <v>ドリームキッズ</v>
      </c>
      <c r="D34" s="540"/>
      <c r="E34" s="165"/>
      <c r="F34" s="539" t="str">
        <f>IF(ISERROR(VLOOKUP(H34,$Q:$S,3,FALSE))=TRUE,"",VLOOKUP(H34,$Q:$S,3,FALSE))</f>
        <v>ＦＣ大野</v>
      </c>
      <c r="G34" s="540"/>
      <c r="H34" s="161" t="s">
        <v>473</v>
      </c>
      <c r="I34" s="151" t="s">
        <v>452</v>
      </c>
      <c r="J34" s="539" t="str">
        <f>IF(ISERROR(VLOOKUP(I34,$Q:$S,3,FALSE))=TRUE,"",VLOOKUP(I34,$Q:$S,3,FALSE))</f>
        <v>ブルーウイング</v>
      </c>
      <c r="K34" s="540"/>
      <c r="L34" s="165"/>
      <c r="M34" s="539" t="str">
        <f>IF(ISERROR(VLOOKUP(O34,$Q:$S,3,FALSE))=TRUE,"",VLOOKUP(O34,$Q:$S,3,FALSE))</f>
        <v>太陽ＳＣ大分西</v>
      </c>
      <c r="N34" s="540"/>
      <c r="O34" s="161" t="s">
        <v>468</v>
      </c>
      <c r="Q34" s="2"/>
      <c r="S34" s="159"/>
      <c r="U34" s="159"/>
    </row>
    <row r="35" spans="3:15" ht="15.75" customHeight="1">
      <c r="C35" s="541"/>
      <c r="D35" s="542"/>
      <c r="E35" s="164"/>
      <c r="F35" s="541"/>
      <c r="G35" s="542"/>
      <c r="H35" s="161"/>
      <c r="J35" s="541"/>
      <c r="K35" s="542"/>
      <c r="L35" s="164"/>
      <c r="M35" s="541"/>
      <c r="N35" s="542"/>
      <c r="O35" s="161"/>
    </row>
    <row r="36" ht="15.75" customHeight="1"/>
    <row r="40" spans="17:23" ht="13.5">
      <c r="Q40" s="171"/>
      <c r="R40" s="172"/>
      <c r="S40" s="173"/>
      <c r="T40" s="174"/>
      <c r="U40" s="173"/>
      <c r="V40" s="174"/>
      <c r="W40" s="174"/>
    </row>
    <row r="41" spans="17:23" ht="13.5">
      <c r="Q41" s="175"/>
      <c r="R41" s="172" t="s">
        <v>474</v>
      </c>
      <c r="S41" s="176"/>
      <c r="T41" s="174"/>
      <c r="U41" s="176"/>
      <c r="V41" s="174"/>
      <c r="W41" s="174"/>
    </row>
    <row r="42" spans="17:23" ht="13.5">
      <c r="Q42" s="175"/>
      <c r="R42" s="172" t="s">
        <v>475</v>
      </c>
      <c r="S42" s="176"/>
      <c r="T42" s="174"/>
      <c r="U42" s="176"/>
      <c r="V42" s="174"/>
      <c r="W42" s="174"/>
    </row>
    <row r="43" spans="17:23" ht="13.5">
      <c r="Q43" s="175"/>
      <c r="R43" s="177" t="s">
        <v>476</v>
      </c>
      <c r="S43" s="176"/>
      <c r="T43" s="174"/>
      <c r="U43" s="176"/>
      <c r="V43" s="174"/>
      <c r="W43" s="174"/>
    </row>
    <row r="44" spans="17:23" ht="13.5">
      <c r="Q44" s="178"/>
      <c r="R44" s="172" t="s">
        <v>477</v>
      </c>
      <c r="S44" s="176"/>
      <c r="T44" s="174"/>
      <c r="U44" s="176"/>
      <c r="V44" s="174"/>
      <c r="W44" s="174"/>
    </row>
    <row r="45" spans="17:23" ht="13.5">
      <c r="Q45" s="175"/>
      <c r="R45" s="179" t="s">
        <v>478</v>
      </c>
      <c r="S45" s="176"/>
      <c r="T45" s="174"/>
      <c r="U45" s="176"/>
      <c r="V45" s="174"/>
      <c r="W45" s="174"/>
    </row>
    <row r="46" spans="17:23" ht="13.5">
      <c r="Q46" s="175"/>
      <c r="R46" s="178"/>
      <c r="S46" s="176"/>
      <c r="T46" s="174"/>
      <c r="U46" s="176"/>
      <c r="V46" s="174"/>
      <c r="W46" s="174"/>
    </row>
  </sheetData>
  <mergeCells count="63">
    <mergeCell ref="B2:L2"/>
    <mergeCell ref="M2:O2"/>
    <mergeCell ref="R4:R14"/>
    <mergeCell ref="E5:E6"/>
    <mergeCell ref="G5:G6"/>
    <mergeCell ref="L5:L6"/>
    <mergeCell ref="N5:N6"/>
    <mergeCell ref="D6:D8"/>
    <mergeCell ref="F6:F8"/>
    <mergeCell ref="K6:K8"/>
    <mergeCell ref="M6:M8"/>
    <mergeCell ref="E7:E8"/>
    <mergeCell ref="L7:L8"/>
    <mergeCell ref="C9:D10"/>
    <mergeCell ref="F9:G10"/>
    <mergeCell ref="J9:K10"/>
    <mergeCell ref="M9:N10"/>
    <mergeCell ref="E13:E14"/>
    <mergeCell ref="G13:G14"/>
    <mergeCell ref="L13:L14"/>
    <mergeCell ref="N13:N14"/>
    <mergeCell ref="D14:D16"/>
    <mergeCell ref="F14:F16"/>
    <mergeCell ref="K14:K16"/>
    <mergeCell ref="M14:M16"/>
    <mergeCell ref="E15:E16"/>
    <mergeCell ref="L15:L16"/>
    <mergeCell ref="C17:D18"/>
    <mergeCell ref="F17:G18"/>
    <mergeCell ref="J17:K18"/>
    <mergeCell ref="M17:N18"/>
    <mergeCell ref="R20:R22"/>
    <mergeCell ref="E22:E23"/>
    <mergeCell ref="G22:G23"/>
    <mergeCell ref="L22:L23"/>
    <mergeCell ref="N22:N23"/>
    <mergeCell ref="D23:D25"/>
    <mergeCell ref="F23:F25"/>
    <mergeCell ref="K23:K25"/>
    <mergeCell ref="M23:M25"/>
    <mergeCell ref="R23:R24"/>
    <mergeCell ref="E24:E25"/>
    <mergeCell ref="L24:L25"/>
    <mergeCell ref="R25:R26"/>
    <mergeCell ref="C26:D27"/>
    <mergeCell ref="F26:G27"/>
    <mergeCell ref="J26:K27"/>
    <mergeCell ref="M26:N27"/>
    <mergeCell ref="R27:R28"/>
    <mergeCell ref="C34:D35"/>
    <mergeCell ref="F34:G35"/>
    <mergeCell ref="J34:K35"/>
    <mergeCell ref="M34:N35"/>
    <mergeCell ref="E30:E31"/>
    <mergeCell ref="G30:G31"/>
    <mergeCell ref="L30:L31"/>
    <mergeCell ref="N30:N31"/>
    <mergeCell ref="D31:D33"/>
    <mergeCell ref="F31:F33"/>
    <mergeCell ref="K31:K33"/>
    <mergeCell ref="M31:M33"/>
    <mergeCell ref="E32:E33"/>
    <mergeCell ref="L32:L33"/>
  </mergeCells>
  <printOptions/>
  <pageMargins left="0.39370078740157477" right="0.39370078740157477" top="0.39370078740157477" bottom="0.39370078740157477" header="0.5118110236220472" footer="0.5118110236220472"/>
  <pageSetup fitToHeight="1" fitToWidth="1" horizontalDpi="600" verticalDpi="600" orientation="portrait" paperSize="9"/>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C34"/>
  <sheetViews>
    <sheetView showGridLines="0" zoomScale="70" zoomScaleNormal="70" workbookViewId="0" topLeftCell="A11"/>
  </sheetViews>
  <sheetFormatPr defaultColWidth="9.00390625" defaultRowHeight="24.75" customHeight="1"/>
  <cols>
    <col min="1" max="1" width="3.625" style="6" customWidth="1"/>
    <col min="2" max="2" width="9.875" style="6" bestFit="1" customWidth="1"/>
    <col min="3" max="3" width="10.125" style="6" customWidth="1"/>
    <col min="4" max="4" width="10.625" style="6" customWidth="1"/>
    <col min="5" max="6" width="10.125" style="6" customWidth="1"/>
    <col min="7" max="7" width="10.625" style="6" customWidth="1"/>
    <col min="8" max="9" width="10.125" style="6" customWidth="1"/>
    <col min="10" max="10" width="10.625" style="6" customWidth="1"/>
    <col min="11" max="12" width="10.125" style="6" customWidth="1"/>
    <col min="13" max="13" width="10.625" style="6" customWidth="1"/>
    <col min="14" max="14" width="10.125" style="6" customWidth="1"/>
    <col min="15" max="26" width="6.875" style="6" customWidth="1"/>
    <col min="27" max="16384" width="9.00390625" style="6" customWidth="1"/>
  </cols>
  <sheetData>
    <row r="1" spans="2:6" ht="39.75" customHeight="1">
      <c r="B1" s="588" t="s">
        <v>479</v>
      </c>
      <c r="C1" s="588"/>
      <c r="D1" s="588"/>
      <c r="E1" s="588"/>
      <c r="F1" s="180" t="s">
        <v>480</v>
      </c>
    </row>
    <row r="2" spans="3:27" ht="39.75" customHeight="1">
      <c r="C2" s="181" t="s">
        <v>481</v>
      </c>
      <c r="D2" s="589" t="s">
        <v>482</v>
      </c>
      <c r="E2" s="589"/>
      <c r="F2" s="589"/>
      <c r="G2" s="589"/>
      <c r="H2" s="182" t="s">
        <v>483</v>
      </c>
      <c r="I2" s="590" t="s">
        <v>484</v>
      </c>
      <c r="J2" s="590"/>
      <c r="K2" s="590"/>
      <c r="L2" s="590"/>
      <c r="M2" s="590"/>
      <c r="N2" s="590"/>
      <c r="P2" s="183"/>
      <c r="Q2" s="184"/>
      <c r="R2" s="184"/>
      <c r="S2" s="184"/>
      <c r="T2" s="184"/>
      <c r="U2" s="185"/>
      <c r="V2" s="186"/>
      <c r="W2" s="186"/>
      <c r="X2" s="186"/>
      <c r="Y2" s="186"/>
      <c r="Z2" s="186"/>
      <c r="AA2" s="186"/>
    </row>
    <row r="3" spans="3:29" ht="39.75" customHeight="1">
      <c r="C3" s="183" t="s">
        <v>485</v>
      </c>
      <c r="D3" s="187" t="s">
        <v>486</v>
      </c>
      <c r="J3" s="188" t="s">
        <v>487</v>
      </c>
      <c r="K3" s="189" t="s">
        <v>488</v>
      </c>
      <c r="L3" s="190"/>
      <c r="M3" s="190"/>
      <c r="N3" s="190"/>
      <c r="AA3" s="191"/>
      <c r="AB3" s="191"/>
      <c r="AC3" s="191"/>
    </row>
    <row r="4" spans="3:14" s="192" customFormat="1" ht="45" customHeight="1">
      <c r="C4" s="193"/>
      <c r="D4" s="194" t="s">
        <v>425</v>
      </c>
      <c r="E4" s="195"/>
      <c r="F4" s="196"/>
      <c r="G4" s="194" t="s">
        <v>460</v>
      </c>
      <c r="H4" s="195"/>
      <c r="I4" s="193"/>
      <c r="J4" s="194" t="s">
        <v>446</v>
      </c>
      <c r="K4" s="195"/>
      <c r="L4" s="197"/>
      <c r="M4" s="194" t="s">
        <v>470</v>
      </c>
      <c r="N4" s="198"/>
    </row>
    <row r="5" spans="3:14" s="199" customFormat="1" ht="45" customHeight="1">
      <c r="C5" s="200"/>
      <c r="D5" s="201" t="str">
        <f>'組合せ抽選用'!E5</f>
        <v>東　Ｆ．Ｃ．</v>
      </c>
      <c r="E5" s="202"/>
      <c r="F5" s="200"/>
      <c r="G5" s="201" t="str">
        <f>'組合せ抽選用'!E22</f>
        <v>ＦＣ中津</v>
      </c>
      <c r="H5" s="202"/>
      <c r="I5" s="200"/>
      <c r="J5" s="201" t="str">
        <f>'組合せ抽選用'!E13</f>
        <v>スマイス・セレソン</v>
      </c>
      <c r="K5" s="202"/>
      <c r="L5" s="200"/>
      <c r="M5" s="201" t="str">
        <f>'組合せ抽選用'!E30</f>
        <v>別保</v>
      </c>
      <c r="N5" s="202"/>
    </row>
    <row r="6" spans="3:14" s="199" customFormat="1" ht="45" customHeight="1">
      <c r="C6" s="203"/>
      <c r="E6" s="202"/>
      <c r="F6" s="203"/>
      <c r="H6" s="202"/>
      <c r="I6" s="203"/>
      <c r="K6" s="202"/>
      <c r="L6" s="203"/>
      <c r="N6" s="202"/>
    </row>
    <row r="7" spans="3:14" s="199" customFormat="1" ht="45" customHeight="1">
      <c r="C7" s="204" t="str">
        <f>'組合せ抽選用'!C9</f>
        <v>リノス</v>
      </c>
      <c r="D7" s="205"/>
      <c r="E7" s="206" t="str">
        <f>'組合せ抽選用'!F9</f>
        <v>明治</v>
      </c>
      <c r="F7" s="204" t="str">
        <f>'組合せ抽選用'!C26</f>
        <v>北郡坂ノ市</v>
      </c>
      <c r="G7" s="205"/>
      <c r="H7" s="206" t="str">
        <f>'組合せ抽選用'!F26</f>
        <v>日岡</v>
      </c>
      <c r="I7" s="204" t="str">
        <f>'組合せ抽選用'!C17</f>
        <v>大分トリニータ</v>
      </c>
      <c r="J7" s="205"/>
      <c r="K7" s="206" t="str">
        <f>'組合せ抽選用'!F17</f>
        <v>ＦＣアリアーレ</v>
      </c>
      <c r="L7" s="204" t="str">
        <f>'組合せ抽選用'!C34</f>
        <v>ドリームキッズ</v>
      </c>
      <c r="M7" s="205"/>
      <c r="N7" s="206" t="str">
        <f>'組合せ抽選用'!F34</f>
        <v>ＦＣ大野</v>
      </c>
    </row>
    <row r="8" ht="45" customHeight="1"/>
    <row r="9" spans="3:14" s="192" customFormat="1" ht="45" customHeight="1">
      <c r="C9" s="193"/>
      <c r="D9" s="194" t="s">
        <v>426</v>
      </c>
      <c r="E9" s="195"/>
      <c r="F9" s="196"/>
      <c r="G9" s="194" t="s">
        <v>461</v>
      </c>
      <c r="H9" s="195"/>
      <c r="I9" s="193"/>
      <c r="J9" s="194" t="s">
        <v>447</v>
      </c>
      <c r="K9" s="195"/>
      <c r="L9" s="197"/>
      <c r="M9" s="194" t="s">
        <v>471</v>
      </c>
      <c r="N9" s="198"/>
    </row>
    <row r="10" spans="3:14" s="199" customFormat="1" ht="45" customHeight="1">
      <c r="C10" s="200"/>
      <c r="D10" s="201" t="str">
        <f>'組合せ抽選用'!L5</f>
        <v>ＯＫＹ山香</v>
      </c>
      <c r="E10" s="202"/>
      <c r="F10" s="200"/>
      <c r="G10" s="201" t="str">
        <f>'組合せ抽選用'!L22</f>
        <v>中津沖代</v>
      </c>
      <c r="H10" s="202"/>
      <c r="I10" s="200"/>
      <c r="J10" s="201" t="str">
        <f>'組合せ抽選用'!L13</f>
        <v>市浜レッドソックス</v>
      </c>
      <c r="K10" s="202"/>
      <c r="L10" s="200"/>
      <c r="M10" s="201" t="str">
        <f>'組合せ抽選用'!L30</f>
        <v>別府ＦＣ．ミネルバ</v>
      </c>
      <c r="N10" s="202"/>
    </row>
    <row r="11" spans="3:14" s="199" customFormat="1" ht="45" customHeight="1">
      <c r="C11" s="203"/>
      <c r="E11" s="202"/>
      <c r="F11" s="203"/>
      <c r="H11" s="202"/>
      <c r="I11" s="203"/>
      <c r="K11" s="202"/>
      <c r="L11" s="203"/>
      <c r="N11" s="202"/>
    </row>
    <row r="12" spans="3:14" s="199" customFormat="1" ht="45" customHeight="1">
      <c r="C12" s="204" t="str">
        <f>'組合せ抽選用'!J9</f>
        <v>スマイス　スポーツ</v>
      </c>
      <c r="D12" s="205"/>
      <c r="E12" s="206" t="str">
        <f>'組合せ抽選用'!M9</f>
        <v>下毛ＦＣ</v>
      </c>
      <c r="F12" s="204" t="str">
        <f>'組合せ抽選用'!J26</f>
        <v>ＫＩＮＧＳ</v>
      </c>
      <c r="G12" s="205"/>
      <c r="H12" s="206" t="str">
        <f>'組合せ抽選用'!M26</f>
        <v>鶴岡Ｓ―ｐｌａｙ</v>
      </c>
      <c r="I12" s="204" t="str">
        <f>'組合せ抽選用'!J17</f>
        <v>横瀬</v>
      </c>
      <c r="J12" s="205"/>
      <c r="K12" s="206" t="str">
        <f>'組合せ抽選用'!M17</f>
        <v>ＦＣ　ＵＮＩＴＥ</v>
      </c>
      <c r="L12" s="204" t="str">
        <f>'組合せ抽選用'!J34</f>
        <v>ブルーウイング</v>
      </c>
      <c r="M12" s="205"/>
      <c r="N12" s="206" t="str">
        <f>'組合せ抽選用'!M34</f>
        <v>太陽ＳＣ大分西</v>
      </c>
    </row>
    <row r="13" spans="3:14" s="199" customFormat="1" ht="45" customHeight="1">
      <c r="C13" s="205"/>
      <c r="D13" s="205"/>
      <c r="E13" s="205"/>
      <c r="F13" s="205"/>
      <c r="G13" s="205"/>
      <c r="H13" s="205"/>
      <c r="I13" s="205"/>
      <c r="J13" s="205"/>
      <c r="K13" s="205"/>
      <c r="L13" s="205"/>
      <c r="M13" s="205"/>
      <c r="N13" s="205"/>
    </row>
    <row r="14" spans="3:14" ht="45" customHeight="1">
      <c r="C14" s="591" t="s">
        <v>489</v>
      </c>
      <c r="D14" s="592"/>
      <c r="E14" s="592"/>
      <c r="F14" s="592"/>
      <c r="G14" s="592"/>
      <c r="H14" s="593"/>
      <c r="I14" s="591" t="s">
        <v>490</v>
      </c>
      <c r="J14" s="592"/>
      <c r="K14" s="592"/>
      <c r="L14" s="592"/>
      <c r="M14" s="592"/>
      <c r="N14" s="593"/>
    </row>
    <row r="15" spans="2:14" ht="45" customHeight="1">
      <c r="B15" s="207" t="s">
        <v>491</v>
      </c>
      <c r="C15" s="577" t="s">
        <v>492</v>
      </c>
      <c r="D15" s="578"/>
      <c r="E15" s="579"/>
      <c r="F15" s="580" t="s">
        <v>493</v>
      </c>
      <c r="G15" s="581"/>
      <c r="H15" s="582"/>
      <c r="I15" s="577" t="s">
        <v>494</v>
      </c>
      <c r="J15" s="578"/>
      <c r="K15" s="579"/>
      <c r="L15" s="580" t="s">
        <v>495</v>
      </c>
      <c r="M15" s="581"/>
      <c r="N15" s="582"/>
    </row>
    <row r="16" spans="2:14" ht="45" customHeight="1">
      <c r="B16" s="208" t="s">
        <v>496</v>
      </c>
      <c r="C16" s="209" t="s">
        <v>428</v>
      </c>
      <c r="D16" s="210" t="s">
        <v>443</v>
      </c>
      <c r="E16" s="211" t="s">
        <v>497</v>
      </c>
      <c r="F16" s="209" t="s">
        <v>432</v>
      </c>
      <c r="G16" s="210" t="s">
        <v>449</v>
      </c>
      <c r="H16" s="211" t="s">
        <v>498</v>
      </c>
      <c r="I16" s="209" t="s">
        <v>499</v>
      </c>
      <c r="J16" s="210" t="s">
        <v>434</v>
      </c>
      <c r="K16" s="211"/>
      <c r="L16" s="209" t="s">
        <v>455</v>
      </c>
      <c r="M16" s="210" t="s">
        <v>500</v>
      </c>
      <c r="N16" s="211" t="s">
        <v>501</v>
      </c>
    </row>
    <row r="17" spans="2:14" ht="45" customHeight="1" hidden="1">
      <c r="B17" s="208" t="s">
        <v>502</v>
      </c>
      <c r="C17" s="583"/>
      <c r="D17" s="584"/>
      <c r="E17" s="584"/>
      <c r="F17" s="585"/>
      <c r="G17" s="586"/>
      <c r="H17" s="587"/>
      <c r="I17" s="585"/>
      <c r="J17" s="586"/>
      <c r="K17" s="587"/>
      <c r="L17" s="585"/>
      <c r="M17" s="586"/>
      <c r="N17" s="587"/>
    </row>
    <row r="18" spans="2:14" ht="45" customHeight="1">
      <c r="B18" s="208" t="s">
        <v>503</v>
      </c>
      <c r="C18" s="213"/>
      <c r="D18" s="214" t="s">
        <v>504</v>
      </c>
      <c r="E18" s="215"/>
      <c r="F18" s="213"/>
      <c r="G18" s="214" t="s">
        <v>504</v>
      </c>
      <c r="H18" s="215"/>
      <c r="I18" s="216"/>
      <c r="J18" s="214" t="s">
        <v>504</v>
      </c>
      <c r="K18" s="215"/>
      <c r="L18" s="216"/>
      <c r="M18" s="214" t="s">
        <v>504</v>
      </c>
      <c r="N18" s="215"/>
    </row>
    <row r="19" spans="1:14" ht="22.5" customHeight="1">
      <c r="A19" s="423" t="s">
        <v>90</v>
      </c>
      <c r="B19" s="565">
        <v>0.4375</v>
      </c>
      <c r="C19" s="576" t="str">
        <f>D5</f>
        <v>東　Ｆ．Ｃ．</v>
      </c>
      <c r="D19" s="217" t="str">
        <f>E12</f>
        <v>下毛ＦＣ</v>
      </c>
      <c r="E19" s="575" t="str">
        <f>C7</f>
        <v>リノス</v>
      </c>
      <c r="F19" s="576" t="str">
        <f>G5</f>
        <v>ＦＣ中津</v>
      </c>
      <c r="G19" s="217" t="str">
        <f>H12</f>
        <v>鶴岡Ｓ―ｐｌａｙ</v>
      </c>
      <c r="H19" s="575" t="str">
        <f>F7</f>
        <v>北郡坂ノ市</v>
      </c>
      <c r="I19" s="576" t="str">
        <f>J5</f>
        <v>スマイス・セレソン</v>
      </c>
      <c r="J19" s="217" t="str">
        <f>K12</f>
        <v>ＦＣ　ＵＮＩＴＥ</v>
      </c>
      <c r="K19" s="575" t="str">
        <f>I7</f>
        <v>大分トリニータ</v>
      </c>
      <c r="L19" s="576" t="str">
        <f>M5</f>
        <v>別保</v>
      </c>
      <c r="M19" s="217" t="str">
        <f>N12</f>
        <v>太陽ＳＣ大分西</v>
      </c>
      <c r="N19" s="575" t="str">
        <f>L7</f>
        <v>ドリームキッズ</v>
      </c>
    </row>
    <row r="20" spans="1:14" ht="22.5" customHeight="1">
      <c r="A20" s="423"/>
      <c r="B20" s="566"/>
      <c r="C20" s="573"/>
      <c r="D20" s="218" t="str">
        <f>D10</f>
        <v>ＯＫＹ山香</v>
      </c>
      <c r="E20" s="574"/>
      <c r="F20" s="573"/>
      <c r="G20" s="218" t="str">
        <f>G10</f>
        <v>中津沖代</v>
      </c>
      <c r="H20" s="574"/>
      <c r="I20" s="573"/>
      <c r="J20" s="218" t="str">
        <f>J10</f>
        <v>市浜レッドソックス</v>
      </c>
      <c r="K20" s="574"/>
      <c r="L20" s="573"/>
      <c r="M20" s="218" t="str">
        <f>M10</f>
        <v>別府ＦＣ．ミネルバ</v>
      </c>
      <c r="N20" s="574"/>
    </row>
    <row r="21" spans="1:14" ht="22.5" customHeight="1">
      <c r="A21" s="423" t="s">
        <v>92</v>
      </c>
      <c r="B21" s="565">
        <v>0.4791666666666667</v>
      </c>
      <c r="C21" s="563" t="str">
        <f>D10</f>
        <v>ＯＫＹ山香</v>
      </c>
      <c r="D21" s="218" t="str">
        <f>D5</f>
        <v>東　Ｆ．Ｃ．</v>
      </c>
      <c r="E21" s="561" t="str">
        <f>C12</f>
        <v>スマイス　スポーツ</v>
      </c>
      <c r="F21" s="563" t="str">
        <f>G10</f>
        <v>中津沖代</v>
      </c>
      <c r="G21" s="218" t="str">
        <f>G5</f>
        <v>ＦＣ中津</v>
      </c>
      <c r="H21" s="561" t="str">
        <f>F12</f>
        <v>ＫＩＮＧＳ</v>
      </c>
      <c r="I21" s="563" t="str">
        <f>J10</f>
        <v>市浜レッドソックス</v>
      </c>
      <c r="J21" s="218" t="str">
        <f>J5</f>
        <v>スマイス・セレソン</v>
      </c>
      <c r="K21" s="561" t="str">
        <f>I12</f>
        <v>横瀬</v>
      </c>
      <c r="L21" s="563" t="str">
        <f>M10</f>
        <v>別府ＦＣ．ミネルバ</v>
      </c>
      <c r="M21" s="218" t="str">
        <f>M5</f>
        <v>別保</v>
      </c>
      <c r="N21" s="561" t="str">
        <f>L12</f>
        <v>ブルーウイング</v>
      </c>
    </row>
    <row r="22" spans="1:15" ht="22.5" customHeight="1">
      <c r="A22" s="423"/>
      <c r="B22" s="566"/>
      <c r="C22" s="573"/>
      <c r="D22" s="218" t="str">
        <f>C7</f>
        <v>リノス</v>
      </c>
      <c r="E22" s="574"/>
      <c r="F22" s="573"/>
      <c r="G22" s="218" t="str">
        <f>F7</f>
        <v>北郡坂ノ市</v>
      </c>
      <c r="H22" s="574"/>
      <c r="I22" s="573"/>
      <c r="J22" s="218" t="str">
        <f>I7</f>
        <v>大分トリニータ</v>
      </c>
      <c r="K22" s="574"/>
      <c r="L22" s="573"/>
      <c r="M22" s="218" t="str">
        <f>L7</f>
        <v>ドリームキッズ</v>
      </c>
      <c r="N22" s="574"/>
      <c r="O22" s="219"/>
    </row>
    <row r="23" spans="1:15" ht="22.5" customHeight="1">
      <c r="A23" s="423" t="s">
        <v>94</v>
      </c>
      <c r="B23" s="565">
        <v>0.5208333333333334</v>
      </c>
      <c r="C23" s="563" t="str">
        <f>C7</f>
        <v>リノス</v>
      </c>
      <c r="D23" s="218" t="str">
        <f>D10</f>
        <v>ＯＫＹ山香</v>
      </c>
      <c r="E23" s="561" t="str">
        <f>E7</f>
        <v>明治</v>
      </c>
      <c r="F23" s="563" t="str">
        <f>F7</f>
        <v>北郡坂ノ市</v>
      </c>
      <c r="G23" s="218" t="str">
        <f>G10</f>
        <v>中津沖代</v>
      </c>
      <c r="H23" s="561" t="str">
        <f>H7</f>
        <v>日岡</v>
      </c>
      <c r="I23" s="563" t="str">
        <f>I7</f>
        <v>大分トリニータ</v>
      </c>
      <c r="J23" s="218" t="str">
        <f>J10</f>
        <v>市浜レッドソックス</v>
      </c>
      <c r="K23" s="561" t="str">
        <f>K7</f>
        <v>ＦＣアリアーレ</v>
      </c>
      <c r="L23" s="563" t="str">
        <f>L7</f>
        <v>ドリームキッズ</v>
      </c>
      <c r="M23" s="218" t="str">
        <f>M10</f>
        <v>別府ＦＣ．ミネルバ</v>
      </c>
      <c r="N23" s="561" t="str">
        <f>N7</f>
        <v>ＦＣ大野</v>
      </c>
      <c r="O23" s="219"/>
    </row>
    <row r="24" spans="1:14" ht="22.5" customHeight="1">
      <c r="A24" s="423"/>
      <c r="B24" s="566"/>
      <c r="C24" s="573"/>
      <c r="D24" s="218" t="str">
        <f>C12</f>
        <v>スマイス　スポーツ</v>
      </c>
      <c r="E24" s="574"/>
      <c r="F24" s="573"/>
      <c r="G24" s="218" t="str">
        <f>F12</f>
        <v>ＫＩＮＧＳ</v>
      </c>
      <c r="H24" s="574"/>
      <c r="I24" s="573"/>
      <c r="J24" s="218" t="str">
        <f>I12</f>
        <v>横瀬</v>
      </c>
      <c r="K24" s="574"/>
      <c r="L24" s="573"/>
      <c r="M24" s="218" t="str">
        <f>L12</f>
        <v>ブルーウイング</v>
      </c>
      <c r="N24" s="574"/>
    </row>
    <row r="25" spans="1:15" ht="22.5" customHeight="1">
      <c r="A25" s="423" t="s">
        <v>96</v>
      </c>
      <c r="B25" s="565">
        <v>0.5625</v>
      </c>
      <c r="C25" s="563" t="str">
        <f>C12</f>
        <v>スマイス　スポーツ</v>
      </c>
      <c r="D25" s="218" t="str">
        <f>C7</f>
        <v>リノス</v>
      </c>
      <c r="E25" s="561" t="str">
        <f>E12</f>
        <v>下毛ＦＣ</v>
      </c>
      <c r="F25" s="563" t="str">
        <f>F12</f>
        <v>ＫＩＮＧＳ</v>
      </c>
      <c r="G25" s="218" t="str">
        <f>F7</f>
        <v>北郡坂ノ市</v>
      </c>
      <c r="H25" s="561" t="str">
        <f>H12</f>
        <v>鶴岡Ｓ―ｐｌａｙ</v>
      </c>
      <c r="I25" s="563" t="str">
        <f>I12</f>
        <v>横瀬</v>
      </c>
      <c r="J25" s="218" t="str">
        <f>I7</f>
        <v>大分トリニータ</v>
      </c>
      <c r="K25" s="561" t="str">
        <f>K12</f>
        <v>ＦＣ　ＵＮＩＴＥ</v>
      </c>
      <c r="L25" s="563" t="str">
        <f>L12</f>
        <v>ブルーウイング</v>
      </c>
      <c r="M25" s="218" t="str">
        <f>L7</f>
        <v>ドリームキッズ</v>
      </c>
      <c r="N25" s="561" t="str">
        <f>N12</f>
        <v>太陽ＳＣ大分西</v>
      </c>
      <c r="O25" s="219"/>
    </row>
    <row r="26" spans="1:15" ht="22.5" customHeight="1">
      <c r="A26" s="423"/>
      <c r="B26" s="566"/>
      <c r="C26" s="573"/>
      <c r="D26" s="218" t="str">
        <f>E7</f>
        <v>明治</v>
      </c>
      <c r="E26" s="574"/>
      <c r="F26" s="573"/>
      <c r="G26" s="218" t="str">
        <f>H7</f>
        <v>日岡</v>
      </c>
      <c r="H26" s="574"/>
      <c r="I26" s="573"/>
      <c r="J26" s="218" t="str">
        <f>K7</f>
        <v>ＦＣアリアーレ</v>
      </c>
      <c r="K26" s="574"/>
      <c r="L26" s="573"/>
      <c r="M26" s="218" t="str">
        <f>N7</f>
        <v>ＦＣ大野</v>
      </c>
      <c r="N26" s="574"/>
      <c r="O26" s="219"/>
    </row>
    <row r="27" spans="1:15" ht="22.5" customHeight="1" hidden="1">
      <c r="A27" s="423"/>
      <c r="B27" s="565"/>
      <c r="C27" s="567" t="s">
        <v>505</v>
      </c>
      <c r="D27" s="568"/>
      <c r="E27" s="568"/>
      <c r="F27" s="568"/>
      <c r="G27" s="568"/>
      <c r="H27" s="568"/>
      <c r="I27" s="568"/>
      <c r="J27" s="568"/>
      <c r="K27" s="568"/>
      <c r="L27" s="568"/>
      <c r="M27" s="568"/>
      <c r="N27" s="569"/>
      <c r="O27" s="219"/>
    </row>
    <row r="28" spans="1:15" ht="22.5" customHeight="1" hidden="1">
      <c r="A28" s="423"/>
      <c r="B28" s="566"/>
      <c r="C28" s="570"/>
      <c r="D28" s="571"/>
      <c r="E28" s="571"/>
      <c r="F28" s="571"/>
      <c r="G28" s="571"/>
      <c r="H28" s="571"/>
      <c r="I28" s="571"/>
      <c r="J28" s="571"/>
      <c r="K28" s="571"/>
      <c r="L28" s="571"/>
      <c r="M28" s="571"/>
      <c r="N28" s="572"/>
      <c r="O28" s="219"/>
    </row>
    <row r="29" spans="1:14" ht="22.5" customHeight="1">
      <c r="A29" s="423" t="s">
        <v>98</v>
      </c>
      <c r="B29" s="565">
        <v>0.6041666666666666</v>
      </c>
      <c r="C29" s="563" t="str">
        <f>E7</f>
        <v>明治</v>
      </c>
      <c r="D29" s="218" t="str">
        <f>C12</f>
        <v>スマイス　スポーツ</v>
      </c>
      <c r="E29" s="561" t="str">
        <f>D5</f>
        <v>東　Ｆ．Ｃ．</v>
      </c>
      <c r="F29" s="563" t="str">
        <f>H7</f>
        <v>日岡</v>
      </c>
      <c r="G29" s="218" t="str">
        <f>F12</f>
        <v>ＫＩＮＧＳ</v>
      </c>
      <c r="H29" s="561" t="str">
        <f>G5</f>
        <v>ＦＣ中津</v>
      </c>
      <c r="I29" s="563" t="str">
        <f>K7</f>
        <v>ＦＣアリアーレ</v>
      </c>
      <c r="J29" s="218" t="str">
        <f>I12</f>
        <v>横瀬</v>
      </c>
      <c r="K29" s="561" t="str">
        <f>J5</f>
        <v>スマイス・セレソン</v>
      </c>
      <c r="L29" s="563" t="str">
        <f>N7</f>
        <v>ＦＣ大野</v>
      </c>
      <c r="M29" s="218" t="str">
        <f>L12</f>
        <v>ブルーウイング</v>
      </c>
      <c r="N29" s="561" t="str">
        <f>M5</f>
        <v>別保</v>
      </c>
    </row>
    <row r="30" spans="1:15" ht="22.5" customHeight="1">
      <c r="A30" s="423"/>
      <c r="B30" s="566"/>
      <c r="C30" s="573"/>
      <c r="D30" s="220" t="str">
        <f>E12</f>
        <v>下毛ＦＣ</v>
      </c>
      <c r="E30" s="574"/>
      <c r="F30" s="573"/>
      <c r="G30" s="220" t="str">
        <f>H12</f>
        <v>鶴岡Ｓ―ｐｌａｙ</v>
      </c>
      <c r="H30" s="574"/>
      <c r="I30" s="573"/>
      <c r="J30" s="220" t="str">
        <f>K12</f>
        <v>ＦＣ　ＵＮＩＴＥ</v>
      </c>
      <c r="K30" s="574"/>
      <c r="L30" s="573"/>
      <c r="M30" s="220" t="str">
        <f>N12</f>
        <v>太陽ＳＣ大分西</v>
      </c>
      <c r="N30" s="574"/>
      <c r="O30" s="219"/>
    </row>
    <row r="31" spans="1:21" ht="22.5" customHeight="1">
      <c r="A31" s="423" t="s">
        <v>100</v>
      </c>
      <c r="B31" s="565">
        <v>0.6458333333333334</v>
      </c>
      <c r="C31" s="563" t="str">
        <f>E12</f>
        <v>下毛ＦＣ</v>
      </c>
      <c r="D31" s="218" t="str">
        <f>E7</f>
        <v>明治</v>
      </c>
      <c r="E31" s="561" t="str">
        <f>D10</f>
        <v>ＯＫＹ山香</v>
      </c>
      <c r="F31" s="563" t="str">
        <f>H12</f>
        <v>鶴岡Ｓ―ｐｌａｙ</v>
      </c>
      <c r="G31" s="218" t="str">
        <f>H7</f>
        <v>日岡</v>
      </c>
      <c r="H31" s="561" t="str">
        <f>G10</f>
        <v>中津沖代</v>
      </c>
      <c r="I31" s="563" t="str">
        <f>K12</f>
        <v>ＦＣ　ＵＮＩＴＥ</v>
      </c>
      <c r="J31" s="218" t="str">
        <f>K7</f>
        <v>ＦＣアリアーレ</v>
      </c>
      <c r="K31" s="561" t="str">
        <f>J10</f>
        <v>市浜レッドソックス</v>
      </c>
      <c r="L31" s="563" t="str">
        <f>N12</f>
        <v>太陽ＳＣ大分西</v>
      </c>
      <c r="M31" s="218" t="str">
        <f>N7</f>
        <v>ＦＣ大野</v>
      </c>
      <c r="N31" s="561" t="str">
        <f>M10</f>
        <v>別府ＦＣ．ミネルバ</v>
      </c>
      <c r="O31" s="221"/>
      <c r="P31" s="221"/>
      <c r="Q31" s="221"/>
      <c r="R31" s="221"/>
      <c r="S31" s="221"/>
      <c r="T31" s="221"/>
      <c r="U31" s="221"/>
    </row>
    <row r="32" spans="1:26" ht="22.5" customHeight="1">
      <c r="A32" s="423"/>
      <c r="B32" s="566"/>
      <c r="C32" s="564"/>
      <c r="D32" s="222" t="str">
        <f>D5</f>
        <v>東　Ｆ．Ｃ．</v>
      </c>
      <c r="E32" s="562"/>
      <c r="F32" s="564"/>
      <c r="G32" s="222" t="str">
        <f>G5</f>
        <v>ＦＣ中津</v>
      </c>
      <c r="H32" s="562"/>
      <c r="I32" s="564"/>
      <c r="J32" s="222" t="str">
        <f>J5</f>
        <v>スマイス・セレソン</v>
      </c>
      <c r="K32" s="562"/>
      <c r="L32" s="564"/>
      <c r="M32" s="222" t="str">
        <f>M5</f>
        <v>別保</v>
      </c>
      <c r="N32" s="562"/>
      <c r="T32" s="51"/>
      <c r="U32" s="51"/>
      <c r="V32" s="223"/>
      <c r="W32" s="51"/>
      <c r="X32" s="51"/>
      <c r="Y32" s="51"/>
      <c r="Z32" s="51"/>
    </row>
    <row r="33" spans="2:26" ht="35.15" customHeight="1">
      <c r="B33" s="219"/>
      <c r="T33" s="51"/>
      <c r="U33" s="51"/>
      <c r="V33" s="223"/>
      <c r="W33" s="51"/>
      <c r="X33" s="51"/>
      <c r="Y33" s="51"/>
      <c r="Z33" s="51"/>
    </row>
    <row r="34" ht="24.75" customHeight="1">
      <c r="B34" s="219"/>
    </row>
  </sheetData>
  <mergeCells count="76">
    <mergeCell ref="B1:E1"/>
    <mergeCell ref="D2:G2"/>
    <mergeCell ref="I2:N2"/>
    <mergeCell ref="C14:H14"/>
    <mergeCell ref="I14:N14"/>
    <mergeCell ref="C15:E15"/>
    <mergeCell ref="F15:H15"/>
    <mergeCell ref="I15:K15"/>
    <mergeCell ref="L15:N15"/>
    <mergeCell ref="C17:E17"/>
    <mergeCell ref="F17:H17"/>
    <mergeCell ref="I17:K17"/>
    <mergeCell ref="L17:N17"/>
    <mergeCell ref="A19:A20"/>
    <mergeCell ref="B19:B20"/>
    <mergeCell ref="C19:C20"/>
    <mergeCell ref="E19:E20"/>
    <mergeCell ref="F19:F20"/>
    <mergeCell ref="H19:H20"/>
    <mergeCell ref="I19:I20"/>
    <mergeCell ref="K19:K20"/>
    <mergeCell ref="L19:L20"/>
    <mergeCell ref="N19:N20"/>
    <mergeCell ref="A21:A22"/>
    <mergeCell ref="B21:B22"/>
    <mergeCell ref="C21:C22"/>
    <mergeCell ref="E21:E22"/>
    <mergeCell ref="F21:F22"/>
    <mergeCell ref="H21:H22"/>
    <mergeCell ref="I21:I22"/>
    <mergeCell ref="K21:K22"/>
    <mergeCell ref="L21:L22"/>
    <mergeCell ref="N21:N22"/>
    <mergeCell ref="A23:A24"/>
    <mergeCell ref="B23:B24"/>
    <mergeCell ref="C23:C24"/>
    <mergeCell ref="E23:E24"/>
    <mergeCell ref="F23:F24"/>
    <mergeCell ref="H23:H24"/>
    <mergeCell ref="I23:I24"/>
    <mergeCell ref="K23:K24"/>
    <mergeCell ref="L23:L24"/>
    <mergeCell ref="N23:N24"/>
    <mergeCell ref="A25:A26"/>
    <mergeCell ref="B25:B26"/>
    <mergeCell ref="C25:C26"/>
    <mergeCell ref="E25:E26"/>
    <mergeCell ref="F25:F26"/>
    <mergeCell ref="H25:H26"/>
    <mergeCell ref="I25:I26"/>
    <mergeCell ref="K25:K26"/>
    <mergeCell ref="L25:L26"/>
    <mergeCell ref="N25:N26"/>
    <mergeCell ref="A27:A28"/>
    <mergeCell ref="B27:B28"/>
    <mergeCell ref="C27:N28"/>
    <mergeCell ref="A29:A30"/>
    <mergeCell ref="B29:B30"/>
    <mergeCell ref="C29:C30"/>
    <mergeCell ref="E29:E30"/>
    <mergeCell ref="F29:F30"/>
    <mergeCell ref="H29:H30"/>
    <mergeCell ref="I29:I30"/>
    <mergeCell ref="K29:K30"/>
    <mergeCell ref="L29:L30"/>
    <mergeCell ref="N29:N30"/>
    <mergeCell ref="A31:A32"/>
    <mergeCell ref="B31:B32"/>
    <mergeCell ref="C31:C32"/>
    <mergeCell ref="E31:E32"/>
    <mergeCell ref="F31:F32"/>
    <mergeCell ref="H31:H32"/>
    <mergeCell ref="I31:I32"/>
    <mergeCell ref="K31:K32"/>
    <mergeCell ref="L31:L32"/>
    <mergeCell ref="N31:N32"/>
  </mergeCells>
  <dataValidations count="1">
    <dataValidation type="list" allowBlank="1" showInputMessage="1" showErrorMessage="1" sqref="C14:N14">
      <formula1>項目!$E$1:$E$5</formula1>
    </dataValidation>
  </dataValidations>
  <printOptions/>
  <pageMargins left="0.39370078740157477" right="0.39370078740157477" top="0.39370078740157477" bottom="0.39370078740157477" header="0.4330708661417323" footer="0.31496062992125984"/>
  <pageSetup fitToHeight="1" fitToWidth="1" horizontalDpi="600" verticalDpi="600" orientation="portrait" paperSize="9" scale="71"/>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O83"/>
  <sheetViews>
    <sheetView zoomScale="55" zoomScaleNormal="55" workbookViewId="0" topLeftCell="A1">
      <selection activeCell="A2" sqref="A2"/>
    </sheetView>
  </sheetViews>
  <sheetFormatPr defaultColWidth="4.125" defaultRowHeight="13.5"/>
  <cols>
    <col min="1" max="1" width="11.625" style="225" customWidth="1"/>
    <col min="2" max="3" width="5.625" style="225" customWidth="1"/>
    <col min="4" max="27" width="4.125" style="225" customWidth="1"/>
    <col min="28" max="28" width="4.125" style="224" customWidth="1"/>
    <col min="29" max="29" width="11.625" style="226" customWidth="1"/>
    <col min="30" max="31" width="5.625" style="226" customWidth="1"/>
    <col min="32" max="42" width="4.125" style="226" customWidth="1"/>
    <col min="43" max="47" width="4.125" style="224" customWidth="1"/>
    <col min="48" max="16384" width="4.125" style="224" customWidth="1"/>
  </cols>
  <sheetData>
    <row r="1" spans="1:57" s="227" customFormat="1" ht="29.75">
      <c r="A1" s="739" t="s">
        <v>506</v>
      </c>
      <c r="B1" s="739"/>
      <c r="C1" s="739"/>
      <c r="D1" s="739"/>
      <c r="E1" s="739"/>
      <c r="F1" s="739"/>
      <c r="G1" s="739"/>
      <c r="H1" s="739"/>
      <c r="I1" s="739"/>
      <c r="J1" s="739"/>
      <c r="K1" s="739"/>
      <c r="L1" s="739"/>
      <c r="M1" s="739"/>
      <c r="N1" s="739"/>
      <c r="O1" s="739"/>
      <c r="P1" s="739"/>
      <c r="Q1" s="739"/>
      <c r="R1" s="739"/>
      <c r="S1" s="739"/>
      <c r="T1" s="739"/>
      <c r="U1" s="739"/>
      <c r="V1" s="739"/>
      <c r="W1" s="739"/>
      <c r="X1" s="739"/>
      <c r="Y1" s="739"/>
      <c r="Z1" s="739"/>
      <c r="AA1" s="739"/>
      <c r="AB1" s="228"/>
      <c r="AC1" s="739" t="s">
        <v>506</v>
      </c>
      <c r="AD1" s="739"/>
      <c r="AE1" s="739"/>
      <c r="AF1" s="739"/>
      <c r="AG1" s="739"/>
      <c r="AH1" s="739"/>
      <c r="AI1" s="739"/>
      <c r="AJ1" s="739"/>
      <c r="AK1" s="739"/>
      <c r="AL1" s="739"/>
      <c r="AM1" s="739"/>
      <c r="AN1" s="739"/>
      <c r="AO1" s="739"/>
      <c r="AP1" s="739"/>
      <c r="AQ1" s="739"/>
      <c r="AR1" s="739"/>
      <c r="AS1" s="739"/>
      <c r="AT1" s="739"/>
      <c r="AU1" s="739"/>
      <c r="AV1" s="739"/>
      <c r="AW1" s="739"/>
      <c r="AX1" s="739"/>
      <c r="AY1" s="739"/>
      <c r="AZ1" s="739"/>
      <c r="BA1" s="739"/>
      <c r="BB1" s="739"/>
      <c r="BC1" s="739"/>
      <c r="BD1" s="228"/>
      <c r="BE1" s="228"/>
    </row>
    <row r="2" spans="1:27" s="227" customFormat="1" ht="19.25">
      <c r="A2" s="229"/>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row>
    <row r="3" spans="1:55" s="227" customFormat="1" ht="27.75" customHeight="1">
      <c r="A3" s="740" t="s">
        <v>64</v>
      </c>
      <c r="B3" s="740"/>
      <c r="C3" s="740"/>
      <c r="D3" s="741" t="str">
        <f>'予選リーグ'!C14</f>
        <v>昭和電工ｻｯｶｰ･ﾗｸﾞﾋﾞｰ場　Bｺｰﾄ</v>
      </c>
      <c r="E3" s="742"/>
      <c r="F3" s="742"/>
      <c r="G3" s="742"/>
      <c r="H3" s="742"/>
      <c r="I3" s="742"/>
      <c r="J3" s="742"/>
      <c r="K3" s="742"/>
      <c r="L3" s="742"/>
      <c r="M3" s="742"/>
      <c r="N3" s="742"/>
      <c r="O3" s="742"/>
      <c r="P3" s="742"/>
      <c r="Q3" s="742"/>
      <c r="R3" s="742"/>
      <c r="S3" s="742"/>
      <c r="T3" s="742"/>
      <c r="U3" s="742"/>
      <c r="V3" s="742"/>
      <c r="W3" s="742"/>
      <c r="X3" s="742"/>
      <c r="Y3" s="742"/>
      <c r="Z3" s="742"/>
      <c r="AA3" s="743"/>
      <c r="AC3" s="740" t="s">
        <v>64</v>
      </c>
      <c r="AD3" s="740"/>
      <c r="AE3" s="740"/>
      <c r="AF3" s="741" t="str">
        <f>'予選リーグ'!I14</f>
        <v>西部スポーツ交流ひろば「人工芝」</v>
      </c>
      <c r="AG3" s="742"/>
      <c r="AH3" s="742"/>
      <c r="AI3" s="742"/>
      <c r="AJ3" s="742"/>
      <c r="AK3" s="742"/>
      <c r="AL3" s="742"/>
      <c r="AM3" s="742"/>
      <c r="AN3" s="742"/>
      <c r="AO3" s="742"/>
      <c r="AP3" s="742"/>
      <c r="AQ3" s="742"/>
      <c r="AR3" s="742"/>
      <c r="AS3" s="742"/>
      <c r="AT3" s="742"/>
      <c r="AU3" s="742"/>
      <c r="AV3" s="742"/>
      <c r="AW3" s="742"/>
      <c r="AX3" s="742"/>
      <c r="AY3" s="742"/>
      <c r="AZ3" s="742"/>
      <c r="BA3" s="742"/>
      <c r="BB3" s="742"/>
      <c r="BC3" s="743"/>
    </row>
    <row r="4" spans="1:55" s="227" customFormat="1" ht="27.75" customHeight="1">
      <c r="A4" s="740" t="s">
        <v>507</v>
      </c>
      <c r="B4" s="740"/>
      <c r="C4" s="744"/>
      <c r="D4" s="745" t="s">
        <v>508</v>
      </c>
      <c r="E4" s="746"/>
      <c r="F4" s="746"/>
      <c r="G4" s="746"/>
      <c r="H4" s="746"/>
      <c r="I4" s="746"/>
      <c r="J4" s="746" t="s">
        <v>509</v>
      </c>
      <c r="K4" s="746"/>
      <c r="L4" s="746"/>
      <c r="M4" s="746"/>
      <c r="N4" s="746"/>
      <c r="O4" s="747"/>
      <c r="P4" s="748" t="s">
        <v>510</v>
      </c>
      <c r="Q4" s="746"/>
      <c r="R4" s="746"/>
      <c r="S4" s="746"/>
      <c r="T4" s="746"/>
      <c r="U4" s="746"/>
      <c r="V4" s="746" t="s">
        <v>511</v>
      </c>
      <c r="W4" s="746"/>
      <c r="X4" s="746"/>
      <c r="Y4" s="746"/>
      <c r="Z4" s="746"/>
      <c r="AA4" s="749"/>
      <c r="AC4" s="740" t="s">
        <v>507</v>
      </c>
      <c r="AD4" s="740"/>
      <c r="AE4" s="744"/>
      <c r="AF4" s="745" t="s">
        <v>512</v>
      </c>
      <c r="AG4" s="746"/>
      <c r="AH4" s="746"/>
      <c r="AI4" s="746"/>
      <c r="AJ4" s="746"/>
      <c r="AK4" s="746"/>
      <c r="AL4" s="746" t="s">
        <v>513</v>
      </c>
      <c r="AM4" s="746"/>
      <c r="AN4" s="746"/>
      <c r="AO4" s="746"/>
      <c r="AP4" s="746"/>
      <c r="AQ4" s="747"/>
      <c r="AR4" s="748" t="s">
        <v>514</v>
      </c>
      <c r="AS4" s="746"/>
      <c r="AT4" s="746"/>
      <c r="AU4" s="746"/>
      <c r="AV4" s="746"/>
      <c r="AW4" s="746"/>
      <c r="AX4" s="746" t="s">
        <v>515</v>
      </c>
      <c r="AY4" s="746"/>
      <c r="AZ4" s="746"/>
      <c r="BA4" s="746"/>
      <c r="BB4" s="746"/>
      <c r="BC4" s="749"/>
    </row>
    <row r="5" spans="1:55" s="227" customFormat="1" ht="27.75" customHeight="1">
      <c r="A5" s="698" t="s">
        <v>5</v>
      </c>
      <c r="B5" s="724"/>
      <c r="C5" s="724"/>
      <c r="D5" s="727" t="str">
        <f>'予選リーグ'!D5</f>
        <v>東　Ｆ．Ｃ．</v>
      </c>
      <c r="E5" s="714"/>
      <c r="F5" s="714"/>
      <c r="G5" s="714"/>
      <c r="H5" s="714"/>
      <c r="I5" s="714"/>
      <c r="J5" s="714" t="str">
        <f>'予選リーグ'!D10</f>
        <v>ＯＫＹ山香</v>
      </c>
      <c r="K5" s="714"/>
      <c r="L5" s="714"/>
      <c r="M5" s="714"/>
      <c r="N5" s="714"/>
      <c r="O5" s="728"/>
      <c r="P5" s="729" t="str">
        <f>'予選リーグ'!G5</f>
        <v>ＦＣ中津</v>
      </c>
      <c r="Q5" s="729"/>
      <c r="R5" s="729"/>
      <c r="S5" s="729"/>
      <c r="T5" s="729"/>
      <c r="U5" s="730"/>
      <c r="V5" s="714" t="str">
        <f>'予選リーグ'!G10</f>
        <v>中津沖代</v>
      </c>
      <c r="W5" s="714"/>
      <c r="X5" s="714"/>
      <c r="Y5" s="714"/>
      <c r="Z5" s="714"/>
      <c r="AA5" s="715"/>
      <c r="AC5" s="698" t="s">
        <v>5</v>
      </c>
      <c r="AD5" s="724"/>
      <c r="AE5" s="724"/>
      <c r="AF5" s="727" t="str">
        <f>'予選リーグ'!J5</f>
        <v>スマイス・セレソン</v>
      </c>
      <c r="AG5" s="714"/>
      <c r="AH5" s="714"/>
      <c r="AI5" s="714"/>
      <c r="AJ5" s="714"/>
      <c r="AK5" s="714"/>
      <c r="AL5" s="731" t="str">
        <f>'予選リーグ'!J10</f>
        <v>市浜レッドソックス</v>
      </c>
      <c r="AM5" s="729"/>
      <c r="AN5" s="729"/>
      <c r="AO5" s="729"/>
      <c r="AP5" s="729"/>
      <c r="AQ5" s="732"/>
      <c r="AR5" s="730" t="str">
        <f>'予選リーグ'!M5</f>
        <v>別保</v>
      </c>
      <c r="AS5" s="714"/>
      <c r="AT5" s="714"/>
      <c r="AU5" s="714"/>
      <c r="AV5" s="714"/>
      <c r="AW5" s="714"/>
      <c r="AX5" s="714" t="str">
        <f>'予選リーグ'!M10</f>
        <v>別府ＦＣ．ミネルバ</v>
      </c>
      <c r="AY5" s="714"/>
      <c r="AZ5" s="714"/>
      <c r="BA5" s="714"/>
      <c r="BB5" s="714"/>
      <c r="BC5" s="715"/>
    </row>
    <row r="6" spans="1:55" s="227" customFormat="1" ht="27.75" customHeight="1">
      <c r="A6" s="699"/>
      <c r="B6" s="700"/>
      <c r="C6" s="700"/>
      <c r="D6" s="716" t="str">
        <f>'予選リーグ'!C7</f>
        <v>リノス</v>
      </c>
      <c r="E6" s="717"/>
      <c r="F6" s="717"/>
      <c r="G6" s="717"/>
      <c r="H6" s="717"/>
      <c r="I6" s="717"/>
      <c r="J6" s="717" t="str">
        <f>'予選リーグ'!C12</f>
        <v>スマイス　スポーツ</v>
      </c>
      <c r="K6" s="717"/>
      <c r="L6" s="717"/>
      <c r="M6" s="717"/>
      <c r="N6" s="717"/>
      <c r="O6" s="718"/>
      <c r="P6" s="719" t="str">
        <f>'予選リーグ'!F7</f>
        <v>北郡坂ノ市</v>
      </c>
      <c r="Q6" s="719"/>
      <c r="R6" s="719"/>
      <c r="S6" s="719"/>
      <c r="T6" s="719"/>
      <c r="U6" s="720"/>
      <c r="V6" s="717" t="str">
        <f>'予選リーグ'!F12</f>
        <v>ＫＩＮＧＳ</v>
      </c>
      <c r="W6" s="717"/>
      <c r="X6" s="717"/>
      <c r="Y6" s="717"/>
      <c r="Z6" s="717"/>
      <c r="AA6" s="721"/>
      <c r="AC6" s="699"/>
      <c r="AD6" s="700"/>
      <c r="AE6" s="700"/>
      <c r="AF6" s="716" t="str">
        <f>'予選リーグ'!I7</f>
        <v>大分トリニータ</v>
      </c>
      <c r="AG6" s="717"/>
      <c r="AH6" s="717"/>
      <c r="AI6" s="717"/>
      <c r="AJ6" s="717"/>
      <c r="AK6" s="717"/>
      <c r="AL6" s="722" t="str">
        <f>'予選リーグ'!I12</f>
        <v>横瀬</v>
      </c>
      <c r="AM6" s="719"/>
      <c r="AN6" s="719"/>
      <c r="AO6" s="719"/>
      <c r="AP6" s="719"/>
      <c r="AQ6" s="723"/>
      <c r="AR6" s="720" t="str">
        <f>'予選リーグ'!L7</f>
        <v>ドリームキッズ</v>
      </c>
      <c r="AS6" s="717"/>
      <c r="AT6" s="717"/>
      <c r="AU6" s="717"/>
      <c r="AV6" s="717"/>
      <c r="AW6" s="717"/>
      <c r="AX6" s="717" t="str">
        <f>'予選リーグ'!L12</f>
        <v>ブルーウイング</v>
      </c>
      <c r="AY6" s="717"/>
      <c r="AZ6" s="717"/>
      <c r="BA6" s="717"/>
      <c r="BB6" s="717"/>
      <c r="BC6" s="721"/>
    </row>
    <row r="7" spans="1:55" s="227" customFormat="1" ht="27.75" customHeight="1">
      <c r="A7" s="725"/>
      <c r="B7" s="726"/>
      <c r="C7" s="726"/>
      <c r="D7" s="733" t="str">
        <f>'予選リーグ'!E7</f>
        <v>明治</v>
      </c>
      <c r="E7" s="703"/>
      <c r="F7" s="703"/>
      <c r="G7" s="703"/>
      <c r="H7" s="703"/>
      <c r="I7" s="703"/>
      <c r="J7" s="703" t="str">
        <f>'予選リーグ'!E12</f>
        <v>下毛ＦＣ</v>
      </c>
      <c r="K7" s="703"/>
      <c r="L7" s="703"/>
      <c r="M7" s="703"/>
      <c r="N7" s="703"/>
      <c r="O7" s="734"/>
      <c r="P7" s="735" t="str">
        <f>'予選リーグ'!H7</f>
        <v>日岡</v>
      </c>
      <c r="Q7" s="735"/>
      <c r="R7" s="735"/>
      <c r="S7" s="735"/>
      <c r="T7" s="735"/>
      <c r="U7" s="736"/>
      <c r="V7" s="703" t="str">
        <f>'予選リーグ'!H12</f>
        <v>鶴岡Ｓ―ｐｌａｙ</v>
      </c>
      <c r="W7" s="703"/>
      <c r="X7" s="703"/>
      <c r="Y7" s="703"/>
      <c r="Z7" s="703"/>
      <c r="AA7" s="704"/>
      <c r="AC7" s="725"/>
      <c r="AD7" s="726"/>
      <c r="AE7" s="726"/>
      <c r="AF7" s="733" t="str">
        <f>'予選リーグ'!K7</f>
        <v>ＦＣアリアーレ</v>
      </c>
      <c r="AG7" s="703"/>
      <c r="AH7" s="703"/>
      <c r="AI7" s="703"/>
      <c r="AJ7" s="703"/>
      <c r="AK7" s="703"/>
      <c r="AL7" s="737" t="str">
        <f>'予選リーグ'!K12</f>
        <v>ＦＣ　ＵＮＩＴＥ</v>
      </c>
      <c r="AM7" s="735"/>
      <c r="AN7" s="735"/>
      <c r="AO7" s="735"/>
      <c r="AP7" s="735"/>
      <c r="AQ7" s="738"/>
      <c r="AR7" s="736" t="str">
        <f>'予選リーグ'!N7</f>
        <v>ＦＣ大野</v>
      </c>
      <c r="AS7" s="703"/>
      <c r="AT7" s="703"/>
      <c r="AU7" s="703"/>
      <c r="AV7" s="703"/>
      <c r="AW7" s="703"/>
      <c r="AX7" s="703" t="str">
        <f>'予選リーグ'!N12</f>
        <v>太陽ＳＣ大分西</v>
      </c>
      <c r="AY7" s="703"/>
      <c r="AZ7" s="703"/>
      <c r="BA7" s="703"/>
      <c r="BB7" s="703"/>
      <c r="BC7" s="704"/>
    </row>
    <row r="8" spans="1:55" s="227" customFormat="1" ht="19.25">
      <c r="A8" s="230"/>
      <c r="B8" s="230"/>
      <c r="C8" s="230"/>
      <c r="D8" s="231"/>
      <c r="E8" s="232"/>
      <c r="F8" s="232"/>
      <c r="G8" s="232"/>
      <c r="H8" s="232"/>
      <c r="I8" s="232"/>
      <c r="J8" s="232"/>
      <c r="K8" s="232"/>
      <c r="L8" s="232"/>
      <c r="M8" s="232"/>
      <c r="N8" s="232"/>
      <c r="O8" s="233"/>
      <c r="P8" s="232"/>
      <c r="Q8" s="232"/>
      <c r="R8" s="232"/>
      <c r="S8" s="232"/>
      <c r="T8" s="232"/>
      <c r="U8" s="232"/>
      <c r="V8" s="232"/>
      <c r="W8" s="232"/>
      <c r="X8" s="232"/>
      <c r="Y8" s="232"/>
      <c r="Z8" s="232"/>
      <c r="AA8" s="234"/>
      <c r="AC8" s="230"/>
      <c r="AD8" s="230"/>
      <c r="AE8" s="230"/>
      <c r="AF8" s="231"/>
      <c r="AG8" s="232"/>
      <c r="AH8" s="232"/>
      <c r="AI8" s="232"/>
      <c r="AJ8" s="232"/>
      <c r="AK8" s="232"/>
      <c r="AL8" s="232"/>
      <c r="AM8" s="232"/>
      <c r="AN8" s="232"/>
      <c r="AO8" s="232"/>
      <c r="AP8" s="232"/>
      <c r="AQ8" s="233"/>
      <c r="AR8" s="232"/>
      <c r="AS8" s="232"/>
      <c r="AT8" s="232"/>
      <c r="AU8" s="232"/>
      <c r="AV8" s="232"/>
      <c r="AW8" s="232"/>
      <c r="AX8" s="232"/>
      <c r="AY8" s="232"/>
      <c r="AZ8" s="232"/>
      <c r="BA8" s="232"/>
      <c r="BB8" s="232"/>
      <c r="BC8" s="234"/>
    </row>
    <row r="9" spans="3:55" ht="24.5">
      <c r="C9" s="235"/>
      <c r="D9" s="236"/>
      <c r="O9" s="237"/>
      <c r="AA9" s="238"/>
      <c r="AF9" s="239"/>
      <c r="AQ9" s="237"/>
      <c r="BC9" s="240"/>
    </row>
    <row r="10" spans="1:55" ht="21.75" customHeight="1">
      <c r="A10" s="705" t="s">
        <v>516</v>
      </c>
      <c r="B10" s="705"/>
      <c r="C10" s="706"/>
      <c r="D10" s="236"/>
      <c r="O10" s="241"/>
      <c r="AA10" s="238"/>
      <c r="AC10" s="705" t="s">
        <v>516</v>
      </c>
      <c r="AD10" s="705"/>
      <c r="AE10" s="706"/>
      <c r="AF10" s="236"/>
      <c r="AG10" s="225"/>
      <c r="AH10" s="225"/>
      <c r="AI10" s="225"/>
      <c r="AJ10" s="225"/>
      <c r="AK10" s="225"/>
      <c r="AL10" s="225"/>
      <c r="AM10" s="225"/>
      <c r="AN10" s="225"/>
      <c r="AO10" s="225"/>
      <c r="AP10" s="225"/>
      <c r="AQ10" s="241"/>
      <c r="AR10" s="225"/>
      <c r="AS10" s="225"/>
      <c r="AT10" s="225"/>
      <c r="AU10" s="225"/>
      <c r="AV10" s="225"/>
      <c r="AW10" s="225"/>
      <c r="AX10" s="225"/>
      <c r="AY10" s="225"/>
      <c r="AZ10" s="225"/>
      <c r="BA10" s="225"/>
      <c r="BB10" s="225"/>
      <c r="BC10" s="238"/>
    </row>
    <row r="11" spans="1:55" s="227" customFormat="1" ht="27.75" customHeight="1">
      <c r="A11" s="707" t="s">
        <v>517</v>
      </c>
      <c r="B11" s="708"/>
      <c r="C11" s="709"/>
      <c r="D11" s="710" t="str">
        <f>'予選リーグ'!C15</f>
        <v>「南」コート</v>
      </c>
      <c r="E11" s="711"/>
      <c r="F11" s="711"/>
      <c r="G11" s="711"/>
      <c r="H11" s="711"/>
      <c r="I11" s="711"/>
      <c r="J11" s="711"/>
      <c r="K11" s="711"/>
      <c r="L11" s="711"/>
      <c r="M11" s="711"/>
      <c r="N11" s="711"/>
      <c r="O11" s="712"/>
      <c r="P11" s="711" t="str">
        <f>'予選リーグ'!F15</f>
        <v>「北」コート</v>
      </c>
      <c r="Q11" s="711"/>
      <c r="R11" s="711"/>
      <c r="S11" s="711"/>
      <c r="T11" s="711"/>
      <c r="U11" s="711"/>
      <c r="V11" s="711"/>
      <c r="W11" s="711"/>
      <c r="X11" s="711"/>
      <c r="Y11" s="711"/>
      <c r="Z11" s="711"/>
      <c r="AA11" s="713"/>
      <c r="AC11" s="707" t="s">
        <v>517</v>
      </c>
      <c r="AD11" s="708"/>
      <c r="AE11" s="709"/>
      <c r="AF11" s="710" t="str">
        <f>'予選リーグ'!I15</f>
        <v>「A」コート</v>
      </c>
      <c r="AG11" s="711"/>
      <c r="AH11" s="711"/>
      <c r="AI11" s="711"/>
      <c r="AJ11" s="711"/>
      <c r="AK11" s="711"/>
      <c r="AL11" s="711"/>
      <c r="AM11" s="711"/>
      <c r="AN11" s="711"/>
      <c r="AO11" s="711"/>
      <c r="AP11" s="711"/>
      <c r="AQ11" s="712"/>
      <c r="AR11" s="711" t="str">
        <f>'予選リーグ'!L15</f>
        <v>「B」コート</v>
      </c>
      <c r="AS11" s="711"/>
      <c r="AT11" s="711"/>
      <c r="AU11" s="711"/>
      <c r="AV11" s="711"/>
      <c r="AW11" s="711"/>
      <c r="AX11" s="711"/>
      <c r="AY11" s="711"/>
      <c r="AZ11" s="711"/>
      <c r="BA11" s="711"/>
      <c r="BB11" s="711"/>
      <c r="BC11" s="713"/>
    </row>
    <row r="12" spans="1:55" s="227" customFormat="1" ht="27.75" customHeight="1">
      <c r="A12" s="696" t="s">
        <v>332</v>
      </c>
      <c r="B12" s="697"/>
      <c r="C12" s="698"/>
      <c r="D12" s="242"/>
      <c r="E12" s="230"/>
      <c r="F12" s="230"/>
      <c r="G12" s="230"/>
      <c r="H12" s="230"/>
      <c r="I12" s="229" t="s">
        <v>518</v>
      </c>
      <c r="J12" s="230"/>
      <c r="K12" s="230"/>
      <c r="L12" s="243"/>
      <c r="M12" s="699" t="s">
        <v>504</v>
      </c>
      <c r="N12" s="700"/>
      <c r="O12" s="701"/>
      <c r="P12" s="229"/>
      <c r="Q12" s="230"/>
      <c r="R12" s="230"/>
      <c r="S12" s="230"/>
      <c r="T12" s="230"/>
      <c r="U12" s="229" t="s">
        <v>518</v>
      </c>
      <c r="V12" s="230"/>
      <c r="W12" s="230"/>
      <c r="X12" s="243"/>
      <c r="Y12" s="699" t="s">
        <v>504</v>
      </c>
      <c r="Z12" s="700"/>
      <c r="AA12" s="702"/>
      <c r="AC12" s="696" t="s">
        <v>332</v>
      </c>
      <c r="AD12" s="697"/>
      <c r="AE12" s="698"/>
      <c r="AF12" s="242"/>
      <c r="AG12" s="230"/>
      <c r="AH12" s="230"/>
      <c r="AI12" s="230"/>
      <c r="AJ12" s="230"/>
      <c r="AK12" s="229" t="s">
        <v>518</v>
      </c>
      <c r="AL12" s="230"/>
      <c r="AM12" s="230"/>
      <c r="AN12" s="243"/>
      <c r="AO12" s="699" t="s">
        <v>504</v>
      </c>
      <c r="AP12" s="700"/>
      <c r="AQ12" s="701"/>
      <c r="AR12" s="229"/>
      <c r="AS12" s="230"/>
      <c r="AT12" s="230"/>
      <c r="AU12" s="230"/>
      <c r="AV12" s="230"/>
      <c r="AW12" s="229" t="s">
        <v>518</v>
      </c>
      <c r="AX12" s="230"/>
      <c r="AY12" s="230"/>
      <c r="AZ12" s="243"/>
      <c r="BA12" s="699" t="s">
        <v>504</v>
      </c>
      <c r="BB12" s="700"/>
      <c r="BC12" s="702"/>
    </row>
    <row r="13" spans="1:55" ht="54.75" customHeight="1">
      <c r="A13" s="686" t="s">
        <v>90</v>
      </c>
      <c r="B13" s="688">
        <f>'予選リーグ'!B19</f>
        <v>0.4375</v>
      </c>
      <c r="C13" s="688"/>
      <c r="D13" s="690" t="s">
        <v>9</v>
      </c>
      <c r="E13" s="691"/>
      <c r="F13" s="672" t="str">
        <f>'予選リーグ'!C19</f>
        <v>東　Ｆ．Ｃ．</v>
      </c>
      <c r="G13" s="672"/>
      <c r="H13" s="692"/>
      <c r="I13" s="244" t="s">
        <v>16</v>
      </c>
      <c r="J13" s="671" t="str">
        <f>'予選リーグ'!E19</f>
        <v>リノス</v>
      </c>
      <c r="K13" s="672"/>
      <c r="L13" s="672"/>
      <c r="M13" s="673" t="str">
        <f>'予選リーグ'!D19</f>
        <v>下毛ＦＣ</v>
      </c>
      <c r="N13" s="674"/>
      <c r="O13" s="693"/>
      <c r="P13" s="694" t="s">
        <v>9</v>
      </c>
      <c r="Q13" s="691"/>
      <c r="R13" s="692" t="str">
        <f>'予選リーグ'!F19</f>
        <v>ＦＣ中津</v>
      </c>
      <c r="S13" s="695"/>
      <c r="T13" s="695"/>
      <c r="U13" s="244" t="s">
        <v>16</v>
      </c>
      <c r="V13" s="695" t="str">
        <f>'予選リーグ'!H19</f>
        <v>北郡坂ノ市</v>
      </c>
      <c r="W13" s="695"/>
      <c r="X13" s="671"/>
      <c r="Y13" s="673" t="str">
        <f>'予選リーグ'!G19</f>
        <v>鶴岡Ｓ―ｐｌａｙ</v>
      </c>
      <c r="Z13" s="674"/>
      <c r="AA13" s="675"/>
      <c r="AC13" s="686" t="s">
        <v>90</v>
      </c>
      <c r="AD13" s="688">
        <f>'予選リーグ'!B19</f>
        <v>0.4375</v>
      </c>
      <c r="AE13" s="688"/>
      <c r="AF13" s="690" t="s">
        <v>9</v>
      </c>
      <c r="AG13" s="691"/>
      <c r="AH13" s="672" t="str">
        <f>'予選リーグ'!I19</f>
        <v>スマイス・セレソン</v>
      </c>
      <c r="AI13" s="672"/>
      <c r="AJ13" s="692"/>
      <c r="AK13" s="244" t="s">
        <v>16</v>
      </c>
      <c r="AL13" s="671" t="str">
        <f>'予選リーグ'!K19</f>
        <v>大分トリニータ</v>
      </c>
      <c r="AM13" s="672"/>
      <c r="AN13" s="672"/>
      <c r="AO13" s="673" t="str">
        <f>'予選リーグ'!J19</f>
        <v>ＦＣ　ＵＮＩＴＥ</v>
      </c>
      <c r="AP13" s="674"/>
      <c r="AQ13" s="693"/>
      <c r="AR13" s="694" t="s">
        <v>9</v>
      </c>
      <c r="AS13" s="691"/>
      <c r="AT13" s="672" t="str">
        <f>'予選リーグ'!L19</f>
        <v>別保</v>
      </c>
      <c r="AU13" s="672"/>
      <c r="AV13" s="692"/>
      <c r="AW13" s="244" t="s">
        <v>16</v>
      </c>
      <c r="AX13" s="671" t="str">
        <f>'予選リーグ'!N19</f>
        <v>ドリームキッズ</v>
      </c>
      <c r="AY13" s="672"/>
      <c r="AZ13" s="672"/>
      <c r="BA13" s="673" t="str">
        <f>'予選リーグ'!M19</f>
        <v>太陽ＳＣ大分西</v>
      </c>
      <c r="BB13" s="674"/>
      <c r="BC13" s="675"/>
    </row>
    <row r="14" spans="1:55" s="245" customFormat="1" ht="54.75" customHeight="1">
      <c r="A14" s="687"/>
      <c r="B14" s="689"/>
      <c r="C14" s="689"/>
      <c r="D14" s="676" t="s">
        <v>519</v>
      </c>
      <c r="E14" s="677"/>
      <c r="F14" s="678">
        <v>3</v>
      </c>
      <c r="G14" s="679"/>
      <c r="H14" s="679"/>
      <c r="I14" s="246" t="s">
        <v>16</v>
      </c>
      <c r="J14" s="679">
        <v>2</v>
      </c>
      <c r="K14" s="679"/>
      <c r="L14" s="680"/>
      <c r="M14" s="681" t="str">
        <f>'予選リーグ'!D20</f>
        <v>ＯＫＹ山香</v>
      </c>
      <c r="N14" s="682"/>
      <c r="O14" s="683"/>
      <c r="P14" s="684" t="s">
        <v>519</v>
      </c>
      <c r="Q14" s="677"/>
      <c r="R14" s="678">
        <v>2</v>
      </c>
      <c r="S14" s="679"/>
      <c r="T14" s="679"/>
      <c r="U14" s="246" t="s">
        <v>16</v>
      </c>
      <c r="V14" s="679">
        <v>1</v>
      </c>
      <c r="W14" s="679"/>
      <c r="X14" s="680"/>
      <c r="Y14" s="681" t="str">
        <f>'予選リーグ'!G20</f>
        <v>中津沖代</v>
      </c>
      <c r="Z14" s="682"/>
      <c r="AA14" s="685"/>
      <c r="AC14" s="687"/>
      <c r="AD14" s="689"/>
      <c r="AE14" s="689"/>
      <c r="AF14" s="676" t="s">
        <v>519</v>
      </c>
      <c r="AG14" s="677"/>
      <c r="AH14" s="678">
        <v>0</v>
      </c>
      <c r="AI14" s="679"/>
      <c r="AJ14" s="679"/>
      <c r="AK14" s="246" t="s">
        <v>16</v>
      </c>
      <c r="AL14" s="679">
        <v>3</v>
      </c>
      <c r="AM14" s="679"/>
      <c r="AN14" s="680"/>
      <c r="AO14" s="681" t="str">
        <f>'予選リーグ'!J20</f>
        <v>市浜レッドソックス</v>
      </c>
      <c r="AP14" s="682"/>
      <c r="AQ14" s="683"/>
      <c r="AR14" s="684" t="s">
        <v>519</v>
      </c>
      <c r="AS14" s="677"/>
      <c r="AT14" s="678" t="s">
        <v>520</v>
      </c>
      <c r="AU14" s="679"/>
      <c r="AV14" s="679"/>
      <c r="AW14" s="246" t="s">
        <v>16</v>
      </c>
      <c r="AX14" s="679" t="s">
        <v>521</v>
      </c>
      <c r="AY14" s="679"/>
      <c r="AZ14" s="680"/>
      <c r="BA14" s="681" t="str">
        <f>'予選リーグ'!M20</f>
        <v>別府ＦＣ．ミネルバ</v>
      </c>
      <c r="BB14" s="682"/>
      <c r="BC14" s="685"/>
    </row>
    <row r="15" spans="1:55" ht="54.75" customHeight="1">
      <c r="A15" s="686" t="s">
        <v>92</v>
      </c>
      <c r="B15" s="688">
        <f>'予選リーグ'!B21</f>
        <v>0.4791666666666667</v>
      </c>
      <c r="C15" s="688"/>
      <c r="D15" s="690" t="s">
        <v>9</v>
      </c>
      <c r="E15" s="691"/>
      <c r="F15" s="672" t="str">
        <f>'予選リーグ'!C21</f>
        <v>ＯＫＹ山香</v>
      </c>
      <c r="G15" s="672"/>
      <c r="H15" s="692"/>
      <c r="I15" s="244" t="s">
        <v>16</v>
      </c>
      <c r="J15" s="671" t="str">
        <f>'予選リーグ'!E21</f>
        <v>スマイス　スポーツ</v>
      </c>
      <c r="K15" s="672"/>
      <c r="L15" s="672"/>
      <c r="M15" s="673" t="str">
        <f>'予選リーグ'!D21</f>
        <v>東　Ｆ．Ｃ．</v>
      </c>
      <c r="N15" s="674"/>
      <c r="O15" s="693"/>
      <c r="P15" s="694" t="s">
        <v>9</v>
      </c>
      <c r="Q15" s="691"/>
      <c r="R15" s="692" t="str">
        <f>'予選リーグ'!F21</f>
        <v>中津沖代</v>
      </c>
      <c r="S15" s="695"/>
      <c r="T15" s="695"/>
      <c r="U15" s="244" t="s">
        <v>16</v>
      </c>
      <c r="V15" s="695" t="str">
        <f>'予選リーグ'!H21</f>
        <v>ＫＩＮＧＳ</v>
      </c>
      <c r="W15" s="695"/>
      <c r="X15" s="671"/>
      <c r="Y15" s="673" t="str">
        <f>'予選リーグ'!G21</f>
        <v>ＦＣ中津</v>
      </c>
      <c r="Z15" s="674"/>
      <c r="AA15" s="675"/>
      <c r="AC15" s="686" t="s">
        <v>92</v>
      </c>
      <c r="AD15" s="688">
        <f>'予選リーグ'!B21</f>
        <v>0.4791666666666667</v>
      </c>
      <c r="AE15" s="688"/>
      <c r="AF15" s="690" t="s">
        <v>9</v>
      </c>
      <c r="AG15" s="691"/>
      <c r="AH15" s="672" t="str">
        <f>'予選リーグ'!I21</f>
        <v>市浜レッドソックス</v>
      </c>
      <c r="AI15" s="672"/>
      <c r="AJ15" s="692"/>
      <c r="AK15" s="244" t="s">
        <v>16</v>
      </c>
      <c r="AL15" s="671" t="str">
        <f>'予選リーグ'!K21</f>
        <v>横瀬</v>
      </c>
      <c r="AM15" s="672"/>
      <c r="AN15" s="672"/>
      <c r="AO15" s="673" t="str">
        <f>'予選リーグ'!J21</f>
        <v>スマイス・セレソン</v>
      </c>
      <c r="AP15" s="674"/>
      <c r="AQ15" s="693"/>
      <c r="AR15" s="694" t="s">
        <v>9</v>
      </c>
      <c r="AS15" s="691"/>
      <c r="AT15" s="672" t="str">
        <f>'予選リーグ'!L21</f>
        <v>別府ＦＣ．ミネルバ</v>
      </c>
      <c r="AU15" s="672"/>
      <c r="AV15" s="692"/>
      <c r="AW15" s="244" t="s">
        <v>16</v>
      </c>
      <c r="AX15" s="671" t="str">
        <f>'予選リーグ'!N21</f>
        <v>ブルーウイング</v>
      </c>
      <c r="AY15" s="672"/>
      <c r="AZ15" s="672"/>
      <c r="BA15" s="673" t="str">
        <f>'予選リーグ'!M21</f>
        <v>別保</v>
      </c>
      <c r="BB15" s="674"/>
      <c r="BC15" s="675"/>
    </row>
    <row r="16" spans="1:55" s="245" customFormat="1" ht="54.75" customHeight="1">
      <c r="A16" s="687"/>
      <c r="B16" s="689"/>
      <c r="C16" s="689"/>
      <c r="D16" s="676" t="s">
        <v>519</v>
      </c>
      <c r="E16" s="677"/>
      <c r="F16" s="678">
        <v>0</v>
      </c>
      <c r="G16" s="679"/>
      <c r="H16" s="679"/>
      <c r="I16" s="246" t="s">
        <v>16</v>
      </c>
      <c r="J16" s="679">
        <v>5</v>
      </c>
      <c r="K16" s="679"/>
      <c r="L16" s="680"/>
      <c r="M16" s="681" t="str">
        <f>'予選リーグ'!D22</f>
        <v>リノス</v>
      </c>
      <c r="N16" s="682"/>
      <c r="O16" s="683"/>
      <c r="P16" s="684" t="s">
        <v>519</v>
      </c>
      <c r="Q16" s="677"/>
      <c r="R16" s="678">
        <v>1</v>
      </c>
      <c r="S16" s="679"/>
      <c r="T16" s="679"/>
      <c r="U16" s="246" t="s">
        <v>16</v>
      </c>
      <c r="V16" s="679">
        <v>1</v>
      </c>
      <c r="W16" s="679"/>
      <c r="X16" s="680"/>
      <c r="Y16" s="681" t="str">
        <f>'予選リーグ'!G22</f>
        <v>北郡坂ノ市</v>
      </c>
      <c r="Z16" s="682"/>
      <c r="AA16" s="685"/>
      <c r="AC16" s="687"/>
      <c r="AD16" s="689"/>
      <c r="AE16" s="689"/>
      <c r="AF16" s="676" t="s">
        <v>519</v>
      </c>
      <c r="AG16" s="677"/>
      <c r="AH16" s="678">
        <v>1</v>
      </c>
      <c r="AI16" s="679"/>
      <c r="AJ16" s="679"/>
      <c r="AK16" s="246" t="s">
        <v>16</v>
      </c>
      <c r="AL16" s="679">
        <v>2</v>
      </c>
      <c r="AM16" s="679"/>
      <c r="AN16" s="680"/>
      <c r="AO16" s="681" t="str">
        <f>'予選リーグ'!J22</f>
        <v>大分トリニータ</v>
      </c>
      <c r="AP16" s="682"/>
      <c r="AQ16" s="683"/>
      <c r="AR16" s="684" t="s">
        <v>519</v>
      </c>
      <c r="AS16" s="677"/>
      <c r="AT16" s="678">
        <v>0</v>
      </c>
      <c r="AU16" s="679"/>
      <c r="AV16" s="679"/>
      <c r="AW16" s="246" t="s">
        <v>16</v>
      </c>
      <c r="AX16" s="679">
        <v>0</v>
      </c>
      <c r="AY16" s="679"/>
      <c r="AZ16" s="680"/>
      <c r="BA16" s="681" t="str">
        <f>'予選リーグ'!M22</f>
        <v>ドリームキッズ</v>
      </c>
      <c r="BB16" s="682"/>
      <c r="BC16" s="685"/>
    </row>
    <row r="17" spans="1:55" ht="54.75" customHeight="1">
      <c r="A17" s="686" t="s">
        <v>94</v>
      </c>
      <c r="B17" s="688">
        <f>'予選リーグ'!B23</f>
        <v>0.5208333333333334</v>
      </c>
      <c r="C17" s="688"/>
      <c r="D17" s="690" t="s">
        <v>9</v>
      </c>
      <c r="E17" s="691"/>
      <c r="F17" s="672" t="str">
        <f>'予選リーグ'!C23</f>
        <v>リノス</v>
      </c>
      <c r="G17" s="672"/>
      <c r="H17" s="692"/>
      <c r="I17" s="244" t="s">
        <v>16</v>
      </c>
      <c r="J17" s="671" t="str">
        <f>'予選リーグ'!E23</f>
        <v>明治</v>
      </c>
      <c r="K17" s="672"/>
      <c r="L17" s="672"/>
      <c r="M17" s="673" t="str">
        <f>'予選リーグ'!D23</f>
        <v>ＯＫＹ山香</v>
      </c>
      <c r="N17" s="674"/>
      <c r="O17" s="693"/>
      <c r="P17" s="694" t="s">
        <v>9</v>
      </c>
      <c r="Q17" s="691"/>
      <c r="R17" s="692" t="str">
        <f>'予選リーグ'!F23</f>
        <v>北郡坂ノ市</v>
      </c>
      <c r="S17" s="695"/>
      <c r="T17" s="695"/>
      <c r="U17" s="244" t="s">
        <v>16</v>
      </c>
      <c r="V17" s="695" t="str">
        <f>'予選リーグ'!H23</f>
        <v>日岡</v>
      </c>
      <c r="W17" s="695"/>
      <c r="X17" s="671"/>
      <c r="Y17" s="673" t="str">
        <f>'予選リーグ'!G23</f>
        <v>中津沖代</v>
      </c>
      <c r="Z17" s="674"/>
      <c r="AA17" s="675"/>
      <c r="AC17" s="686" t="s">
        <v>94</v>
      </c>
      <c r="AD17" s="688">
        <f>'予選リーグ'!B23</f>
        <v>0.5208333333333334</v>
      </c>
      <c r="AE17" s="688"/>
      <c r="AF17" s="690" t="s">
        <v>9</v>
      </c>
      <c r="AG17" s="691"/>
      <c r="AH17" s="672" t="str">
        <f>'予選リーグ'!I23</f>
        <v>大分トリニータ</v>
      </c>
      <c r="AI17" s="672"/>
      <c r="AJ17" s="692"/>
      <c r="AK17" s="244" t="s">
        <v>16</v>
      </c>
      <c r="AL17" s="671" t="str">
        <f>'予選リーグ'!K23</f>
        <v>ＦＣアリアーレ</v>
      </c>
      <c r="AM17" s="672"/>
      <c r="AN17" s="672"/>
      <c r="AO17" s="673" t="str">
        <f>'予選リーグ'!J23</f>
        <v>市浜レッドソックス</v>
      </c>
      <c r="AP17" s="674"/>
      <c r="AQ17" s="693"/>
      <c r="AR17" s="694" t="s">
        <v>9</v>
      </c>
      <c r="AS17" s="691"/>
      <c r="AT17" s="672" t="str">
        <f>'予選リーグ'!L23</f>
        <v>ドリームキッズ</v>
      </c>
      <c r="AU17" s="672"/>
      <c r="AV17" s="692"/>
      <c r="AW17" s="244" t="s">
        <v>16</v>
      </c>
      <c r="AX17" s="671" t="str">
        <f>'予選リーグ'!N23</f>
        <v>ＦＣ大野</v>
      </c>
      <c r="AY17" s="672"/>
      <c r="AZ17" s="672"/>
      <c r="BA17" s="673" t="str">
        <f>'予選リーグ'!M23</f>
        <v>別府ＦＣ．ミネルバ</v>
      </c>
      <c r="BB17" s="674"/>
      <c r="BC17" s="675"/>
    </row>
    <row r="18" spans="1:55" s="245" customFormat="1" ht="54.75" customHeight="1">
      <c r="A18" s="687"/>
      <c r="B18" s="689"/>
      <c r="C18" s="689"/>
      <c r="D18" s="676" t="s">
        <v>519</v>
      </c>
      <c r="E18" s="677"/>
      <c r="F18" s="678">
        <v>1</v>
      </c>
      <c r="G18" s="679"/>
      <c r="H18" s="679"/>
      <c r="I18" s="246" t="s">
        <v>16</v>
      </c>
      <c r="J18" s="679">
        <v>3</v>
      </c>
      <c r="K18" s="679"/>
      <c r="L18" s="680"/>
      <c r="M18" s="681" t="str">
        <f>'予選リーグ'!D24</f>
        <v>スマイス　スポーツ</v>
      </c>
      <c r="N18" s="682"/>
      <c r="O18" s="683"/>
      <c r="P18" s="684" t="s">
        <v>519</v>
      </c>
      <c r="Q18" s="677"/>
      <c r="R18" s="678">
        <v>2</v>
      </c>
      <c r="S18" s="679"/>
      <c r="T18" s="679"/>
      <c r="U18" s="246" t="s">
        <v>16</v>
      </c>
      <c r="V18" s="679">
        <v>0</v>
      </c>
      <c r="W18" s="679"/>
      <c r="X18" s="680"/>
      <c r="Y18" s="681" t="str">
        <f>'予選リーグ'!G24</f>
        <v>ＫＩＮＧＳ</v>
      </c>
      <c r="Z18" s="682"/>
      <c r="AA18" s="685"/>
      <c r="AC18" s="687"/>
      <c r="AD18" s="689"/>
      <c r="AE18" s="689"/>
      <c r="AF18" s="676" t="s">
        <v>519</v>
      </c>
      <c r="AG18" s="677"/>
      <c r="AH18" s="678">
        <v>3</v>
      </c>
      <c r="AI18" s="679"/>
      <c r="AJ18" s="679"/>
      <c r="AK18" s="246" t="s">
        <v>16</v>
      </c>
      <c r="AL18" s="679">
        <v>0</v>
      </c>
      <c r="AM18" s="679"/>
      <c r="AN18" s="680"/>
      <c r="AO18" s="681" t="str">
        <f>'予選リーグ'!J24</f>
        <v>横瀬</v>
      </c>
      <c r="AP18" s="682"/>
      <c r="AQ18" s="683"/>
      <c r="AR18" s="684" t="s">
        <v>519</v>
      </c>
      <c r="AS18" s="677"/>
      <c r="AT18" s="678">
        <v>3</v>
      </c>
      <c r="AU18" s="679"/>
      <c r="AV18" s="679"/>
      <c r="AW18" s="246" t="s">
        <v>16</v>
      </c>
      <c r="AX18" s="679">
        <v>1</v>
      </c>
      <c r="AY18" s="679"/>
      <c r="AZ18" s="680"/>
      <c r="BA18" s="681" t="str">
        <f>'予選リーグ'!M24</f>
        <v>ブルーウイング</v>
      </c>
      <c r="BB18" s="682"/>
      <c r="BC18" s="685"/>
    </row>
    <row r="19" spans="1:55" ht="54.75" customHeight="1">
      <c r="A19" s="686" t="s">
        <v>96</v>
      </c>
      <c r="B19" s="688">
        <f>'予選リーグ'!B25</f>
        <v>0.5625</v>
      </c>
      <c r="C19" s="688"/>
      <c r="D19" s="690" t="s">
        <v>9</v>
      </c>
      <c r="E19" s="691"/>
      <c r="F19" s="672" t="str">
        <f>'予選リーグ'!C25</f>
        <v>スマイス　スポーツ</v>
      </c>
      <c r="G19" s="672"/>
      <c r="H19" s="692"/>
      <c r="I19" s="244" t="s">
        <v>16</v>
      </c>
      <c r="J19" s="671" t="str">
        <f>'予選リーグ'!E25</f>
        <v>下毛ＦＣ</v>
      </c>
      <c r="K19" s="672"/>
      <c r="L19" s="672"/>
      <c r="M19" s="673" t="str">
        <f>'予選リーグ'!D25</f>
        <v>リノス</v>
      </c>
      <c r="N19" s="674"/>
      <c r="O19" s="693"/>
      <c r="P19" s="694" t="s">
        <v>9</v>
      </c>
      <c r="Q19" s="691"/>
      <c r="R19" s="692" t="str">
        <f>'予選リーグ'!F25</f>
        <v>ＫＩＮＧＳ</v>
      </c>
      <c r="S19" s="695"/>
      <c r="T19" s="695"/>
      <c r="U19" s="244" t="s">
        <v>16</v>
      </c>
      <c r="V19" s="695" t="str">
        <f>'予選リーグ'!H25</f>
        <v>鶴岡Ｓ―ｐｌａｙ</v>
      </c>
      <c r="W19" s="695"/>
      <c r="X19" s="671"/>
      <c r="Y19" s="673" t="str">
        <f>'予選リーグ'!G25</f>
        <v>北郡坂ノ市</v>
      </c>
      <c r="Z19" s="674"/>
      <c r="AA19" s="675"/>
      <c r="AC19" s="686" t="s">
        <v>96</v>
      </c>
      <c r="AD19" s="688">
        <f>'予選リーグ'!B25</f>
        <v>0.5625</v>
      </c>
      <c r="AE19" s="688"/>
      <c r="AF19" s="690" t="s">
        <v>9</v>
      </c>
      <c r="AG19" s="691"/>
      <c r="AH19" s="672" t="str">
        <f>'予選リーグ'!I25</f>
        <v>横瀬</v>
      </c>
      <c r="AI19" s="672"/>
      <c r="AJ19" s="692"/>
      <c r="AK19" s="244" t="s">
        <v>16</v>
      </c>
      <c r="AL19" s="671" t="str">
        <f>'予選リーグ'!K25</f>
        <v>ＦＣ　ＵＮＩＴＥ</v>
      </c>
      <c r="AM19" s="672"/>
      <c r="AN19" s="672"/>
      <c r="AO19" s="673" t="str">
        <f>'予選リーグ'!J25</f>
        <v>大分トリニータ</v>
      </c>
      <c r="AP19" s="674"/>
      <c r="AQ19" s="693"/>
      <c r="AR19" s="694" t="s">
        <v>9</v>
      </c>
      <c r="AS19" s="691"/>
      <c r="AT19" s="672" t="str">
        <f>'予選リーグ'!L25</f>
        <v>ブルーウイング</v>
      </c>
      <c r="AU19" s="672"/>
      <c r="AV19" s="692"/>
      <c r="AW19" s="244" t="s">
        <v>16</v>
      </c>
      <c r="AX19" s="671" t="str">
        <f>'予選リーグ'!N25</f>
        <v>太陽ＳＣ大分西</v>
      </c>
      <c r="AY19" s="672"/>
      <c r="AZ19" s="672"/>
      <c r="BA19" s="673" t="str">
        <f>'予選リーグ'!M25</f>
        <v>ドリームキッズ</v>
      </c>
      <c r="BB19" s="674"/>
      <c r="BC19" s="675"/>
    </row>
    <row r="20" spans="1:55" s="245" customFormat="1" ht="54.75" customHeight="1">
      <c r="A20" s="687"/>
      <c r="B20" s="689"/>
      <c r="C20" s="689"/>
      <c r="D20" s="676" t="s">
        <v>519</v>
      </c>
      <c r="E20" s="677"/>
      <c r="F20" s="678">
        <v>0</v>
      </c>
      <c r="G20" s="679"/>
      <c r="H20" s="679"/>
      <c r="I20" s="246" t="s">
        <v>16</v>
      </c>
      <c r="J20" s="679">
        <v>2</v>
      </c>
      <c r="K20" s="679"/>
      <c r="L20" s="680"/>
      <c r="M20" s="681" t="str">
        <f>'予選リーグ'!D26</f>
        <v>明治</v>
      </c>
      <c r="N20" s="682"/>
      <c r="O20" s="683"/>
      <c r="P20" s="684" t="s">
        <v>519</v>
      </c>
      <c r="Q20" s="677"/>
      <c r="R20" s="678">
        <v>2</v>
      </c>
      <c r="S20" s="679"/>
      <c r="T20" s="679"/>
      <c r="U20" s="246" t="s">
        <v>16</v>
      </c>
      <c r="V20" s="679">
        <v>1</v>
      </c>
      <c r="W20" s="679"/>
      <c r="X20" s="680"/>
      <c r="Y20" s="681" t="str">
        <f>'予選リーグ'!G26</f>
        <v>日岡</v>
      </c>
      <c r="Z20" s="682"/>
      <c r="AA20" s="685"/>
      <c r="AC20" s="687"/>
      <c r="AD20" s="689"/>
      <c r="AE20" s="689"/>
      <c r="AF20" s="676" t="s">
        <v>519</v>
      </c>
      <c r="AG20" s="677"/>
      <c r="AH20" s="678">
        <v>5</v>
      </c>
      <c r="AI20" s="679"/>
      <c r="AJ20" s="679"/>
      <c r="AK20" s="246" t="s">
        <v>16</v>
      </c>
      <c r="AL20" s="679">
        <v>1</v>
      </c>
      <c r="AM20" s="679"/>
      <c r="AN20" s="680"/>
      <c r="AO20" s="681" t="str">
        <f>'予選リーグ'!J26</f>
        <v>ＦＣアリアーレ</v>
      </c>
      <c r="AP20" s="682"/>
      <c r="AQ20" s="683"/>
      <c r="AR20" s="684" t="s">
        <v>519</v>
      </c>
      <c r="AS20" s="677"/>
      <c r="AT20" s="678">
        <v>2</v>
      </c>
      <c r="AU20" s="679"/>
      <c r="AV20" s="679"/>
      <c r="AW20" s="246" t="s">
        <v>16</v>
      </c>
      <c r="AX20" s="679">
        <v>2</v>
      </c>
      <c r="AY20" s="679"/>
      <c r="AZ20" s="680"/>
      <c r="BA20" s="681" t="str">
        <f>'予選リーグ'!M26</f>
        <v>ＦＣ大野</v>
      </c>
      <c r="BB20" s="682"/>
      <c r="BC20" s="685"/>
    </row>
    <row r="21" spans="1:55" ht="54.75" customHeight="1">
      <c r="A21" s="686" t="s">
        <v>98</v>
      </c>
      <c r="B21" s="688">
        <f>'予選リーグ'!B29</f>
        <v>0.6041666666666666</v>
      </c>
      <c r="C21" s="688"/>
      <c r="D21" s="690" t="s">
        <v>9</v>
      </c>
      <c r="E21" s="691"/>
      <c r="F21" s="672" t="str">
        <f>'予選リーグ'!C29</f>
        <v>明治</v>
      </c>
      <c r="G21" s="672"/>
      <c r="H21" s="692"/>
      <c r="I21" s="244" t="s">
        <v>16</v>
      </c>
      <c r="J21" s="671" t="str">
        <f>'予選リーグ'!E29</f>
        <v>東　Ｆ．Ｃ．</v>
      </c>
      <c r="K21" s="672"/>
      <c r="L21" s="672"/>
      <c r="M21" s="673" t="str">
        <f>'予選リーグ'!D29</f>
        <v>スマイス　スポーツ</v>
      </c>
      <c r="N21" s="674"/>
      <c r="O21" s="693"/>
      <c r="P21" s="694" t="s">
        <v>9</v>
      </c>
      <c r="Q21" s="691"/>
      <c r="R21" s="692" t="str">
        <f>'予選リーグ'!F29</f>
        <v>日岡</v>
      </c>
      <c r="S21" s="695"/>
      <c r="T21" s="695"/>
      <c r="U21" s="244" t="s">
        <v>16</v>
      </c>
      <c r="V21" s="695" t="str">
        <f>'予選リーグ'!H29</f>
        <v>ＦＣ中津</v>
      </c>
      <c r="W21" s="695"/>
      <c r="X21" s="671"/>
      <c r="Y21" s="673" t="str">
        <f>'予選リーグ'!G29</f>
        <v>ＫＩＮＧＳ</v>
      </c>
      <c r="Z21" s="674"/>
      <c r="AA21" s="675"/>
      <c r="AC21" s="686" t="s">
        <v>98</v>
      </c>
      <c r="AD21" s="688">
        <f>'予選リーグ'!B29</f>
        <v>0.6041666666666666</v>
      </c>
      <c r="AE21" s="688"/>
      <c r="AF21" s="690" t="s">
        <v>9</v>
      </c>
      <c r="AG21" s="691"/>
      <c r="AH21" s="672" t="str">
        <f>'予選リーグ'!I29</f>
        <v>ＦＣアリアーレ</v>
      </c>
      <c r="AI21" s="672"/>
      <c r="AJ21" s="692"/>
      <c r="AK21" s="244" t="s">
        <v>16</v>
      </c>
      <c r="AL21" s="671" t="str">
        <f>'予選リーグ'!K29</f>
        <v>スマイス・セレソン</v>
      </c>
      <c r="AM21" s="672"/>
      <c r="AN21" s="672"/>
      <c r="AO21" s="673" t="str">
        <f>'予選リーグ'!J29</f>
        <v>横瀬</v>
      </c>
      <c r="AP21" s="674"/>
      <c r="AQ21" s="693"/>
      <c r="AR21" s="694" t="s">
        <v>9</v>
      </c>
      <c r="AS21" s="691"/>
      <c r="AT21" s="672" t="str">
        <f>'予選リーグ'!L29</f>
        <v>ＦＣ大野</v>
      </c>
      <c r="AU21" s="672"/>
      <c r="AV21" s="692"/>
      <c r="AW21" s="244" t="s">
        <v>16</v>
      </c>
      <c r="AX21" s="671" t="str">
        <f>'予選リーグ'!N29</f>
        <v>別保</v>
      </c>
      <c r="AY21" s="672"/>
      <c r="AZ21" s="672"/>
      <c r="BA21" s="673" t="str">
        <f>'予選リーグ'!M29</f>
        <v>ブルーウイング</v>
      </c>
      <c r="BB21" s="674"/>
      <c r="BC21" s="675"/>
    </row>
    <row r="22" spans="1:55" s="245" customFormat="1" ht="54.75" customHeight="1">
      <c r="A22" s="687"/>
      <c r="B22" s="689"/>
      <c r="C22" s="689"/>
      <c r="D22" s="676" t="s">
        <v>519</v>
      </c>
      <c r="E22" s="677"/>
      <c r="F22" s="678">
        <v>2</v>
      </c>
      <c r="G22" s="679"/>
      <c r="H22" s="679"/>
      <c r="I22" s="246" t="s">
        <v>16</v>
      </c>
      <c r="J22" s="679">
        <v>1</v>
      </c>
      <c r="K22" s="679"/>
      <c r="L22" s="680"/>
      <c r="M22" s="681" t="str">
        <f>'予選リーグ'!D30</f>
        <v>下毛ＦＣ</v>
      </c>
      <c r="N22" s="682"/>
      <c r="O22" s="683"/>
      <c r="P22" s="684" t="s">
        <v>519</v>
      </c>
      <c r="Q22" s="677"/>
      <c r="R22" s="678">
        <v>0</v>
      </c>
      <c r="S22" s="679"/>
      <c r="T22" s="679"/>
      <c r="U22" s="246" t="s">
        <v>16</v>
      </c>
      <c r="V22" s="679">
        <v>8</v>
      </c>
      <c r="W22" s="679"/>
      <c r="X22" s="680"/>
      <c r="Y22" s="681" t="str">
        <f>'予選リーグ'!G30</f>
        <v>鶴岡Ｓ―ｐｌａｙ</v>
      </c>
      <c r="Z22" s="682"/>
      <c r="AA22" s="685"/>
      <c r="AC22" s="687"/>
      <c r="AD22" s="689"/>
      <c r="AE22" s="689"/>
      <c r="AF22" s="676" t="s">
        <v>519</v>
      </c>
      <c r="AG22" s="677"/>
      <c r="AH22" s="678">
        <v>1</v>
      </c>
      <c r="AI22" s="679"/>
      <c r="AJ22" s="679"/>
      <c r="AK22" s="246" t="s">
        <v>16</v>
      </c>
      <c r="AL22" s="679">
        <v>5</v>
      </c>
      <c r="AM22" s="679"/>
      <c r="AN22" s="680"/>
      <c r="AO22" s="681" t="str">
        <f>'予選リーグ'!J30</f>
        <v>ＦＣ　ＵＮＩＴＥ</v>
      </c>
      <c r="AP22" s="682"/>
      <c r="AQ22" s="683"/>
      <c r="AR22" s="684" t="s">
        <v>519</v>
      </c>
      <c r="AS22" s="677"/>
      <c r="AT22" s="678">
        <v>1</v>
      </c>
      <c r="AU22" s="679"/>
      <c r="AV22" s="679"/>
      <c r="AW22" s="246" t="s">
        <v>16</v>
      </c>
      <c r="AX22" s="679">
        <v>2</v>
      </c>
      <c r="AY22" s="679"/>
      <c r="AZ22" s="680"/>
      <c r="BA22" s="681" t="str">
        <f>'予選リーグ'!M30</f>
        <v>太陽ＳＣ大分西</v>
      </c>
      <c r="BB22" s="682"/>
      <c r="BC22" s="685"/>
    </row>
    <row r="23" spans="1:55" ht="54.75" customHeight="1">
      <c r="A23" s="686" t="s">
        <v>100</v>
      </c>
      <c r="B23" s="688">
        <f>'予選リーグ'!B31</f>
        <v>0.6458333333333334</v>
      </c>
      <c r="C23" s="688"/>
      <c r="D23" s="690" t="s">
        <v>9</v>
      </c>
      <c r="E23" s="691"/>
      <c r="F23" s="672" t="str">
        <f>'予選リーグ'!C31</f>
        <v>下毛ＦＣ</v>
      </c>
      <c r="G23" s="672"/>
      <c r="H23" s="692"/>
      <c r="I23" s="244" t="s">
        <v>16</v>
      </c>
      <c r="J23" s="671" t="str">
        <f>'予選リーグ'!E31</f>
        <v>ＯＫＹ山香</v>
      </c>
      <c r="K23" s="672"/>
      <c r="L23" s="672"/>
      <c r="M23" s="673" t="str">
        <f>'予選リーグ'!D31</f>
        <v>明治</v>
      </c>
      <c r="N23" s="674"/>
      <c r="O23" s="693"/>
      <c r="P23" s="694" t="s">
        <v>9</v>
      </c>
      <c r="Q23" s="691"/>
      <c r="R23" s="692" t="str">
        <f>'予選リーグ'!F31</f>
        <v>鶴岡Ｓ―ｐｌａｙ</v>
      </c>
      <c r="S23" s="695"/>
      <c r="T23" s="695"/>
      <c r="U23" s="244" t="s">
        <v>16</v>
      </c>
      <c r="V23" s="695" t="str">
        <f>'予選リーグ'!H31</f>
        <v>中津沖代</v>
      </c>
      <c r="W23" s="695"/>
      <c r="X23" s="671"/>
      <c r="Y23" s="673" t="str">
        <f>'予選リーグ'!G31</f>
        <v>日岡</v>
      </c>
      <c r="Z23" s="674"/>
      <c r="AA23" s="675"/>
      <c r="AC23" s="686" t="s">
        <v>100</v>
      </c>
      <c r="AD23" s="688">
        <f>'予選リーグ'!B31</f>
        <v>0.6458333333333334</v>
      </c>
      <c r="AE23" s="688"/>
      <c r="AF23" s="690" t="s">
        <v>9</v>
      </c>
      <c r="AG23" s="691"/>
      <c r="AH23" s="672" t="str">
        <f>'予選リーグ'!I31</f>
        <v>ＦＣ　ＵＮＩＴＥ</v>
      </c>
      <c r="AI23" s="672"/>
      <c r="AJ23" s="692"/>
      <c r="AK23" s="244" t="s">
        <v>16</v>
      </c>
      <c r="AL23" s="671" t="str">
        <f>'予選リーグ'!K31</f>
        <v>市浜レッドソックス</v>
      </c>
      <c r="AM23" s="672"/>
      <c r="AN23" s="672"/>
      <c r="AO23" s="673" t="str">
        <f>'予選リーグ'!J31</f>
        <v>ＦＣアリアーレ</v>
      </c>
      <c r="AP23" s="674"/>
      <c r="AQ23" s="693"/>
      <c r="AR23" s="694" t="s">
        <v>9</v>
      </c>
      <c r="AS23" s="691"/>
      <c r="AT23" s="672" t="str">
        <f>'予選リーグ'!L31</f>
        <v>太陽ＳＣ大分西</v>
      </c>
      <c r="AU23" s="672"/>
      <c r="AV23" s="692"/>
      <c r="AW23" s="244" t="s">
        <v>16</v>
      </c>
      <c r="AX23" s="671" t="str">
        <f>'予選リーグ'!N31</f>
        <v>別府ＦＣ．ミネルバ</v>
      </c>
      <c r="AY23" s="672"/>
      <c r="AZ23" s="672"/>
      <c r="BA23" s="673" t="str">
        <f>'予選リーグ'!M31</f>
        <v>ＦＣ大野</v>
      </c>
      <c r="BB23" s="674"/>
      <c r="BC23" s="675"/>
    </row>
    <row r="24" spans="1:55" ht="54.75" customHeight="1">
      <c r="A24" s="687"/>
      <c r="B24" s="689"/>
      <c r="C24" s="689"/>
      <c r="D24" s="676" t="s">
        <v>519</v>
      </c>
      <c r="E24" s="677"/>
      <c r="F24" s="678">
        <v>4</v>
      </c>
      <c r="G24" s="679"/>
      <c r="H24" s="679"/>
      <c r="I24" s="246" t="s">
        <v>16</v>
      </c>
      <c r="J24" s="679">
        <v>0</v>
      </c>
      <c r="K24" s="679"/>
      <c r="L24" s="680"/>
      <c r="M24" s="681" t="str">
        <f>'予選リーグ'!D32</f>
        <v>東　Ｆ．Ｃ．</v>
      </c>
      <c r="N24" s="682"/>
      <c r="O24" s="683"/>
      <c r="P24" s="684" t="s">
        <v>519</v>
      </c>
      <c r="Q24" s="677"/>
      <c r="R24" s="678">
        <v>1</v>
      </c>
      <c r="S24" s="679"/>
      <c r="T24" s="679"/>
      <c r="U24" s="246" t="s">
        <v>16</v>
      </c>
      <c r="V24" s="679">
        <v>2</v>
      </c>
      <c r="W24" s="679"/>
      <c r="X24" s="680"/>
      <c r="Y24" s="681" t="str">
        <f>'予選リーグ'!G32</f>
        <v>ＦＣ中津</v>
      </c>
      <c r="Z24" s="682"/>
      <c r="AA24" s="685"/>
      <c r="AB24" s="245"/>
      <c r="AC24" s="687"/>
      <c r="AD24" s="689"/>
      <c r="AE24" s="689"/>
      <c r="AF24" s="676" t="s">
        <v>519</v>
      </c>
      <c r="AG24" s="677"/>
      <c r="AH24" s="678">
        <v>1</v>
      </c>
      <c r="AI24" s="679"/>
      <c r="AJ24" s="679"/>
      <c r="AK24" s="246" t="s">
        <v>16</v>
      </c>
      <c r="AL24" s="679">
        <v>1</v>
      </c>
      <c r="AM24" s="679"/>
      <c r="AN24" s="680"/>
      <c r="AO24" s="681" t="str">
        <f>'予選リーグ'!J32</f>
        <v>スマイス・セレソン</v>
      </c>
      <c r="AP24" s="682"/>
      <c r="AQ24" s="683"/>
      <c r="AR24" s="684" t="s">
        <v>519</v>
      </c>
      <c r="AS24" s="677"/>
      <c r="AT24" s="678">
        <v>1</v>
      </c>
      <c r="AU24" s="679"/>
      <c r="AV24" s="679"/>
      <c r="AW24" s="246" t="s">
        <v>16</v>
      </c>
      <c r="AX24" s="679">
        <v>0</v>
      </c>
      <c r="AY24" s="679"/>
      <c r="AZ24" s="680"/>
      <c r="BA24" s="681" t="str">
        <f>'予選リーグ'!M32</f>
        <v>別保</v>
      </c>
      <c r="BB24" s="682"/>
      <c r="BC24" s="685"/>
    </row>
    <row r="25" ht="14.25" customHeight="1"/>
    <row r="29" spans="1:55" ht="27.75" customHeight="1" hidden="1">
      <c r="A29" s="247"/>
      <c r="B29" s="248"/>
      <c r="C29" s="248"/>
      <c r="D29" s="249"/>
      <c r="E29" s="249"/>
      <c r="F29" s="232"/>
      <c r="G29" s="232"/>
      <c r="H29" s="232"/>
      <c r="I29" s="250"/>
      <c r="J29" s="232"/>
      <c r="K29" s="232"/>
      <c r="L29" s="232"/>
      <c r="M29" s="232"/>
      <c r="N29" s="232"/>
      <c r="O29" s="232"/>
      <c r="P29" s="249"/>
      <c r="Q29" s="249"/>
      <c r="R29" s="232"/>
      <c r="S29" s="232"/>
      <c r="T29" s="232"/>
      <c r="U29" s="250"/>
      <c r="V29" s="232"/>
      <c r="W29" s="232"/>
      <c r="X29" s="232"/>
      <c r="Y29" s="232"/>
      <c r="Z29" s="232"/>
      <c r="AA29" s="232"/>
      <c r="AC29" s="247"/>
      <c r="AD29" s="248"/>
      <c r="AE29" s="248"/>
      <c r="AF29" s="249"/>
      <c r="AG29" s="249"/>
      <c r="AH29" s="232"/>
      <c r="AI29" s="232"/>
      <c r="AJ29" s="232"/>
      <c r="AK29" s="250"/>
      <c r="AL29" s="232"/>
      <c r="AM29" s="232"/>
      <c r="AN29" s="232"/>
      <c r="AO29" s="232"/>
      <c r="AP29" s="232"/>
      <c r="AQ29" s="232"/>
      <c r="AR29" s="249"/>
      <c r="AS29" s="249"/>
      <c r="AT29" s="232"/>
      <c r="AU29" s="232"/>
      <c r="AV29" s="232"/>
      <c r="AW29" s="250"/>
      <c r="AX29" s="232"/>
      <c r="AY29" s="232"/>
      <c r="AZ29" s="232"/>
      <c r="BA29" s="232"/>
      <c r="BB29" s="232"/>
      <c r="BC29" s="232"/>
    </row>
    <row r="30" spans="1:55" ht="27.75" customHeight="1" hidden="1">
      <c r="A30" s="247"/>
      <c r="B30" s="248"/>
      <c r="C30" s="248"/>
      <c r="D30" s="251"/>
      <c r="E30" s="251"/>
      <c r="F30" s="251"/>
      <c r="G30" s="251"/>
      <c r="H30" s="251"/>
      <c r="I30" s="252"/>
      <c r="J30" s="251"/>
      <c r="K30" s="251"/>
      <c r="L30" s="251"/>
      <c r="M30" s="232"/>
      <c r="N30" s="232"/>
      <c r="O30" s="232"/>
      <c r="P30" s="251"/>
      <c r="Q30" s="251"/>
      <c r="R30" s="251"/>
      <c r="S30" s="251"/>
      <c r="T30" s="251"/>
      <c r="U30" s="252"/>
      <c r="V30" s="251"/>
      <c r="W30" s="251"/>
      <c r="X30" s="251"/>
      <c r="Y30" s="232"/>
      <c r="Z30" s="232"/>
      <c r="AA30" s="232"/>
      <c r="AC30" s="247"/>
      <c r="AD30" s="248"/>
      <c r="AE30" s="248"/>
      <c r="AF30" s="251"/>
      <c r="AG30" s="251"/>
      <c r="AH30" s="251"/>
      <c r="AI30" s="251"/>
      <c r="AJ30" s="251"/>
      <c r="AK30" s="252"/>
      <c r="AL30" s="251"/>
      <c r="AM30" s="251"/>
      <c r="AN30" s="251"/>
      <c r="AO30" s="232"/>
      <c r="AP30" s="232"/>
      <c r="AQ30" s="232"/>
      <c r="AR30" s="251"/>
      <c r="AS30" s="251"/>
      <c r="AT30" s="251"/>
      <c r="AU30" s="251"/>
      <c r="AV30" s="251"/>
      <c r="AW30" s="252"/>
      <c r="AX30" s="251"/>
      <c r="AY30" s="251"/>
      <c r="AZ30" s="251"/>
      <c r="BA30" s="232"/>
      <c r="BB30" s="232"/>
      <c r="BC30" s="232"/>
    </row>
    <row r="31" spans="1:55" ht="27.75" customHeight="1" hidden="1">
      <c r="A31" s="247"/>
      <c r="B31" s="248"/>
      <c r="C31" s="248"/>
      <c r="D31" s="249"/>
      <c r="E31" s="249"/>
      <c r="F31" s="232"/>
      <c r="G31" s="232"/>
      <c r="H31" s="232"/>
      <c r="I31" s="250"/>
      <c r="J31" s="232"/>
      <c r="K31" s="232"/>
      <c r="L31" s="232"/>
      <c r="M31" s="232"/>
      <c r="N31" s="232"/>
      <c r="O31" s="232"/>
      <c r="P31" s="249"/>
      <c r="Q31" s="249"/>
      <c r="R31" s="232"/>
      <c r="S31" s="232"/>
      <c r="T31" s="232"/>
      <c r="U31" s="250"/>
      <c r="V31" s="232"/>
      <c r="W31" s="232"/>
      <c r="X31" s="232"/>
      <c r="Y31" s="232"/>
      <c r="Z31" s="232"/>
      <c r="AA31" s="232"/>
      <c r="AC31" s="247"/>
      <c r="AD31" s="248"/>
      <c r="AE31" s="248"/>
      <c r="AF31" s="249"/>
      <c r="AG31" s="249"/>
      <c r="AH31" s="232"/>
      <c r="AI31" s="232"/>
      <c r="AJ31" s="232"/>
      <c r="AK31" s="250"/>
      <c r="AL31" s="232"/>
      <c r="AM31" s="232"/>
      <c r="AN31" s="232"/>
      <c r="AO31" s="232"/>
      <c r="AP31" s="232"/>
      <c r="AQ31" s="232"/>
      <c r="AR31" s="249"/>
      <c r="AS31" s="249"/>
      <c r="AT31" s="232"/>
      <c r="AU31" s="232"/>
      <c r="AV31" s="232"/>
      <c r="AW31" s="250"/>
      <c r="AX31" s="232"/>
      <c r="AY31" s="232"/>
      <c r="AZ31" s="232"/>
      <c r="BA31" s="232"/>
      <c r="BB31" s="232"/>
      <c r="BC31" s="232"/>
    </row>
    <row r="32" spans="1:55" ht="27.75" customHeight="1" hidden="1">
      <c r="A32" s="247"/>
      <c r="B32" s="248"/>
      <c r="C32" s="248"/>
      <c r="D32" s="251"/>
      <c r="E32" s="251"/>
      <c r="F32" s="251"/>
      <c r="G32" s="251"/>
      <c r="H32" s="251"/>
      <c r="I32" s="252"/>
      <c r="J32" s="251"/>
      <c r="K32" s="251"/>
      <c r="L32" s="251"/>
      <c r="M32" s="232"/>
      <c r="N32" s="232"/>
      <c r="O32" s="232"/>
      <c r="P32" s="251"/>
      <c r="Q32" s="251"/>
      <c r="R32" s="251"/>
      <c r="S32" s="251"/>
      <c r="T32" s="251"/>
      <c r="U32" s="252"/>
      <c r="V32" s="251"/>
      <c r="W32" s="251"/>
      <c r="X32" s="251"/>
      <c r="Y32" s="232"/>
      <c r="Z32" s="232"/>
      <c r="AA32" s="232"/>
      <c r="AC32" s="247"/>
      <c r="AD32" s="248"/>
      <c r="AE32" s="248"/>
      <c r="AF32" s="251"/>
      <c r="AG32" s="251"/>
      <c r="AH32" s="251"/>
      <c r="AI32" s="251"/>
      <c r="AJ32" s="251"/>
      <c r="AK32" s="252"/>
      <c r="AL32" s="251"/>
      <c r="AM32" s="251"/>
      <c r="AN32" s="251"/>
      <c r="AO32" s="232"/>
      <c r="AP32" s="232"/>
      <c r="AQ32" s="232"/>
      <c r="AR32" s="251"/>
      <c r="AS32" s="251"/>
      <c r="AT32" s="251"/>
      <c r="AU32" s="251"/>
      <c r="AV32" s="251"/>
      <c r="AW32" s="252"/>
      <c r="AX32" s="251"/>
      <c r="AY32" s="251"/>
      <c r="AZ32" s="251"/>
      <c r="BA32" s="232"/>
      <c r="BB32" s="232"/>
      <c r="BC32" s="232"/>
    </row>
    <row r="33" spans="1:55" ht="27.75" customHeight="1" hidden="1">
      <c r="A33" s="247"/>
      <c r="B33" s="248"/>
      <c r="C33" s="248"/>
      <c r="D33" s="249"/>
      <c r="E33" s="249"/>
      <c r="F33" s="232"/>
      <c r="G33" s="232"/>
      <c r="H33" s="232"/>
      <c r="I33" s="250"/>
      <c r="J33" s="232"/>
      <c r="K33" s="232"/>
      <c r="L33" s="232"/>
      <c r="M33" s="232"/>
      <c r="N33" s="232"/>
      <c r="O33" s="232"/>
      <c r="P33" s="249"/>
      <c r="Q33" s="249"/>
      <c r="R33" s="232"/>
      <c r="S33" s="232"/>
      <c r="T33" s="232"/>
      <c r="U33" s="250"/>
      <c r="V33" s="232"/>
      <c r="W33" s="232"/>
      <c r="X33" s="232"/>
      <c r="Y33" s="232"/>
      <c r="Z33" s="232"/>
      <c r="AA33" s="232"/>
      <c r="AC33" s="247"/>
      <c r="AD33" s="248"/>
      <c r="AE33" s="248"/>
      <c r="AF33" s="249"/>
      <c r="AG33" s="249"/>
      <c r="AH33" s="232"/>
      <c r="AI33" s="232"/>
      <c r="AJ33" s="232"/>
      <c r="AK33" s="250"/>
      <c r="AL33" s="232"/>
      <c r="AM33" s="232"/>
      <c r="AN33" s="232"/>
      <c r="AO33" s="232"/>
      <c r="AP33" s="232"/>
      <c r="AQ33" s="232"/>
      <c r="AR33" s="249"/>
      <c r="AS33" s="249"/>
      <c r="AT33" s="232"/>
      <c r="AU33" s="232"/>
      <c r="AV33" s="232"/>
      <c r="AW33" s="250"/>
      <c r="AX33" s="232"/>
      <c r="AY33" s="232"/>
      <c r="AZ33" s="232"/>
      <c r="BA33" s="232"/>
      <c r="BB33" s="232"/>
      <c r="BC33" s="232"/>
    </row>
    <row r="34" spans="1:55" ht="27.75" customHeight="1" hidden="1">
      <c r="A34" s="247"/>
      <c r="B34" s="248"/>
      <c r="C34" s="248"/>
      <c r="D34" s="251"/>
      <c r="E34" s="251"/>
      <c r="F34" s="251"/>
      <c r="G34" s="251"/>
      <c r="H34" s="251"/>
      <c r="I34" s="252"/>
      <c r="J34" s="251"/>
      <c r="K34" s="251"/>
      <c r="L34" s="251"/>
      <c r="M34" s="232"/>
      <c r="N34" s="232"/>
      <c r="O34" s="232"/>
      <c r="P34" s="251"/>
      <c r="Q34" s="251"/>
      <c r="R34" s="251"/>
      <c r="S34" s="251"/>
      <c r="T34" s="251"/>
      <c r="U34" s="252"/>
      <c r="V34" s="251"/>
      <c r="W34" s="251"/>
      <c r="X34" s="251"/>
      <c r="Y34" s="232"/>
      <c r="Z34" s="232"/>
      <c r="AA34" s="232"/>
      <c r="AC34" s="247"/>
      <c r="AD34" s="248"/>
      <c r="AE34" s="248"/>
      <c r="AF34" s="251"/>
      <c r="AG34" s="251"/>
      <c r="AH34" s="251"/>
      <c r="AI34" s="251"/>
      <c r="AJ34" s="251"/>
      <c r="AK34" s="252"/>
      <c r="AL34" s="251"/>
      <c r="AM34" s="251"/>
      <c r="AN34" s="251"/>
      <c r="AO34" s="232"/>
      <c r="AP34" s="232"/>
      <c r="AQ34" s="232"/>
      <c r="AR34" s="251"/>
      <c r="AS34" s="251"/>
      <c r="AT34" s="251"/>
      <c r="AU34" s="251"/>
      <c r="AV34" s="251"/>
      <c r="AW34" s="252"/>
      <c r="AX34" s="251"/>
      <c r="AY34" s="251"/>
      <c r="AZ34" s="251"/>
      <c r="BA34" s="232"/>
      <c r="BB34" s="232"/>
      <c r="BC34" s="232"/>
    </row>
    <row r="35" spans="1:55" ht="27.75" customHeight="1" hidden="1">
      <c r="A35" s="247"/>
      <c r="B35" s="248"/>
      <c r="C35" s="248"/>
      <c r="D35" s="249"/>
      <c r="E35" s="249"/>
      <c r="F35" s="232"/>
      <c r="G35" s="232"/>
      <c r="H35" s="232"/>
      <c r="I35" s="250"/>
      <c r="J35" s="232"/>
      <c r="K35" s="232"/>
      <c r="L35" s="232"/>
      <c r="M35" s="232"/>
      <c r="N35" s="232"/>
      <c r="O35" s="232"/>
      <c r="P35" s="249"/>
      <c r="Q35" s="249"/>
      <c r="R35" s="232"/>
      <c r="S35" s="232"/>
      <c r="T35" s="232"/>
      <c r="U35" s="250"/>
      <c r="V35" s="232"/>
      <c r="W35" s="232"/>
      <c r="X35" s="232"/>
      <c r="Y35" s="232"/>
      <c r="Z35" s="232"/>
      <c r="AA35" s="232"/>
      <c r="AC35" s="247"/>
      <c r="AD35" s="248"/>
      <c r="AE35" s="248"/>
      <c r="AF35" s="249"/>
      <c r="AG35" s="249"/>
      <c r="AH35" s="232"/>
      <c r="AI35" s="232"/>
      <c r="AJ35" s="232"/>
      <c r="AK35" s="250"/>
      <c r="AL35" s="232"/>
      <c r="AM35" s="232"/>
      <c r="AN35" s="232"/>
      <c r="AO35" s="232"/>
      <c r="AP35" s="232"/>
      <c r="AQ35" s="232"/>
      <c r="AR35" s="249"/>
      <c r="AS35" s="249"/>
      <c r="AT35" s="232"/>
      <c r="AU35" s="232"/>
      <c r="AV35" s="232"/>
      <c r="AW35" s="250"/>
      <c r="AX35" s="232"/>
      <c r="AY35" s="232"/>
      <c r="AZ35" s="232"/>
      <c r="BA35" s="232"/>
      <c r="BB35" s="232"/>
      <c r="BC35" s="232"/>
    </row>
    <row r="36" spans="1:55" ht="27.75" customHeight="1" hidden="1">
      <c r="A36" s="247"/>
      <c r="B36" s="248"/>
      <c r="C36" s="248"/>
      <c r="D36" s="251"/>
      <c r="E36" s="251"/>
      <c r="F36" s="251"/>
      <c r="G36" s="251"/>
      <c r="H36" s="251"/>
      <c r="I36" s="252"/>
      <c r="J36" s="251"/>
      <c r="K36" s="251"/>
      <c r="L36" s="251"/>
      <c r="M36" s="232"/>
      <c r="N36" s="232"/>
      <c r="O36" s="232"/>
      <c r="P36" s="251"/>
      <c r="Q36" s="251"/>
      <c r="R36" s="251"/>
      <c r="S36" s="251"/>
      <c r="T36" s="251"/>
      <c r="U36" s="252"/>
      <c r="V36" s="251"/>
      <c r="W36" s="251"/>
      <c r="X36" s="251"/>
      <c r="Y36" s="232"/>
      <c r="Z36" s="232"/>
      <c r="AA36" s="232"/>
      <c r="AC36" s="247"/>
      <c r="AD36" s="248"/>
      <c r="AE36" s="248"/>
      <c r="AF36" s="251"/>
      <c r="AG36" s="251"/>
      <c r="AH36" s="251"/>
      <c r="AI36" s="251"/>
      <c r="AJ36" s="251"/>
      <c r="AK36" s="252"/>
      <c r="AL36" s="251"/>
      <c r="AM36" s="251"/>
      <c r="AN36" s="251"/>
      <c r="AO36" s="232"/>
      <c r="AP36" s="232"/>
      <c r="AQ36" s="232"/>
      <c r="AR36" s="251"/>
      <c r="AS36" s="251"/>
      <c r="AT36" s="251"/>
      <c r="AU36" s="251"/>
      <c r="AV36" s="251"/>
      <c r="AW36" s="252"/>
      <c r="AX36" s="251"/>
      <c r="AY36" s="251"/>
      <c r="AZ36" s="251"/>
      <c r="BA36" s="232"/>
      <c r="BB36" s="232"/>
      <c r="BC36" s="232"/>
    </row>
    <row r="37" spans="1:55" ht="27.75" customHeight="1" hidden="1">
      <c r="A37" s="247"/>
      <c r="B37" s="248"/>
      <c r="C37" s="248"/>
      <c r="D37" s="249"/>
      <c r="E37" s="249"/>
      <c r="F37" s="232"/>
      <c r="G37" s="232"/>
      <c r="H37" s="232"/>
      <c r="I37" s="250"/>
      <c r="J37" s="232"/>
      <c r="K37" s="232"/>
      <c r="L37" s="232"/>
      <c r="M37" s="232"/>
      <c r="N37" s="232"/>
      <c r="O37" s="232"/>
      <c r="P37" s="249"/>
      <c r="Q37" s="249"/>
      <c r="R37" s="232"/>
      <c r="S37" s="232"/>
      <c r="T37" s="232"/>
      <c r="U37" s="250"/>
      <c r="V37" s="232"/>
      <c r="W37" s="232"/>
      <c r="X37" s="232"/>
      <c r="Y37" s="232"/>
      <c r="Z37" s="232"/>
      <c r="AA37" s="232"/>
      <c r="AC37" s="247"/>
      <c r="AD37" s="248"/>
      <c r="AE37" s="248"/>
      <c r="AF37" s="249"/>
      <c r="AG37" s="249"/>
      <c r="AH37" s="232"/>
      <c r="AI37" s="232"/>
      <c r="AJ37" s="232"/>
      <c r="AK37" s="250"/>
      <c r="AL37" s="232"/>
      <c r="AM37" s="232"/>
      <c r="AN37" s="232"/>
      <c r="AO37" s="232"/>
      <c r="AP37" s="232"/>
      <c r="AQ37" s="232"/>
      <c r="AR37" s="249"/>
      <c r="AS37" s="249"/>
      <c r="AT37" s="232"/>
      <c r="AU37" s="232"/>
      <c r="AV37" s="232"/>
      <c r="AW37" s="250"/>
      <c r="AX37" s="232"/>
      <c r="AY37" s="232"/>
      <c r="AZ37" s="232"/>
      <c r="BA37" s="232"/>
      <c r="BB37" s="232"/>
      <c r="BC37" s="232"/>
    </row>
    <row r="38" spans="1:55" ht="27.75" customHeight="1" hidden="1">
      <c r="A38" s="247"/>
      <c r="B38" s="248"/>
      <c r="C38" s="248"/>
      <c r="D38" s="251"/>
      <c r="E38" s="251"/>
      <c r="F38" s="251"/>
      <c r="G38" s="251"/>
      <c r="H38" s="251"/>
      <c r="I38" s="252"/>
      <c r="J38" s="251"/>
      <c r="K38" s="251"/>
      <c r="L38" s="251"/>
      <c r="M38" s="232"/>
      <c r="N38" s="232"/>
      <c r="O38" s="232"/>
      <c r="P38" s="251"/>
      <c r="Q38" s="251"/>
      <c r="R38" s="251"/>
      <c r="S38" s="251"/>
      <c r="T38" s="251"/>
      <c r="U38" s="252"/>
      <c r="V38" s="251"/>
      <c r="W38" s="251"/>
      <c r="X38" s="251"/>
      <c r="Y38" s="232"/>
      <c r="Z38" s="232"/>
      <c r="AA38" s="232"/>
      <c r="AC38" s="247"/>
      <c r="AD38" s="248"/>
      <c r="AE38" s="248"/>
      <c r="AF38" s="251"/>
      <c r="AG38" s="251"/>
      <c r="AH38" s="251"/>
      <c r="AI38" s="251"/>
      <c r="AJ38" s="251"/>
      <c r="AK38" s="252"/>
      <c r="AL38" s="251"/>
      <c r="AM38" s="251"/>
      <c r="AN38" s="251"/>
      <c r="AO38" s="232"/>
      <c r="AP38" s="232"/>
      <c r="AQ38" s="232"/>
      <c r="AR38" s="251"/>
      <c r="AS38" s="251"/>
      <c r="AT38" s="251"/>
      <c r="AU38" s="251"/>
      <c r="AV38" s="251"/>
      <c r="AW38" s="252"/>
      <c r="AX38" s="251"/>
      <c r="AY38" s="251"/>
      <c r="AZ38" s="251"/>
      <c r="BA38" s="232"/>
      <c r="BB38" s="232"/>
      <c r="BC38" s="232"/>
    </row>
    <row r="39" spans="1:55" ht="27.75" customHeight="1" hidden="1">
      <c r="A39" s="247"/>
      <c r="B39" s="248"/>
      <c r="C39" s="248"/>
      <c r="D39" s="249"/>
      <c r="E39" s="249"/>
      <c r="F39" s="232"/>
      <c r="G39" s="232"/>
      <c r="H39" s="232"/>
      <c r="I39" s="250"/>
      <c r="J39" s="232"/>
      <c r="K39" s="232"/>
      <c r="L39" s="232"/>
      <c r="M39" s="232"/>
      <c r="N39" s="232"/>
      <c r="O39" s="232"/>
      <c r="P39" s="249"/>
      <c r="Q39" s="249"/>
      <c r="R39" s="232"/>
      <c r="S39" s="232"/>
      <c r="T39" s="232"/>
      <c r="U39" s="250"/>
      <c r="V39" s="232"/>
      <c r="W39" s="232"/>
      <c r="X39" s="232"/>
      <c r="Y39" s="232"/>
      <c r="Z39" s="232"/>
      <c r="AA39" s="232"/>
      <c r="AC39" s="247"/>
      <c r="AD39" s="248"/>
      <c r="AE39" s="248"/>
      <c r="AF39" s="249"/>
      <c r="AG39" s="249"/>
      <c r="AH39" s="232"/>
      <c r="AI39" s="232"/>
      <c r="AJ39" s="232"/>
      <c r="AK39" s="250"/>
      <c r="AL39" s="232"/>
      <c r="AM39" s="232"/>
      <c r="AN39" s="232"/>
      <c r="AO39" s="232"/>
      <c r="AP39" s="232"/>
      <c r="AQ39" s="232"/>
      <c r="AR39" s="249"/>
      <c r="AS39" s="249"/>
      <c r="AT39" s="232"/>
      <c r="AU39" s="232"/>
      <c r="AV39" s="232"/>
      <c r="AW39" s="250"/>
      <c r="AX39" s="232"/>
      <c r="AY39" s="232"/>
      <c r="AZ39" s="232"/>
      <c r="BA39" s="232"/>
      <c r="BB39" s="232"/>
      <c r="BC39" s="232"/>
    </row>
    <row r="40" spans="1:55" ht="27.75" customHeight="1" hidden="1">
      <c r="A40" s="247"/>
      <c r="B40" s="248"/>
      <c r="C40" s="248"/>
      <c r="D40" s="251"/>
      <c r="E40" s="251"/>
      <c r="F40" s="251"/>
      <c r="G40" s="251"/>
      <c r="H40" s="251"/>
      <c r="I40" s="252"/>
      <c r="J40" s="251"/>
      <c r="K40" s="251"/>
      <c r="L40" s="251"/>
      <c r="M40" s="232"/>
      <c r="N40" s="232"/>
      <c r="O40" s="232"/>
      <c r="P40" s="251"/>
      <c r="Q40" s="251"/>
      <c r="R40" s="251"/>
      <c r="S40" s="251"/>
      <c r="T40" s="251"/>
      <c r="U40" s="252"/>
      <c r="V40" s="251"/>
      <c r="W40" s="251"/>
      <c r="X40" s="251"/>
      <c r="Y40" s="232"/>
      <c r="Z40" s="232"/>
      <c r="AA40" s="232"/>
      <c r="AC40" s="247"/>
      <c r="AD40" s="248"/>
      <c r="AE40" s="248"/>
      <c r="AF40" s="251"/>
      <c r="AG40" s="251"/>
      <c r="AH40" s="251"/>
      <c r="AI40" s="251"/>
      <c r="AJ40" s="251"/>
      <c r="AK40" s="252"/>
      <c r="AL40" s="251"/>
      <c r="AM40" s="251"/>
      <c r="AN40" s="251"/>
      <c r="AO40" s="232"/>
      <c r="AP40" s="232"/>
      <c r="AQ40" s="232"/>
      <c r="AR40" s="251"/>
      <c r="AS40" s="251"/>
      <c r="AT40" s="251"/>
      <c r="AU40" s="251"/>
      <c r="AV40" s="251"/>
      <c r="AW40" s="252"/>
      <c r="AX40" s="251"/>
      <c r="AY40" s="251"/>
      <c r="AZ40" s="251"/>
      <c r="BA40" s="232"/>
      <c r="BB40" s="232"/>
      <c r="BC40" s="232"/>
    </row>
    <row r="42" spans="14:26" ht="13.5">
      <c r="N42" s="253"/>
      <c r="O42" s="253"/>
      <c r="P42" s="253"/>
      <c r="Q42" s="253"/>
      <c r="R42" s="253"/>
      <c r="S42" s="253"/>
      <c r="T42" s="253"/>
      <c r="U42" s="253"/>
      <c r="V42" s="253"/>
      <c r="W42" s="253"/>
      <c r="X42" s="253"/>
      <c r="Y42" s="253"/>
      <c r="Z42" s="253"/>
    </row>
    <row r="43" spans="6:56" ht="13.5">
      <c r="F43" s="254" t="s">
        <v>522</v>
      </c>
      <c r="G43" s="255" t="s">
        <v>523</v>
      </c>
      <c r="H43" s="256">
        <v>3</v>
      </c>
      <c r="J43" s="257" t="s">
        <v>524</v>
      </c>
      <c r="K43" s="256">
        <v>1</v>
      </c>
      <c r="M43" s="257" t="s">
        <v>525</v>
      </c>
      <c r="N43" s="256">
        <v>0</v>
      </c>
      <c r="P43" s="224"/>
      <c r="Q43" s="224"/>
      <c r="R43" s="253"/>
      <c r="S43" s="253"/>
      <c r="T43" s="253"/>
      <c r="U43" s="253"/>
      <c r="V43" s="253"/>
      <c r="W43" s="253"/>
      <c r="X43" s="253"/>
      <c r="Y43" s="253"/>
      <c r="Z43" s="253"/>
      <c r="AA43" s="253"/>
      <c r="AB43" s="225"/>
      <c r="AC43" s="225"/>
      <c r="AD43" s="225"/>
      <c r="AE43" s="225"/>
      <c r="AF43" s="225"/>
      <c r="AG43" s="225"/>
      <c r="AH43" s="254" t="s">
        <v>522</v>
      </c>
      <c r="AI43" s="255" t="s">
        <v>523</v>
      </c>
      <c r="AJ43" s="256">
        <v>3</v>
      </c>
      <c r="AK43" s="225"/>
      <c r="AL43" s="257" t="s">
        <v>524</v>
      </c>
      <c r="AM43" s="256">
        <v>1</v>
      </c>
      <c r="AN43" s="225"/>
      <c r="AO43" s="257" t="s">
        <v>525</v>
      </c>
      <c r="AP43" s="256">
        <v>0</v>
      </c>
      <c r="AQ43" s="225"/>
      <c r="AT43" s="253"/>
      <c r="AU43" s="253"/>
      <c r="AV43" s="253"/>
      <c r="AW43" s="253"/>
      <c r="AX43" s="253"/>
      <c r="AY43" s="253"/>
      <c r="AZ43" s="253"/>
      <c r="BA43" s="253"/>
      <c r="BB43" s="253"/>
      <c r="BC43" s="253"/>
      <c r="BD43" s="225"/>
    </row>
    <row r="44" spans="28:56" ht="13.5">
      <c r="AB44" s="225"/>
      <c r="AC44" s="225"/>
      <c r="AD44" s="225"/>
      <c r="AE44" s="225"/>
      <c r="AF44" s="225"/>
      <c r="AG44" s="225"/>
      <c r="AH44" s="225"/>
      <c r="AI44" s="225"/>
      <c r="AJ44" s="225"/>
      <c r="AK44" s="225"/>
      <c r="AL44" s="225"/>
      <c r="AM44" s="225"/>
      <c r="AN44" s="225"/>
      <c r="AO44" s="225"/>
      <c r="AP44" s="225"/>
      <c r="AQ44" s="225"/>
      <c r="AR44" s="225"/>
      <c r="AS44" s="225"/>
      <c r="AT44" s="225"/>
      <c r="AU44" s="225"/>
      <c r="AV44" s="225"/>
      <c r="AW44" s="225"/>
      <c r="AX44" s="225"/>
      <c r="AY44" s="225"/>
      <c r="AZ44" s="225"/>
      <c r="BA44" s="225"/>
      <c r="BB44" s="225"/>
      <c r="BC44" s="225"/>
      <c r="BD44" s="225"/>
    </row>
    <row r="45" spans="1:54" ht="53.25" customHeight="1">
      <c r="A45" s="650" t="s">
        <v>526</v>
      </c>
      <c r="B45" s="651"/>
      <c r="C45" s="652"/>
      <c r="D45" s="653" t="str">
        <f>A46</f>
        <v>東　Ｆ．Ｃ．</v>
      </c>
      <c r="E45" s="654"/>
      <c r="F45" s="654"/>
      <c r="G45" s="654" t="str">
        <f>A48</f>
        <v>リノス</v>
      </c>
      <c r="H45" s="654"/>
      <c r="I45" s="654"/>
      <c r="J45" s="654" t="str">
        <f>A50</f>
        <v>明治</v>
      </c>
      <c r="K45" s="654"/>
      <c r="L45" s="654"/>
      <c r="M45" s="258" t="s">
        <v>523</v>
      </c>
      <c r="N45" s="259" t="s">
        <v>524</v>
      </c>
      <c r="O45" s="260" t="s">
        <v>527</v>
      </c>
      <c r="P45" s="259" t="s">
        <v>528</v>
      </c>
      <c r="Q45" s="259" t="s">
        <v>529</v>
      </c>
      <c r="R45" s="259" t="s">
        <v>530</v>
      </c>
      <c r="S45" s="655" t="s">
        <v>531</v>
      </c>
      <c r="T45" s="656"/>
      <c r="U45" s="655" t="s">
        <v>532</v>
      </c>
      <c r="V45" s="656"/>
      <c r="W45" s="655" t="s">
        <v>533</v>
      </c>
      <c r="X45" s="656"/>
      <c r="Y45" s="657" t="s">
        <v>534</v>
      </c>
      <c r="Z45" s="658"/>
      <c r="AA45" s="224"/>
      <c r="AB45" s="226"/>
      <c r="AC45" s="650" t="s">
        <v>535</v>
      </c>
      <c r="AD45" s="651"/>
      <c r="AE45" s="652"/>
      <c r="AF45" s="653" t="str">
        <f>AC46</f>
        <v>スマイス・セレソン</v>
      </c>
      <c r="AG45" s="654"/>
      <c r="AH45" s="654"/>
      <c r="AI45" s="654" t="str">
        <f>AC48</f>
        <v>大分トリニータ</v>
      </c>
      <c r="AJ45" s="654"/>
      <c r="AK45" s="654"/>
      <c r="AL45" s="654" t="str">
        <f>AC50</f>
        <v>ＦＣアリアーレ</v>
      </c>
      <c r="AM45" s="654"/>
      <c r="AN45" s="654"/>
      <c r="AO45" s="258" t="s">
        <v>523</v>
      </c>
      <c r="AP45" s="259" t="s">
        <v>524</v>
      </c>
      <c r="AQ45" s="260" t="s">
        <v>527</v>
      </c>
      <c r="AR45" s="259" t="s">
        <v>528</v>
      </c>
      <c r="AS45" s="259" t="s">
        <v>529</v>
      </c>
      <c r="AT45" s="259" t="s">
        <v>530</v>
      </c>
      <c r="AU45" s="655" t="s">
        <v>531</v>
      </c>
      <c r="AV45" s="656"/>
      <c r="AW45" s="655" t="s">
        <v>532</v>
      </c>
      <c r="AX45" s="656"/>
      <c r="AY45" s="655" t="s">
        <v>533</v>
      </c>
      <c r="AZ45" s="656"/>
      <c r="BA45" s="657" t="s">
        <v>534</v>
      </c>
      <c r="BB45" s="658"/>
    </row>
    <row r="46" spans="1:54" ht="26.25" customHeight="1">
      <c r="A46" s="646" t="str">
        <f>'予選リーグ'!D5</f>
        <v>東　Ｆ．Ｃ．</v>
      </c>
      <c r="B46" s="647" t="s">
        <v>536</v>
      </c>
      <c r="C46" s="648"/>
      <c r="D46" s="261"/>
      <c r="E46" s="262"/>
      <c r="F46" s="263"/>
      <c r="G46" s="264"/>
      <c r="H46" s="244" t="str">
        <f>IF(G47="","",IF(G47&gt;I47,"○",IF(G47&lt;I47,"●",IF(G47=I47,"△"))))</f>
        <v>○</v>
      </c>
      <c r="I46" s="265"/>
      <c r="J46" s="244"/>
      <c r="K46" s="244" t="str">
        <f>IF(J47="","",IF(J47&gt;L47,"○",IF(J47&lt;L47,"●",IF(J47=L47,"△"))))</f>
        <v>●</v>
      </c>
      <c r="L46" s="265"/>
      <c r="M46" s="661">
        <f>COUNTIF(D46:L46,"○")</f>
        <v>1</v>
      </c>
      <c r="N46" s="639">
        <f>COUNTIF(D46:L46,"△")</f>
        <v>0</v>
      </c>
      <c r="O46" s="639">
        <f>COUNTIF(D46:L46,"●")</f>
        <v>1</v>
      </c>
      <c r="P46" s="662">
        <f>SUM(D47,G47,J47)</f>
        <v>4</v>
      </c>
      <c r="Q46" s="662">
        <f>SUM(F47,I47,L47)</f>
        <v>4</v>
      </c>
      <c r="R46" s="639">
        <f>(M46*4)+(N46*1)</f>
        <v>4</v>
      </c>
      <c r="S46" s="663">
        <f>RANK(R46,R$46:R$51)</f>
        <v>2</v>
      </c>
      <c r="T46" s="664" t="s">
        <v>537</v>
      </c>
      <c r="U46" s="665">
        <f>P46-Q46</f>
        <v>0</v>
      </c>
      <c r="V46" s="666"/>
      <c r="W46" s="667">
        <f>RANK(U46,U$46:U$51)</f>
        <v>2</v>
      </c>
      <c r="X46" s="668" t="s">
        <v>537</v>
      </c>
      <c r="Y46" s="669">
        <v>2</v>
      </c>
      <c r="Z46" s="670"/>
      <c r="AA46" s="224"/>
      <c r="AC46" s="646" t="str">
        <f>'予選リーグ'!J5</f>
        <v>スマイス・セレソン</v>
      </c>
      <c r="AD46" s="647" t="s">
        <v>536</v>
      </c>
      <c r="AE46" s="648"/>
      <c r="AF46" s="266"/>
      <c r="AG46" s="266"/>
      <c r="AH46" s="267"/>
      <c r="AI46" s="264"/>
      <c r="AJ46" s="244" t="str">
        <f>IF(AI47="","",IF(AI47&gt;AK47,"○",IF(AI47&lt;AK47,"●",IF(AI47=AK47,"△"))))</f>
        <v>●</v>
      </c>
      <c r="AK46" s="265"/>
      <c r="AL46" s="244"/>
      <c r="AM46" s="244" t="str">
        <f>IF(AL47="","",IF(AL47&gt;AN47,"○",IF(AL47&lt;AN47,"●",IF(AL47=AN47,"△"))))</f>
        <v>○</v>
      </c>
      <c r="AN46" s="265"/>
      <c r="AO46" s="649">
        <f>COUNTIF(AF46:AN46,"○")</f>
        <v>1</v>
      </c>
      <c r="AP46" s="604">
        <f>COUNTIF(AF46:AN46,"△")</f>
        <v>0</v>
      </c>
      <c r="AQ46" s="604">
        <f>COUNTIF(AF46:AN46,"●")</f>
        <v>1</v>
      </c>
      <c r="AR46" s="638">
        <f>SUM(AF47,AI47,AL47)</f>
        <v>5</v>
      </c>
      <c r="AS46" s="638">
        <f>SUM(AH47,AK47,AN47)</f>
        <v>4</v>
      </c>
      <c r="AT46" s="639">
        <f>(AO46*4)+(AP46*1)</f>
        <v>4</v>
      </c>
      <c r="AU46" s="640">
        <f>RANK(AT46,AT$46:AT$51)</f>
        <v>2</v>
      </c>
      <c r="AV46" s="641" t="s">
        <v>537</v>
      </c>
      <c r="AW46" s="642">
        <f>AR46-AS46</f>
        <v>1</v>
      </c>
      <c r="AX46" s="643"/>
      <c r="AY46" s="644">
        <f>RANK(AW46,AW$46:AW$51)</f>
        <v>2</v>
      </c>
      <c r="AZ46" s="645" t="s">
        <v>537</v>
      </c>
      <c r="BA46" s="633">
        <v>2</v>
      </c>
      <c r="BB46" s="634"/>
    </row>
    <row r="47" spans="1:54" ht="26.25" customHeight="1">
      <c r="A47" s="635"/>
      <c r="B47" s="631" t="s">
        <v>519</v>
      </c>
      <c r="C47" s="632"/>
      <c r="D47" s="269"/>
      <c r="E47" s="270"/>
      <c r="F47" s="271"/>
      <c r="G47" s="268">
        <f>F14</f>
        <v>3</v>
      </c>
      <c r="H47" s="272" t="s">
        <v>16</v>
      </c>
      <c r="I47" s="273">
        <f>J14</f>
        <v>2</v>
      </c>
      <c r="J47" s="274">
        <f>J22</f>
        <v>1</v>
      </c>
      <c r="K47" s="275" t="s">
        <v>16</v>
      </c>
      <c r="L47" s="273">
        <f>F22</f>
        <v>2</v>
      </c>
      <c r="M47" s="636"/>
      <c r="N47" s="627"/>
      <c r="O47" s="627"/>
      <c r="P47" s="637"/>
      <c r="Q47" s="637"/>
      <c r="R47" s="627"/>
      <c r="S47" s="605"/>
      <c r="T47" s="607"/>
      <c r="U47" s="628"/>
      <c r="V47" s="629"/>
      <c r="W47" s="613"/>
      <c r="X47" s="630"/>
      <c r="Y47" s="617"/>
      <c r="Z47" s="618"/>
      <c r="AA47" s="224"/>
      <c r="AC47" s="635"/>
      <c r="AD47" s="631" t="s">
        <v>519</v>
      </c>
      <c r="AE47" s="632"/>
      <c r="AF47" s="276"/>
      <c r="AG47" s="270"/>
      <c r="AH47" s="271"/>
      <c r="AI47" s="268">
        <f>AH14</f>
        <v>0</v>
      </c>
      <c r="AJ47" s="272" t="s">
        <v>16</v>
      </c>
      <c r="AK47" s="273">
        <f>AL14</f>
        <v>3</v>
      </c>
      <c r="AL47" s="274">
        <f>AL22</f>
        <v>5</v>
      </c>
      <c r="AM47" s="275" t="s">
        <v>16</v>
      </c>
      <c r="AN47" s="273">
        <f>AH22</f>
        <v>1</v>
      </c>
      <c r="AO47" s="636"/>
      <c r="AP47" s="627"/>
      <c r="AQ47" s="627"/>
      <c r="AR47" s="637"/>
      <c r="AS47" s="637"/>
      <c r="AT47" s="627"/>
      <c r="AU47" s="605"/>
      <c r="AV47" s="607"/>
      <c r="AW47" s="628"/>
      <c r="AX47" s="629"/>
      <c r="AY47" s="613"/>
      <c r="AZ47" s="630"/>
      <c r="BA47" s="617"/>
      <c r="BB47" s="618"/>
    </row>
    <row r="48" spans="1:54" ht="26.25" customHeight="1">
      <c r="A48" s="621" t="str">
        <f>'予選リーグ'!C7</f>
        <v>リノス</v>
      </c>
      <c r="B48" s="623" t="s">
        <v>536</v>
      </c>
      <c r="C48" s="624"/>
      <c r="D48" s="277"/>
      <c r="E48" s="278" t="str">
        <f>IF(D49="","",IF(D49&gt;F49,"○",IF(D49&lt;F49,"●",IF(D49=F49,"△"))))</f>
        <v>●</v>
      </c>
      <c r="F48" s="279"/>
      <c r="G48" s="280"/>
      <c r="H48" s="281"/>
      <c r="I48" s="282"/>
      <c r="J48" s="283"/>
      <c r="K48" s="284" t="str">
        <f>IF(J49="","",IF(J49&gt;L49,"○",IF(J49&lt;L49,"●",IF(J49=L49,"△"))))</f>
        <v>●</v>
      </c>
      <c r="L48" s="279"/>
      <c r="M48" s="625">
        <f>COUNTIF(D48:L48,"○")</f>
        <v>0</v>
      </c>
      <c r="N48" s="600">
        <f>COUNTIF(D48:L48,"△")</f>
        <v>0</v>
      </c>
      <c r="O48" s="600">
        <f>COUNTIF(D48:L48,"●")</f>
        <v>2</v>
      </c>
      <c r="P48" s="602">
        <f>SUM(D49,G49,J49)</f>
        <v>3</v>
      </c>
      <c r="Q48" s="602">
        <f>SUM(F49,I49,L49)</f>
        <v>6</v>
      </c>
      <c r="R48" s="604">
        <f>(M48*4)+(N48*1)</f>
        <v>0</v>
      </c>
      <c r="S48" s="605">
        <f>RANK(R48,R$46:R$51)</f>
        <v>3</v>
      </c>
      <c r="T48" s="607" t="s">
        <v>537</v>
      </c>
      <c r="U48" s="609">
        <f>P48-Q48</f>
        <v>-3</v>
      </c>
      <c r="V48" s="610"/>
      <c r="W48" s="613">
        <f>RANK(U48,U$46:U$51)</f>
        <v>3</v>
      </c>
      <c r="X48" s="615" t="s">
        <v>537</v>
      </c>
      <c r="Y48" s="617">
        <v>3</v>
      </c>
      <c r="Z48" s="618"/>
      <c r="AA48" s="224"/>
      <c r="AC48" s="621" t="str">
        <f>'予選リーグ'!I7</f>
        <v>大分トリニータ</v>
      </c>
      <c r="AD48" s="623" t="s">
        <v>536</v>
      </c>
      <c r="AE48" s="624"/>
      <c r="AF48" s="278"/>
      <c r="AG48" s="278" t="str">
        <f>IF(AF49="","",IF(AF49&gt;AH49,"○",IF(AF49&lt;AH49,"●",IF(AF49=AH49,"△"))))</f>
        <v>○</v>
      </c>
      <c r="AH48" s="279"/>
      <c r="AI48" s="280"/>
      <c r="AJ48" s="281"/>
      <c r="AK48" s="282"/>
      <c r="AL48" s="283"/>
      <c r="AM48" s="284" t="str">
        <f>IF(AL49="","",IF(AL49&gt;AN49,"○",IF(AL49&lt;AN49,"●",IF(AL49=AN49,"△"))))</f>
        <v>○</v>
      </c>
      <c r="AN48" s="279"/>
      <c r="AO48" s="625">
        <f>COUNTIF(AF48:AN48,"○")</f>
        <v>2</v>
      </c>
      <c r="AP48" s="600">
        <f>COUNTIF(AF48:AN48,"△")</f>
        <v>0</v>
      </c>
      <c r="AQ48" s="600">
        <f>COUNTIF(AF48:AN48,"●")</f>
        <v>0</v>
      </c>
      <c r="AR48" s="602">
        <f>SUM(AF49,AI49,AL49)</f>
        <v>6</v>
      </c>
      <c r="AS48" s="602">
        <f>SUM(AH49,AK49,AN49)</f>
        <v>0</v>
      </c>
      <c r="AT48" s="604">
        <f>(AO48*4)+(AP48*1)</f>
        <v>8</v>
      </c>
      <c r="AU48" s="605">
        <f>RANK(AT48,AT$46:AT$51)</f>
        <v>1</v>
      </c>
      <c r="AV48" s="607" t="s">
        <v>537</v>
      </c>
      <c r="AW48" s="609">
        <f>AR48-AS48</f>
        <v>6</v>
      </c>
      <c r="AX48" s="610"/>
      <c r="AY48" s="613">
        <f>RANK(AW48,AW$46:AW$51)</f>
        <v>1</v>
      </c>
      <c r="AZ48" s="615" t="s">
        <v>537</v>
      </c>
      <c r="BA48" s="594">
        <v>1</v>
      </c>
      <c r="BB48" s="595"/>
    </row>
    <row r="49" spans="1:54" ht="26.25" customHeight="1">
      <c r="A49" s="635"/>
      <c r="B49" s="631" t="s">
        <v>519</v>
      </c>
      <c r="C49" s="632"/>
      <c r="D49" s="285">
        <f>I47</f>
        <v>2</v>
      </c>
      <c r="E49" s="272" t="s">
        <v>16</v>
      </c>
      <c r="F49" s="273">
        <f>G47</f>
        <v>3</v>
      </c>
      <c r="G49" s="286"/>
      <c r="H49" s="270"/>
      <c r="I49" s="287"/>
      <c r="J49" s="288">
        <f>F18</f>
        <v>1</v>
      </c>
      <c r="K49" s="272" t="s">
        <v>16</v>
      </c>
      <c r="L49" s="289">
        <f>J18</f>
        <v>3</v>
      </c>
      <c r="M49" s="636"/>
      <c r="N49" s="627"/>
      <c r="O49" s="627"/>
      <c r="P49" s="637"/>
      <c r="Q49" s="637"/>
      <c r="R49" s="627"/>
      <c r="S49" s="605"/>
      <c r="T49" s="607"/>
      <c r="U49" s="628"/>
      <c r="V49" s="629"/>
      <c r="W49" s="613"/>
      <c r="X49" s="630"/>
      <c r="Y49" s="617"/>
      <c r="Z49" s="618"/>
      <c r="AA49" s="224"/>
      <c r="AC49" s="635"/>
      <c r="AD49" s="631" t="s">
        <v>519</v>
      </c>
      <c r="AE49" s="632"/>
      <c r="AF49" s="274">
        <f>AK47</f>
        <v>3</v>
      </c>
      <c r="AG49" s="272" t="s">
        <v>16</v>
      </c>
      <c r="AH49" s="273">
        <f>AI47</f>
        <v>0</v>
      </c>
      <c r="AI49" s="286"/>
      <c r="AJ49" s="270"/>
      <c r="AK49" s="287"/>
      <c r="AL49" s="288">
        <f>AH18</f>
        <v>3</v>
      </c>
      <c r="AM49" s="272" t="s">
        <v>16</v>
      </c>
      <c r="AN49" s="289">
        <f>AL18</f>
        <v>0</v>
      </c>
      <c r="AO49" s="636"/>
      <c r="AP49" s="627"/>
      <c r="AQ49" s="627"/>
      <c r="AR49" s="637"/>
      <c r="AS49" s="637"/>
      <c r="AT49" s="627"/>
      <c r="AU49" s="605"/>
      <c r="AV49" s="607"/>
      <c r="AW49" s="628"/>
      <c r="AX49" s="629"/>
      <c r="AY49" s="613"/>
      <c r="AZ49" s="630"/>
      <c r="BA49" s="594"/>
      <c r="BB49" s="595"/>
    </row>
    <row r="50" spans="1:54" ht="26.25" customHeight="1">
      <c r="A50" s="621" t="str">
        <f>'予選リーグ'!E7</f>
        <v>明治</v>
      </c>
      <c r="B50" s="623" t="s">
        <v>536</v>
      </c>
      <c r="C50" s="624"/>
      <c r="D50" s="277"/>
      <c r="E50" s="278" t="str">
        <f>IF(D51="","",IF(D51&gt;F51,"○",IF(D51&lt;F51,"●",IF(D51=F51,"△"))))</f>
        <v>○</v>
      </c>
      <c r="F50" s="279"/>
      <c r="G50" s="283"/>
      <c r="H50" s="278" t="str">
        <f>IF(G51="","",IF(G51&gt;I51,"○",IF(G51&lt;I51,"●",IF(G51=I51,"△"))))</f>
        <v>○</v>
      </c>
      <c r="I50" s="279"/>
      <c r="J50" s="280"/>
      <c r="K50" s="281"/>
      <c r="L50" s="282"/>
      <c r="M50" s="625">
        <f>COUNTIF(D50:L50,"○")</f>
        <v>2</v>
      </c>
      <c r="N50" s="600">
        <f>COUNTIF(D50:L50,"△")</f>
        <v>0</v>
      </c>
      <c r="O50" s="600">
        <f>COUNTIF(D50:L50,"●")</f>
        <v>0</v>
      </c>
      <c r="P50" s="602">
        <f>SUM(D51,G51,J51)</f>
        <v>5</v>
      </c>
      <c r="Q50" s="602">
        <f>SUM(F51,I51,L51)</f>
        <v>2</v>
      </c>
      <c r="R50" s="604">
        <f>(M50*4)+(N50*1)</f>
        <v>8</v>
      </c>
      <c r="S50" s="605">
        <f>RANK(R50,R$46:R$51)</f>
        <v>1</v>
      </c>
      <c r="T50" s="607" t="s">
        <v>537</v>
      </c>
      <c r="U50" s="609">
        <f>P50-Q50</f>
        <v>3</v>
      </c>
      <c r="V50" s="610"/>
      <c r="W50" s="613">
        <f>RANK(U50,U$46:U$51)</f>
        <v>1</v>
      </c>
      <c r="X50" s="615" t="s">
        <v>537</v>
      </c>
      <c r="Y50" s="594">
        <v>1</v>
      </c>
      <c r="Z50" s="595"/>
      <c r="AA50" s="224"/>
      <c r="AC50" s="621" t="str">
        <f>'予選リーグ'!K7</f>
        <v>ＦＣアリアーレ</v>
      </c>
      <c r="AD50" s="623" t="s">
        <v>536</v>
      </c>
      <c r="AE50" s="624"/>
      <c r="AF50" s="278"/>
      <c r="AG50" s="278" t="str">
        <f>IF(AF51="","",IF(AF51&gt;AH51,"○",IF(AF51&lt;AH51,"●",IF(AF51=AH51,"△"))))</f>
        <v>●</v>
      </c>
      <c r="AH50" s="279"/>
      <c r="AI50" s="283"/>
      <c r="AJ50" s="278" t="str">
        <f>IF(AI51="","",IF(AI51&gt;AK51,"○",IF(AI51&lt;AK51,"●",IF(AI51=AK51,"△"))))</f>
        <v>●</v>
      </c>
      <c r="AK50" s="279"/>
      <c r="AL50" s="280"/>
      <c r="AM50" s="281"/>
      <c r="AN50" s="282"/>
      <c r="AO50" s="625">
        <f>COUNTIF(AF50:AN50,"○")</f>
        <v>0</v>
      </c>
      <c r="AP50" s="600">
        <f>COUNTIF(AF50:AN50,"△")</f>
        <v>0</v>
      </c>
      <c r="AQ50" s="600">
        <f>COUNTIF(AF50:AN50,"●")</f>
        <v>2</v>
      </c>
      <c r="AR50" s="602">
        <f>SUM(AF51,AI51,AL51)</f>
        <v>1</v>
      </c>
      <c r="AS50" s="602">
        <f>SUM(AH51,AK51,AN51)</f>
        <v>8</v>
      </c>
      <c r="AT50" s="604">
        <f>(AO50*4)+(AP50*1)</f>
        <v>0</v>
      </c>
      <c r="AU50" s="605">
        <f>RANK(AT50,AT$46:AT$51)</f>
        <v>3</v>
      </c>
      <c r="AV50" s="607" t="s">
        <v>537</v>
      </c>
      <c r="AW50" s="609">
        <f>AR50-AS50</f>
        <v>-7</v>
      </c>
      <c r="AX50" s="610"/>
      <c r="AY50" s="613">
        <f>RANK(AW50,AW$46:AW$51)</f>
        <v>3</v>
      </c>
      <c r="AZ50" s="615" t="s">
        <v>537</v>
      </c>
      <c r="BA50" s="617">
        <v>3</v>
      </c>
      <c r="BB50" s="618"/>
    </row>
    <row r="51" spans="1:54" ht="26.25" customHeight="1">
      <c r="A51" s="622"/>
      <c r="B51" s="598" t="s">
        <v>519</v>
      </c>
      <c r="C51" s="599"/>
      <c r="D51" s="290">
        <f>L47</f>
        <v>2</v>
      </c>
      <c r="E51" s="291" t="s">
        <v>16</v>
      </c>
      <c r="F51" s="292">
        <f>J47</f>
        <v>1</v>
      </c>
      <c r="G51" s="293">
        <f>L49</f>
        <v>3</v>
      </c>
      <c r="H51" s="291" t="s">
        <v>16</v>
      </c>
      <c r="I51" s="294">
        <f>J49</f>
        <v>1</v>
      </c>
      <c r="J51" s="295"/>
      <c r="K51" s="296"/>
      <c r="L51" s="297"/>
      <c r="M51" s="626"/>
      <c r="N51" s="601"/>
      <c r="O51" s="601"/>
      <c r="P51" s="603"/>
      <c r="Q51" s="603"/>
      <c r="R51" s="601"/>
      <c r="S51" s="606"/>
      <c r="T51" s="608"/>
      <c r="U51" s="611"/>
      <c r="V51" s="612"/>
      <c r="W51" s="614"/>
      <c r="X51" s="616"/>
      <c r="Y51" s="596"/>
      <c r="Z51" s="597"/>
      <c r="AA51" s="224"/>
      <c r="AC51" s="622"/>
      <c r="AD51" s="598" t="s">
        <v>519</v>
      </c>
      <c r="AE51" s="599"/>
      <c r="AF51" s="298">
        <f>AN47</f>
        <v>1</v>
      </c>
      <c r="AG51" s="291" t="s">
        <v>16</v>
      </c>
      <c r="AH51" s="292">
        <f>AL47</f>
        <v>5</v>
      </c>
      <c r="AI51" s="293">
        <f>AN49</f>
        <v>0</v>
      </c>
      <c r="AJ51" s="291" t="s">
        <v>16</v>
      </c>
      <c r="AK51" s="294">
        <f>AL49</f>
        <v>3</v>
      </c>
      <c r="AL51" s="295"/>
      <c r="AM51" s="296"/>
      <c r="AN51" s="297"/>
      <c r="AO51" s="626"/>
      <c r="AP51" s="601"/>
      <c r="AQ51" s="601"/>
      <c r="AR51" s="603"/>
      <c r="AS51" s="603"/>
      <c r="AT51" s="601"/>
      <c r="AU51" s="606"/>
      <c r="AV51" s="608"/>
      <c r="AW51" s="611"/>
      <c r="AX51" s="612"/>
      <c r="AY51" s="614"/>
      <c r="AZ51" s="616"/>
      <c r="BA51" s="619"/>
      <c r="BB51" s="620"/>
    </row>
    <row r="52" spans="1:54" ht="15" customHeight="1">
      <c r="A52" s="250"/>
      <c r="B52" s="250"/>
      <c r="C52" s="250"/>
      <c r="D52" s="250"/>
      <c r="E52" s="250"/>
      <c r="F52" s="250"/>
      <c r="G52" s="250"/>
      <c r="H52" s="250"/>
      <c r="I52" s="250"/>
      <c r="J52" s="250"/>
      <c r="K52" s="250"/>
      <c r="L52" s="250"/>
      <c r="M52" s="250"/>
      <c r="N52" s="250"/>
      <c r="O52" s="250"/>
      <c r="P52" s="250"/>
      <c r="Q52" s="250"/>
      <c r="R52" s="250"/>
      <c r="S52" s="250"/>
      <c r="T52" s="250"/>
      <c r="U52" s="250"/>
      <c r="V52" s="250"/>
      <c r="W52" s="250"/>
      <c r="X52" s="250"/>
      <c r="Y52" s="250"/>
      <c r="Z52" s="299"/>
      <c r="AA52" s="224"/>
      <c r="AC52" s="299"/>
      <c r="AD52" s="299"/>
      <c r="AE52" s="299"/>
      <c r="AF52" s="299"/>
      <c r="AG52" s="299"/>
      <c r="AH52" s="299"/>
      <c r="AI52" s="299"/>
      <c r="AJ52" s="299"/>
      <c r="AK52" s="299"/>
      <c r="AL52" s="299"/>
      <c r="AM52" s="299"/>
      <c r="AN52" s="299"/>
      <c r="AO52" s="299"/>
      <c r="AP52" s="299"/>
      <c r="AQ52" s="299"/>
      <c r="AR52" s="299"/>
      <c r="AS52" s="299"/>
      <c r="AT52" s="299"/>
      <c r="AU52" s="250"/>
      <c r="AV52" s="250"/>
      <c r="AW52" s="250"/>
      <c r="AX52" s="250"/>
      <c r="AY52" s="250"/>
      <c r="AZ52" s="250"/>
      <c r="BA52" s="250"/>
      <c r="BB52" s="299"/>
    </row>
    <row r="53" spans="1:54" ht="54" customHeight="1">
      <c r="A53" s="650" t="s">
        <v>538</v>
      </c>
      <c r="B53" s="651"/>
      <c r="C53" s="652"/>
      <c r="D53" s="653" t="str">
        <f>A54</f>
        <v>ＦＣ中津</v>
      </c>
      <c r="E53" s="654"/>
      <c r="F53" s="654"/>
      <c r="G53" s="654" t="str">
        <f>A56</f>
        <v>北郡坂ノ市</v>
      </c>
      <c r="H53" s="654"/>
      <c r="I53" s="654"/>
      <c r="J53" s="654" t="str">
        <f>A58</f>
        <v>日岡</v>
      </c>
      <c r="K53" s="654"/>
      <c r="L53" s="654"/>
      <c r="M53" s="258" t="s">
        <v>523</v>
      </c>
      <c r="N53" s="259" t="s">
        <v>524</v>
      </c>
      <c r="O53" s="260" t="s">
        <v>527</v>
      </c>
      <c r="P53" s="259" t="s">
        <v>528</v>
      </c>
      <c r="Q53" s="259" t="s">
        <v>529</v>
      </c>
      <c r="R53" s="259" t="s">
        <v>530</v>
      </c>
      <c r="S53" s="655" t="s">
        <v>531</v>
      </c>
      <c r="T53" s="656"/>
      <c r="U53" s="655" t="s">
        <v>532</v>
      </c>
      <c r="V53" s="656"/>
      <c r="W53" s="655" t="s">
        <v>533</v>
      </c>
      <c r="X53" s="656"/>
      <c r="Y53" s="657" t="s">
        <v>534</v>
      </c>
      <c r="Z53" s="658"/>
      <c r="AA53" s="224"/>
      <c r="AC53" s="650" t="s">
        <v>539</v>
      </c>
      <c r="AD53" s="651"/>
      <c r="AE53" s="652"/>
      <c r="AF53" s="653" t="str">
        <f>AC54</f>
        <v>別保</v>
      </c>
      <c r="AG53" s="654"/>
      <c r="AH53" s="654"/>
      <c r="AI53" s="654" t="str">
        <f>AC56</f>
        <v>ドリームキッズ</v>
      </c>
      <c r="AJ53" s="654"/>
      <c r="AK53" s="654"/>
      <c r="AL53" s="654" t="str">
        <f>AC58</f>
        <v>ＦＣ大野</v>
      </c>
      <c r="AM53" s="654"/>
      <c r="AN53" s="654"/>
      <c r="AO53" s="258" t="s">
        <v>523</v>
      </c>
      <c r="AP53" s="259" t="s">
        <v>524</v>
      </c>
      <c r="AQ53" s="260" t="s">
        <v>527</v>
      </c>
      <c r="AR53" s="259" t="s">
        <v>528</v>
      </c>
      <c r="AS53" s="259" t="s">
        <v>529</v>
      </c>
      <c r="AT53" s="259" t="s">
        <v>530</v>
      </c>
      <c r="AU53" s="655" t="s">
        <v>531</v>
      </c>
      <c r="AV53" s="656"/>
      <c r="AW53" s="655" t="s">
        <v>532</v>
      </c>
      <c r="AX53" s="656"/>
      <c r="AY53" s="655" t="s">
        <v>533</v>
      </c>
      <c r="AZ53" s="656"/>
      <c r="BA53" s="657" t="s">
        <v>534</v>
      </c>
      <c r="BB53" s="658"/>
    </row>
    <row r="54" spans="1:54" ht="26.25" customHeight="1">
      <c r="A54" s="646" t="str">
        <f>'予選リーグ'!G5</f>
        <v>ＦＣ中津</v>
      </c>
      <c r="B54" s="647" t="s">
        <v>536</v>
      </c>
      <c r="C54" s="648"/>
      <c r="D54" s="266"/>
      <c r="E54" s="266"/>
      <c r="F54" s="267"/>
      <c r="G54" s="264"/>
      <c r="H54" s="244" t="str">
        <f>IF(G55="","",IF(G55&gt;I55,"○",IF(G55&lt;I55,"●",IF(G55=I55,"△"))))</f>
        <v>○</v>
      </c>
      <c r="I54" s="265"/>
      <c r="J54" s="244"/>
      <c r="K54" s="244" t="str">
        <f>IF(J55="","",IF(J55&gt;L55,"○",IF(J55&lt;L55,"●",IF(J55=L55,"△"))))</f>
        <v>○</v>
      </c>
      <c r="L54" s="265"/>
      <c r="M54" s="649">
        <f>COUNTIF(D54:L54,"○")</f>
        <v>2</v>
      </c>
      <c r="N54" s="604">
        <f>COUNTIF(D54:L54,"△")</f>
        <v>0</v>
      </c>
      <c r="O54" s="604">
        <f>COUNTIF(D54:L54,"●")</f>
        <v>0</v>
      </c>
      <c r="P54" s="638">
        <f>SUM(D55,G55,J55)</f>
        <v>10</v>
      </c>
      <c r="Q54" s="638">
        <f>SUM(F55,I55,L55)</f>
        <v>1</v>
      </c>
      <c r="R54" s="639">
        <f>(M54*4)+(N54*1)</f>
        <v>8</v>
      </c>
      <c r="S54" s="640">
        <f>RANK(R54,$R$54:$R$59)</f>
        <v>1</v>
      </c>
      <c r="T54" s="641" t="s">
        <v>537</v>
      </c>
      <c r="U54" s="642">
        <f>P54-Q54</f>
        <v>9</v>
      </c>
      <c r="V54" s="643"/>
      <c r="W54" s="644">
        <f>RANK(U54,$U$54:$V$59)</f>
        <v>1</v>
      </c>
      <c r="X54" s="645" t="s">
        <v>537</v>
      </c>
      <c r="Y54" s="659">
        <v>1</v>
      </c>
      <c r="Z54" s="660"/>
      <c r="AA54" s="224"/>
      <c r="AC54" s="646" t="str">
        <f>'予選リーグ'!M5</f>
        <v>別保</v>
      </c>
      <c r="AD54" s="647" t="s">
        <v>536</v>
      </c>
      <c r="AE54" s="648"/>
      <c r="AF54" s="266"/>
      <c r="AG54" s="266"/>
      <c r="AH54" s="267"/>
      <c r="AI54" s="264"/>
      <c r="AJ54" s="244" t="str">
        <f>IF(AI55="","",IF(AI55&gt;AK55,"○",IF(AI55&lt;AK55,"●",IF(AI55=AK55,"△"))))</f>
        <v>●</v>
      </c>
      <c r="AK54" s="265"/>
      <c r="AL54" s="244"/>
      <c r="AM54" s="244" t="str">
        <f>IF(AL55="","",IF(AL55&gt;AN55,"○",IF(AL55&lt;AN55,"●",IF(AL55=AN55,"△"))))</f>
        <v>○</v>
      </c>
      <c r="AN54" s="265"/>
      <c r="AO54" s="649">
        <f>COUNTIF(AF54:AN54,"○")</f>
        <v>1</v>
      </c>
      <c r="AP54" s="604">
        <f>COUNTIF(AF54:AN54,"△")</f>
        <v>0</v>
      </c>
      <c r="AQ54" s="604">
        <f>COUNTIF(AF54:AN54,"●")</f>
        <v>1</v>
      </c>
      <c r="AR54" s="638">
        <f>SUM(AF55,AI55,AL55)</f>
        <v>2</v>
      </c>
      <c r="AS54" s="638">
        <f>SUM(AH55,AK55,AN55)</f>
        <v>1</v>
      </c>
      <c r="AT54" s="639">
        <f>(AO54*4)+(AP54*1)</f>
        <v>4</v>
      </c>
      <c r="AU54" s="640">
        <f>RANK(AT54,$AT$54:$AT$59)</f>
        <v>2</v>
      </c>
      <c r="AV54" s="641" t="s">
        <v>537</v>
      </c>
      <c r="AW54" s="642">
        <f>AR54-AS54</f>
        <v>1</v>
      </c>
      <c r="AX54" s="643"/>
      <c r="AY54" s="644">
        <f>RANK(AW54,$AW$54:$AW$59)</f>
        <v>2</v>
      </c>
      <c r="AZ54" s="645" t="s">
        <v>537</v>
      </c>
      <c r="BA54" s="633">
        <v>2</v>
      </c>
      <c r="BB54" s="634"/>
    </row>
    <row r="55" spans="1:54" ht="26.25" customHeight="1">
      <c r="A55" s="635"/>
      <c r="B55" s="631" t="s">
        <v>519</v>
      </c>
      <c r="C55" s="632"/>
      <c r="D55" s="276"/>
      <c r="E55" s="270"/>
      <c r="F55" s="271"/>
      <c r="G55" s="268">
        <f>R14</f>
        <v>2</v>
      </c>
      <c r="H55" s="272" t="s">
        <v>16</v>
      </c>
      <c r="I55" s="273">
        <f>V14</f>
        <v>1</v>
      </c>
      <c r="J55" s="274">
        <f>V22</f>
        <v>8</v>
      </c>
      <c r="K55" s="275" t="s">
        <v>16</v>
      </c>
      <c r="L55" s="273">
        <f>R22</f>
        <v>0</v>
      </c>
      <c r="M55" s="636"/>
      <c r="N55" s="627"/>
      <c r="O55" s="627"/>
      <c r="P55" s="637"/>
      <c r="Q55" s="637"/>
      <c r="R55" s="627"/>
      <c r="S55" s="605"/>
      <c r="T55" s="607"/>
      <c r="U55" s="628"/>
      <c r="V55" s="629"/>
      <c r="W55" s="613"/>
      <c r="X55" s="630"/>
      <c r="Y55" s="594"/>
      <c r="Z55" s="595"/>
      <c r="AA55" s="224"/>
      <c r="AC55" s="635"/>
      <c r="AD55" s="631" t="s">
        <v>519</v>
      </c>
      <c r="AE55" s="632"/>
      <c r="AF55" s="276"/>
      <c r="AG55" s="270"/>
      <c r="AH55" s="271"/>
      <c r="AI55" s="268" t="str">
        <f>AT14</f>
        <v>１</v>
      </c>
      <c r="AJ55" s="272" t="s">
        <v>16</v>
      </c>
      <c r="AK55" s="273" t="str">
        <f>AX14</f>
        <v>２</v>
      </c>
      <c r="AL55" s="274">
        <f>AX22</f>
        <v>2</v>
      </c>
      <c r="AM55" s="275" t="s">
        <v>16</v>
      </c>
      <c r="AN55" s="273">
        <f>AT22</f>
        <v>1</v>
      </c>
      <c r="AO55" s="636"/>
      <c r="AP55" s="627"/>
      <c r="AQ55" s="627"/>
      <c r="AR55" s="637"/>
      <c r="AS55" s="637"/>
      <c r="AT55" s="627"/>
      <c r="AU55" s="605"/>
      <c r="AV55" s="607"/>
      <c r="AW55" s="628"/>
      <c r="AX55" s="629"/>
      <c r="AY55" s="613"/>
      <c r="AZ55" s="630"/>
      <c r="BA55" s="617"/>
      <c r="BB55" s="618"/>
    </row>
    <row r="56" spans="1:54" ht="26.25" customHeight="1">
      <c r="A56" s="621" t="str">
        <f>'予選リーグ'!F7</f>
        <v>北郡坂ノ市</v>
      </c>
      <c r="B56" s="623" t="s">
        <v>536</v>
      </c>
      <c r="C56" s="624"/>
      <c r="D56" s="278"/>
      <c r="E56" s="278" t="str">
        <f>IF(D57="","",IF(D57&gt;F57,"○",IF(D57&lt;F57,"●",IF(D57=F57,"△"))))</f>
        <v>●</v>
      </c>
      <c r="F56" s="279"/>
      <c r="G56" s="280"/>
      <c r="H56" s="281"/>
      <c r="I56" s="282"/>
      <c r="J56" s="283"/>
      <c r="K56" s="284" t="str">
        <f>IF(J57="","",IF(J57&gt;L57,"○",IF(J57&lt;L57,"●",IF(J57=L57,"△"))))</f>
        <v>○</v>
      </c>
      <c r="L56" s="279"/>
      <c r="M56" s="625">
        <f>COUNTIF(D56:L56,"○")</f>
        <v>1</v>
      </c>
      <c r="N56" s="600">
        <f>COUNTIF(D56:L56,"△")</f>
        <v>0</v>
      </c>
      <c r="O56" s="600">
        <f>COUNTIF(D56:L56,"●")</f>
        <v>1</v>
      </c>
      <c r="P56" s="602">
        <f>SUM(D57,G57,J57)</f>
        <v>3</v>
      </c>
      <c r="Q56" s="602">
        <f>SUM(F57,I57,L57)</f>
        <v>2</v>
      </c>
      <c r="R56" s="604">
        <f>(M56*4)+(N56*1)</f>
        <v>4</v>
      </c>
      <c r="S56" s="605">
        <f>RANK(R56,$R$54:$R$59)</f>
        <v>2</v>
      </c>
      <c r="T56" s="607" t="s">
        <v>537</v>
      </c>
      <c r="U56" s="609">
        <f>P56-Q56</f>
        <v>1</v>
      </c>
      <c r="V56" s="610"/>
      <c r="W56" s="613">
        <f>RANK(U56,$U$54:$V$59)</f>
        <v>2</v>
      </c>
      <c r="X56" s="615" t="s">
        <v>537</v>
      </c>
      <c r="Y56" s="617">
        <v>2</v>
      </c>
      <c r="Z56" s="618"/>
      <c r="AA56" s="224"/>
      <c r="AC56" s="621" t="str">
        <f>'予選リーグ'!L7</f>
        <v>ドリームキッズ</v>
      </c>
      <c r="AD56" s="623" t="s">
        <v>536</v>
      </c>
      <c r="AE56" s="624"/>
      <c r="AF56" s="278"/>
      <c r="AG56" s="278" t="str">
        <f>IF(AF57="","",IF(AF57&gt;AH57,"○",IF(AF57&lt;AH57,"●",IF(AF57=AH57,"△"))))</f>
        <v>○</v>
      </c>
      <c r="AH56" s="279"/>
      <c r="AI56" s="280"/>
      <c r="AJ56" s="281"/>
      <c r="AK56" s="282"/>
      <c r="AL56" s="283"/>
      <c r="AM56" s="284" t="str">
        <f>IF(AL57="","",IF(AL57&gt;AN57,"○",IF(AL57&lt;AN57,"●",IF(AL57=AN57,"△"))))</f>
        <v>○</v>
      </c>
      <c r="AN56" s="279"/>
      <c r="AO56" s="625">
        <f>COUNTIF(AF56:AN56,"○")</f>
        <v>2</v>
      </c>
      <c r="AP56" s="600">
        <f>COUNTIF(AF56:AN56,"△")</f>
        <v>0</v>
      </c>
      <c r="AQ56" s="600">
        <f>COUNTIF(AF56:AN56,"●")</f>
        <v>0</v>
      </c>
      <c r="AR56" s="602">
        <f>SUM(AF57,AI57,AL57)</f>
        <v>3</v>
      </c>
      <c r="AS56" s="602">
        <f>SUM(AH57,AK57,AN57)</f>
        <v>1</v>
      </c>
      <c r="AT56" s="604">
        <f>(AO56*4)+(AP56*1)</f>
        <v>8</v>
      </c>
      <c r="AU56" s="605">
        <f>RANK(AT56,$AT$54:$AT$59)</f>
        <v>1</v>
      </c>
      <c r="AV56" s="607" t="s">
        <v>537</v>
      </c>
      <c r="AW56" s="609">
        <f>AR56-AS56</f>
        <v>2</v>
      </c>
      <c r="AX56" s="610"/>
      <c r="AY56" s="613">
        <f>RANK(AW56,$AW$54:$AW$59)</f>
        <v>1</v>
      </c>
      <c r="AZ56" s="615" t="s">
        <v>537</v>
      </c>
      <c r="BA56" s="594">
        <v>1</v>
      </c>
      <c r="BB56" s="595"/>
    </row>
    <row r="57" spans="1:54" ht="26.25" customHeight="1">
      <c r="A57" s="635"/>
      <c r="B57" s="631" t="s">
        <v>519</v>
      </c>
      <c r="C57" s="632"/>
      <c r="D57" s="274">
        <f>I55</f>
        <v>1</v>
      </c>
      <c r="E57" s="272" t="s">
        <v>16</v>
      </c>
      <c r="F57" s="273">
        <f>G55</f>
        <v>2</v>
      </c>
      <c r="G57" s="286"/>
      <c r="H57" s="270"/>
      <c r="I57" s="287"/>
      <c r="J57" s="288">
        <f>R18</f>
        <v>2</v>
      </c>
      <c r="K57" s="272" t="s">
        <v>16</v>
      </c>
      <c r="L57" s="289">
        <f>V18</f>
        <v>0</v>
      </c>
      <c r="M57" s="636"/>
      <c r="N57" s="627"/>
      <c r="O57" s="627"/>
      <c r="P57" s="637"/>
      <c r="Q57" s="637"/>
      <c r="R57" s="627"/>
      <c r="S57" s="605"/>
      <c r="T57" s="607"/>
      <c r="U57" s="628"/>
      <c r="V57" s="629"/>
      <c r="W57" s="613"/>
      <c r="X57" s="630"/>
      <c r="Y57" s="617"/>
      <c r="Z57" s="618"/>
      <c r="AA57" s="224"/>
      <c r="AC57" s="635"/>
      <c r="AD57" s="631" t="s">
        <v>519</v>
      </c>
      <c r="AE57" s="632"/>
      <c r="AF57" s="274" t="str">
        <f>AK55</f>
        <v>２</v>
      </c>
      <c r="AG57" s="272" t="s">
        <v>16</v>
      </c>
      <c r="AH57" s="273" t="str">
        <f>AI55</f>
        <v>１</v>
      </c>
      <c r="AI57" s="286"/>
      <c r="AJ57" s="270"/>
      <c r="AK57" s="287"/>
      <c r="AL57" s="288">
        <f>AT18</f>
        <v>3</v>
      </c>
      <c r="AM57" s="272" t="s">
        <v>16</v>
      </c>
      <c r="AN57" s="289">
        <f>AX18</f>
        <v>1</v>
      </c>
      <c r="AO57" s="636"/>
      <c r="AP57" s="627"/>
      <c r="AQ57" s="627"/>
      <c r="AR57" s="637"/>
      <c r="AS57" s="637"/>
      <c r="AT57" s="627"/>
      <c r="AU57" s="605"/>
      <c r="AV57" s="607"/>
      <c r="AW57" s="628"/>
      <c r="AX57" s="629"/>
      <c r="AY57" s="613"/>
      <c r="AZ57" s="630"/>
      <c r="BA57" s="594"/>
      <c r="BB57" s="595"/>
    </row>
    <row r="58" spans="1:54" ht="26.25" customHeight="1">
      <c r="A58" s="621" t="str">
        <f>'予選リーグ'!H7</f>
        <v>日岡</v>
      </c>
      <c r="B58" s="623" t="s">
        <v>536</v>
      </c>
      <c r="C58" s="624"/>
      <c r="D58" s="278"/>
      <c r="E58" s="278" t="str">
        <f>IF(D59="","",IF(D59&gt;F59,"○",IF(D59&lt;F59,"●",IF(D59=F59,"△"))))</f>
        <v>●</v>
      </c>
      <c r="F58" s="279"/>
      <c r="G58" s="283"/>
      <c r="H58" s="278" t="str">
        <f>IF(G59="","",IF(G59&gt;I59,"○",IF(G59&lt;I59,"●",IF(G59=I59,"△"))))</f>
        <v>●</v>
      </c>
      <c r="I58" s="279"/>
      <c r="J58" s="280"/>
      <c r="K58" s="281"/>
      <c r="L58" s="282"/>
      <c r="M58" s="625">
        <f>COUNTIF(D58:L58,"○")</f>
        <v>0</v>
      </c>
      <c r="N58" s="600">
        <f>COUNTIF(D58:L58,"△")</f>
        <v>0</v>
      </c>
      <c r="O58" s="600">
        <f>COUNTIF(D58:L58,"●")</f>
        <v>2</v>
      </c>
      <c r="P58" s="602">
        <f>SUM(D59,G59,J59)</f>
        <v>0</v>
      </c>
      <c r="Q58" s="602">
        <f>SUM(F59,I59,L59)</f>
        <v>10</v>
      </c>
      <c r="R58" s="604">
        <f>(M58*4)+(N58*1)</f>
        <v>0</v>
      </c>
      <c r="S58" s="605">
        <f>RANK(R58,$R$54:$R$59)</f>
        <v>3</v>
      </c>
      <c r="T58" s="607" t="s">
        <v>537</v>
      </c>
      <c r="U58" s="609">
        <f>P58-Q58</f>
        <v>-10</v>
      </c>
      <c r="V58" s="610"/>
      <c r="W58" s="613">
        <f>RANK(U58,$U$54:$V$59)</f>
        <v>3</v>
      </c>
      <c r="X58" s="615" t="s">
        <v>537</v>
      </c>
      <c r="Y58" s="617">
        <v>3</v>
      </c>
      <c r="Z58" s="618"/>
      <c r="AA58" s="224"/>
      <c r="AC58" s="621" t="str">
        <f>'予選リーグ'!N7</f>
        <v>ＦＣ大野</v>
      </c>
      <c r="AD58" s="623" t="s">
        <v>536</v>
      </c>
      <c r="AE58" s="624"/>
      <c r="AF58" s="278"/>
      <c r="AG58" s="278" t="str">
        <f>IF(AF59="","",IF(AF59&gt;AH59,"○",IF(AF59&lt;AH59,"●",IF(AF59=AH59,"△"))))</f>
        <v>●</v>
      </c>
      <c r="AH58" s="279"/>
      <c r="AI58" s="283"/>
      <c r="AJ58" s="278" t="str">
        <f>IF(AI59="","",IF(AI59&gt;AK59,"○",IF(AI59&lt;AK59,"●",IF(AI59=AK59,"△"))))</f>
        <v>●</v>
      </c>
      <c r="AK58" s="279"/>
      <c r="AL58" s="280"/>
      <c r="AM58" s="281"/>
      <c r="AN58" s="282"/>
      <c r="AO58" s="625">
        <f>COUNTIF(AF58:AN58,"○")</f>
        <v>0</v>
      </c>
      <c r="AP58" s="600">
        <f>COUNTIF(AF58:AN58,"△")</f>
        <v>0</v>
      </c>
      <c r="AQ58" s="600">
        <f>COUNTIF(AF58:AN58,"●")</f>
        <v>2</v>
      </c>
      <c r="AR58" s="602">
        <f>SUM(AF59,AI59,AL59)</f>
        <v>2</v>
      </c>
      <c r="AS58" s="602">
        <f>SUM(AH59,AK59,AN59)</f>
        <v>5</v>
      </c>
      <c r="AT58" s="604">
        <f>(AO58*4)+(AP58*1)</f>
        <v>0</v>
      </c>
      <c r="AU58" s="605">
        <f>RANK(AT58,$AT$54:$AT$59)</f>
        <v>3</v>
      </c>
      <c r="AV58" s="607" t="s">
        <v>537</v>
      </c>
      <c r="AW58" s="609">
        <f>AR58-AS58</f>
        <v>-3</v>
      </c>
      <c r="AX58" s="610"/>
      <c r="AY58" s="613">
        <f>RANK(AW58,$AW$54:$AW$59)</f>
        <v>3</v>
      </c>
      <c r="AZ58" s="615" t="s">
        <v>537</v>
      </c>
      <c r="BA58" s="617">
        <v>3</v>
      </c>
      <c r="BB58" s="618"/>
    </row>
    <row r="59" spans="1:54" ht="26.25" customHeight="1">
      <c r="A59" s="622"/>
      <c r="B59" s="598" t="s">
        <v>519</v>
      </c>
      <c r="C59" s="599"/>
      <c r="D59" s="298">
        <f>L55</f>
        <v>0</v>
      </c>
      <c r="E59" s="291" t="s">
        <v>16</v>
      </c>
      <c r="F59" s="292">
        <f>J55</f>
        <v>8</v>
      </c>
      <c r="G59" s="293">
        <f>L57</f>
        <v>0</v>
      </c>
      <c r="H59" s="291" t="s">
        <v>16</v>
      </c>
      <c r="I59" s="294">
        <f>J57</f>
        <v>2</v>
      </c>
      <c r="J59" s="295"/>
      <c r="K59" s="296"/>
      <c r="L59" s="297"/>
      <c r="M59" s="626"/>
      <c r="N59" s="601"/>
      <c r="O59" s="601"/>
      <c r="P59" s="603"/>
      <c r="Q59" s="603"/>
      <c r="R59" s="601"/>
      <c r="S59" s="606"/>
      <c r="T59" s="608"/>
      <c r="U59" s="611"/>
      <c r="V59" s="612"/>
      <c r="W59" s="614"/>
      <c r="X59" s="616"/>
      <c r="Y59" s="619"/>
      <c r="Z59" s="620"/>
      <c r="AA59" s="224"/>
      <c r="AC59" s="622"/>
      <c r="AD59" s="598" t="s">
        <v>519</v>
      </c>
      <c r="AE59" s="599"/>
      <c r="AF59" s="298">
        <f>AN55</f>
        <v>1</v>
      </c>
      <c r="AG59" s="291" t="s">
        <v>16</v>
      </c>
      <c r="AH59" s="292">
        <f>AL55</f>
        <v>2</v>
      </c>
      <c r="AI59" s="293">
        <f>AN57</f>
        <v>1</v>
      </c>
      <c r="AJ59" s="291" t="s">
        <v>16</v>
      </c>
      <c r="AK59" s="294">
        <f>AL57</f>
        <v>3</v>
      </c>
      <c r="AL59" s="295"/>
      <c r="AM59" s="296"/>
      <c r="AN59" s="297"/>
      <c r="AO59" s="626"/>
      <c r="AP59" s="601"/>
      <c r="AQ59" s="601"/>
      <c r="AR59" s="603"/>
      <c r="AS59" s="603"/>
      <c r="AT59" s="601"/>
      <c r="AU59" s="606"/>
      <c r="AV59" s="608"/>
      <c r="AW59" s="611"/>
      <c r="AX59" s="612"/>
      <c r="AY59" s="614"/>
      <c r="AZ59" s="616"/>
      <c r="BA59" s="619"/>
      <c r="BB59" s="620"/>
    </row>
    <row r="60" spans="1:54" ht="13.5">
      <c r="A60" s="250"/>
      <c r="B60" s="250"/>
      <c r="C60" s="250"/>
      <c r="D60" s="250"/>
      <c r="E60" s="250"/>
      <c r="F60" s="250"/>
      <c r="G60" s="250"/>
      <c r="H60" s="250"/>
      <c r="I60" s="250"/>
      <c r="J60" s="250"/>
      <c r="K60" s="250"/>
      <c r="L60" s="250"/>
      <c r="M60" s="250"/>
      <c r="N60" s="250"/>
      <c r="O60" s="250"/>
      <c r="P60" s="250"/>
      <c r="Q60" s="250"/>
      <c r="R60" s="250"/>
      <c r="S60" s="250"/>
      <c r="T60" s="250"/>
      <c r="U60" s="250"/>
      <c r="V60" s="250"/>
      <c r="W60" s="250"/>
      <c r="X60" s="250"/>
      <c r="Y60" s="299"/>
      <c r="Z60" s="299"/>
      <c r="AA60" s="224"/>
      <c r="AC60" s="300"/>
      <c r="AD60" s="300"/>
      <c r="AE60" s="300"/>
      <c r="AF60" s="300"/>
      <c r="AG60" s="300"/>
      <c r="AH60" s="300"/>
      <c r="AI60" s="300"/>
      <c r="AJ60" s="300"/>
      <c r="AK60" s="300"/>
      <c r="AL60" s="300"/>
      <c r="AM60" s="300"/>
      <c r="AN60" s="300"/>
      <c r="AO60" s="299"/>
      <c r="AP60" s="299"/>
      <c r="AQ60" s="299"/>
      <c r="AR60" s="299"/>
      <c r="AS60" s="299"/>
      <c r="AT60" s="299"/>
      <c r="AU60" s="250"/>
      <c r="AV60" s="250"/>
      <c r="AW60" s="250"/>
      <c r="AX60" s="250"/>
      <c r="AY60" s="250"/>
      <c r="AZ60" s="250"/>
      <c r="BA60" s="299"/>
      <c r="BB60" s="299"/>
    </row>
    <row r="61" spans="1:54" ht="54" customHeight="1">
      <c r="A61" s="650" t="s">
        <v>540</v>
      </c>
      <c r="B61" s="651"/>
      <c r="C61" s="652"/>
      <c r="D61" s="653" t="str">
        <f>A62</f>
        <v>ＯＫＹ山香</v>
      </c>
      <c r="E61" s="654"/>
      <c r="F61" s="654"/>
      <c r="G61" s="654" t="str">
        <f>A64</f>
        <v>スマイス　スポーツ</v>
      </c>
      <c r="H61" s="654"/>
      <c r="I61" s="654"/>
      <c r="J61" s="654" t="str">
        <f>A66</f>
        <v>下毛ＦＣ</v>
      </c>
      <c r="K61" s="654"/>
      <c r="L61" s="654"/>
      <c r="M61" s="258" t="s">
        <v>523</v>
      </c>
      <c r="N61" s="259" t="s">
        <v>524</v>
      </c>
      <c r="O61" s="260" t="s">
        <v>527</v>
      </c>
      <c r="P61" s="259" t="s">
        <v>528</v>
      </c>
      <c r="Q61" s="259" t="s">
        <v>529</v>
      </c>
      <c r="R61" s="259" t="s">
        <v>530</v>
      </c>
      <c r="S61" s="655" t="s">
        <v>531</v>
      </c>
      <c r="T61" s="656"/>
      <c r="U61" s="655" t="s">
        <v>532</v>
      </c>
      <c r="V61" s="656"/>
      <c r="W61" s="655" t="s">
        <v>533</v>
      </c>
      <c r="X61" s="656"/>
      <c r="Y61" s="657" t="s">
        <v>534</v>
      </c>
      <c r="Z61" s="658"/>
      <c r="AA61" s="224"/>
      <c r="AC61" s="650" t="s">
        <v>541</v>
      </c>
      <c r="AD61" s="651"/>
      <c r="AE61" s="652"/>
      <c r="AF61" s="653" t="str">
        <f>AC62</f>
        <v>市浜レッドソックス</v>
      </c>
      <c r="AG61" s="654"/>
      <c r="AH61" s="654"/>
      <c r="AI61" s="654" t="str">
        <f>AC64</f>
        <v>横瀬</v>
      </c>
      <c r="AJ61" s="654"/>
      <c r="AK61" s="654"/>
      <c r="AL61" s="654" t="str">
        <f>AC66</f>
        <v>ＦＣ　ＵＮＩＴＥ</v>
      </c>
      <c r="AM61" s="654"/>
      <c r="AN61" s="654"/>
      <c r="AO61" s="258" t="s">
        <v>523</v>
      </c>
      <c r="AP61" s="259" t="s">
        <v>524</v>
      </c>
      <c r="AQ61" s="260" t="s">
        <v>527</v>
      </c>
      <c r="AR61" s="259" t="s">
        <v>528</v>
      </c>
      <c r="AS61" s="259" t="s">
        <v>529</v>
      </c>
      <c r="AT61" s="259" t="s">
        <v>530</v>
      </c>
      <c r="AU61" s="655" t="s">
        <v>531</v>
      </c>
      <c r="AV61" s="656"/>
      <c r="AW61" s="655" t="s">
        <v>532</v>
      </c>
      <c r="AX61" s="656"/>
      <c r="AY61" s="655" t="s">
        <v>533</v>
      </c>
      <c r="AZ61" s="656"/>
      <c r="BA61" s="657" t="s">
        <v>534</v>
      </c>
      <c r="BB61" s="658"/>
    </row>
    <row r="62" spans="1:54" ht="26.25" customHeight="1">
      <c r="A62" s="646" t="str">
        <f>'予選リーグ'!D10</f>
        <v>ＯＫＹ山香</v>
      </c>
      <c r="B62" s="647" t="s">
        <v>536</v>
      </c>
      <c r="C62" s="648"/>
      <c r="D62" s="266"/>
      <c r="E62" s="266"/>
      <c r="F62" s="267"/>
      <c r="G62" s="264"/>
      <c r="H62" s="244" t="str">
        <f>IF(G63="","",IF(G63&gt;I63,"○",IF(G63&lt;I63,"●",IF(G63=I63,"△"))))</f>
        <v>●</v>
      </c>
      <c r="I62" s="265"/>
      <c r="J62" s="244"/>
      <c r="K62" s="244" t="str">
        <f>IF(J63="","",IF(J63&gt;L63,"○",IF(J63&lt;L63,"●",IF(J63=L63,"△"))))</f>
        <v>●</v>
      </c>
      <c r="L62" s="265"/>
      <c r="M62" s="649">
        <f>COUNTIF(D62:L62,"○")</f>
        <v>0</v>
      </c>
      <c r="N62" s="604">
        <f>COUNTIF(D62:L62,"△")</f>
        <v>0</v>
      </c>
      <c r="O62" s="604">
        <f>COUNTIF(D62:L62,"●")</f>
        <v>2</v>
      </c>
      <c r="P62" s="638">
        <f>SUM(D63,G63,J63)</f>
        <v>0</v>
      </c>
      <c r="Q62" s="638">
        <f>SUM(F63,I63,L63)</f>
        <v>9</v>
      </c>
      <c r="R62" s="639">
        <f>(M62*4)+(N62*1)</f>
        <v>0</v>
      </c>
      <c r="S62" s="640">
        <f>RANK(R62,$R$62:$R$67)</f>
        <v>3</v>
      </c>
      <c r="T62" s="641" t="s">
        <v>537</v>
      </c>
      <c r="U62" s="642">
        <f>P62-Q62</f>
        <v>-9</v>
      </c>
      <c r="V62" s="643"/>
      <c r="W62" s="644">
        <f>RANK(U62,$U$62:$V$67)</f>
        <v>3</v>
      </c>
      <c r="X62" s="645" t="s">
        <v>537</v>
      </c>
      <c r="Y62" s="633">
        <v>3</v>
      </c>
      <c r="Z62" s="634"/>
      <c r="AA62" s="224"/>
      <c r="AC62" s="646" t="str">
        <f>'予選リーグ'!J10</f>
        <v>市浜レッドソックス</v>
      </c>
      <c r="AD62" s="647" t="s">
        <v>536</v>
      </c>
      <c r="AE62" s="648"/>
      <c r="AF62" s="266"/>
      <c r="AG62" s="266"/>
      <c r="AH62" s="267"/>
      <c r="AI62" s="264"/>
      <c r="AJ62" s="244" t="str">
        <f>IF(AI63="","",IF(AI63&gt;AK63,"○",IF(AI63&lt;AK63,"●",IF(AI63=AK63,"△"))))</f>
        <v>●</v>
      </c>
      <c r="AK62" s="265"/>
      <c r="AL62" s="244"/>
      <c r="AM62" s="244" t="str">
        <f>IF(AL63="","",IF(AL63&gt;AN63,"○",IF(AL63&lt;AN63,"●",IF(AL63=AN63,"△"))))</f>
        <v>△</v>
      </c>
      <c r="AN62" s="265"/>
      <c r="AO62" s="649">
        <f>COUNTIF(AF62:AN62,"○")</f>
        <v>0</v>
      </c>
      <c r="AP62" s="604">
        <f>COUNTIF(AF62:AN62,"△")</f>
        <v>1</v>
      </c>
      <c r="AQ62" s="604">
        <f>COUNTIF(AF62:AN62,"●")</f>
        <v>1</v>
      </c>
      <c r="AR62" s="638">
        <f>SUM(AF63,AI63,AL63)</f>
        <v>2</v>
      </c>
      <c r="AS62" s="638">
        <f>SUM(AH63,AK63,AN63)</f>
        <v>3</v>
      </c>
      <c r="AT62" s="639">
        <f>(AO62*4)+(AP62*1)</f>
        <v>1</v>
      </c>
      <c r="AU62" s="640">
        <f>RANK(AT62,$AT$62:$AT$67)</f>
        <v>2</v>
      </c>
      <c r="AV62" s="641" t="s">
        <v>537</v>
      </c>
      <c r="AW62" s="642">
        <f>AR62-AS62</f>
        <v>-1</v>
      </c>
      <c r="AX62" s="643"/>
      <c r="AY62" s="644">
        <f>RANK(AW62,$AW$62:$AW$67)</f>
        <v>2</v>
      </c>
      <c r="AZ62" s="645" t="s">
        <v>537</v>
      </c>
      <c r="BA62" s="633">
        <v>2</v>
      </c>
      <c r="BB62" s="634"/>
    </row>
    <row r="63" spans="1:54" ht="26.25" customHeight="1">
      <c r="A63" s="635"/>
      <c r="B63" s="631" t="s">
        <v>519</v>
      </c>
      <c r="C63" s="632"/>
      <c r="D63" s="276"/>
      <c r="E63" s="270"/>
      <c r="F63" s="271"/>
      <c r="G63" s="268">
        <f>F16</f>
        <v>0</v>
      </c>
      <c r="H63" s="272" t="s">
        <v>16</v>
      </c>
      <c r="I63" s="273">
        <f>J16</f>
        <v>5</v>
      </c>
      <c r="J63" s="274">
        <f>J24</f>
        <v>0</v>
      </c>
      <c r="K63" s="275" t="s">
        <v>16</v>
      </c>
      <c r="L63" s="273">
        <f>F24</f>
        <v>4</v>
      </c>
      <c r="M63" s="636"/>
      <c r="N63" s="627"/>
      <c r="O63" s="627"/>
      <c r="P63" s="637"/>
      <c r="Q63" s="637"/>
      <c r="R63" s="627"/>
      <c r="S63" s="605"/>
      <c r="T63" s="607"/>
      <c r="U63" s="628"/>
      <c r="V63" s="629"/>
      <c r="W63" s="613"/>
      <c r="X63" s="630"/>
      <c r="Y63" s="617"/>
      <c r="Z63" s="618"/>
      <c r="AA63" s="224"/>
      <c r="AC63" s="635"/>
      <c r="AD63" s="631" t="s">
        <v>519</v>
      </c>
      <c r="AE63" s="632"/>
      <c r="AF63" s="276"/>
      <c r="AG63" s="270"/>
      <c r="AH63" s="271"/>
      <c r="AI63" s="268">
        <f>AH16</f>
        <v>1</v>
      </c>
      <c r="AJ63" s="272" t="s">
        <v>16</v>
      </c>
      <c r="AK63" s="273">
        <f>AL16</f>
        <v>2</v>
      </c>
      <c r="AL63" s="274">
        <f>AL24</f>
        <v>1</v>
      </c>
      <c r="AM63" s="275" t="s">
        <v>16</v>
      </c>
      <c r="AN63" s="273">
        <f>AH24</f>
        <v>1</v>
      </c>
      <c r="AO63" s="636"/>
      <c r="AP63" s="627"/>
      <c r="AQ63" s="627"/>
      <c r="AR63" s="637"/>
      <c r="AS63" s="637"/>
      <c r="AT63" s="627"/>
      <c r="AU63" s="605"/>
      <c r="AV63" s="607"/>
      <c r="AW63" s="628"/>
      <c r="AX63" s="629"/>
      <c r="AY63" s="613"/>
      <c r="AZ63" s="630"/>
      <c r="BA63" s="617"/>
      <c r="BB63" s="618"/>
    </row>
    <row r="64" spans="1:54" ht="26.25" customHeight="1">
      <c r="A64" s="621" t="str">
        <f>'予選リーグ'!C12</f>
        <v>スマイス　スポーツ</v>
      </c>
      <c r="B64" s="623" t="s">
        <v>536</v>
      </c>
      <c r="C64" s="624"/>
      <c r="D64" s="278"/>
      <c r="E64" s="278" t="str">
        <f>IF(D65="","",IF(D65&gt;F65,"○",IF(D65&lt;F65,"●",IF(D65=F65,"△"))))</f>
        <v>○</v>
      </c>
      <c r="F64" s="279"/>
      <c r="G64" s="280"/>
      <c r="H64" s="281"/>
      <c r="I64" s="282"/>
      <c r="J64" s="283"/>
      <c r="K64" s="284" t="str">
        <f>IF(J65="","",IF(J65&gt;L65,"○",IF(J65&lt;L65,"●",IF(J65=L65,"△"))))</f>
        <v>●</v>
      </c>
      <c r="L64" s="279"/>
      <c r="M64" s="625">
        <f>COUNTIF(D64:L64,"○")</f>
        <v>1</v>
      </c>
      <c r="N64" s="600">
        <f>COUNTIF(D64:L64,"△")</f>
        <v>0</v>
      </c>
      <c r="O64" s="600">
        <f>COUNTIF(D64:L64,"●")</f>
        <v>1</v>
      </c>
      <c r="P64" s="602">
        <f>SUM(D65,G65,J65)</f>
        <v>5</v>
      </c>
      <c r="Q64" s="602">
        <f>SUM(F65,I65,L65)</f>
        <v>2</v>
      </c>
      <c r="R64" s="604">
        <f>(M64*4)+(N64*1)</f>
        <v>4</v>
      </c>
      <c r="S64" s="605">
        <f>RANK(R64,$R$62:$R$67)</f>
        <v>2</v>
      </c>
      <c r="T64" s="607" t="s">
        <v>537</v>
      </c>
      <c r="U64" s="609">
        <f>P64-Q64</f>
        <v>3</v>
      </c>
      <c r="V64" s="610"/>
      <c r="W64" s="613">
        <f>RANK(U64,$U$62:$V$67)</f>
        <v>2</v>
      </c>
      <c r="X64" s="615" t="s">
        <v>537</v>
      </c>
      <c r="Y64" s="617">
        <v>2</v>
      </c>
      <c r="Z64" s="618"/>
      <c r="AA64" s="224"/>
      <c r="AC64" s="621" t="str">
        <f>'予選リーグ'!I12</f>
        <v>横瀬</v>
      </c>
      <c r="AD64" s="623" t="s">
        <v>536</v>
      </c>
      <c r="AE64" s="624"/>
      <c r="AF64" s="278"/>
      <c r="AG64" s="278" t="str">
        <f>IF(AF65="","",IF(AF65&gt;AH65,"○",IF(AF65&lt;AH65,"●",IF(AF65=AH65,"△"))))</f>
        <v>○</v>
      </c>
      <c r="AH64" s="279"/>
      <c r="AI64" s="280"/>
      <c r="AJ64" s="281"/>
      <c r="AK64" s="282"/>
      <c r="AL64" s="283"/>
      <c r="AM64" s="284" t="str">
        <f>IF(AL65="","",IF(AL65&gt;AN65,"○",IF(AL65&lt;AN65,"●",IF(AL65=AN65,"△"))))</f>
        <v>○</v>
      </c>
      <c r="AN64" s="279"/>
      <c r="AO64" s="625">
        <f>COUNTIF(AF64:AN64,"○")</f>
        <v>2</v>
      </c>
      <c r="AP64" s="600">
        <f>COUNTIF(AF64:AN64,"△")</f>
        <v>0</v>
      </c>
      <c r="AQ64" s="600">
        <f>COUNTIF(AF64:AN64,"●")</f>
        <v>0</v>
      </c>
      <c r="AR64" s="602">
        <f>SUM(AF65,AI65,AL65)</f>
        <v>7</v>
      </c>
      <c r="AS64" s="602">
        <f>SUM(AH65,AK65,AN65)</f>
        <v>2</v>
      </c>
      <c r="AT64" s="604">
        <f>(AO64*4)+(AP64*1)</f>
        <v>8</v>
      </c>
      <c r="AU64" s="605">
        <f>RANK(AT64,$AT$62:$AT$67)</f>
        <v>1</v>
      </c>
      <c r="AV64" s="607" t="s">
        <v>537</v>
      </c>
      <c r="AW64" s="609">
        <f>AR64-AS64</f>
        <v>5</v>
      </c>
      <c r="AX64" s="610"/>
      <c r="AY64" s="613">
        <f>RANK(AW64,$AW$62:$AW$67)</f>
        <v>1</v>
      </c>
      <c r="AZ64" s="615" t="s">
        <v>537</v>
      </c>
      <c r="BA64" s="594">
        <v>1</v>
      </c>
      <c r="BB64" s="595"/>
    </row>
    <row r="65" spans="1:54" ht="26.25" customHeight="1">
      <c r="A65" s="635"/>
      <c r="B65" s="631" t="s">
        <v>519</v>
      </c>
      <c r="C65" s="632"/>
      <c r="D65" s="274">
        <f>I63</f>
        <v>5</v>
      </c>
      <c r="E65" s="272" t="s">
        <v>16</v>
      </c>
      <c r="F65" s="273">
        <f>G63</f>
        <v>0</v>
      </c>
      <c r="G65" s="286"/>
      <c r="H65" s="270"/>
      <c r="I65" s="287"/>
      <c r="J65" s="288">
        <f>F20</f>
        <v>0</v>
      </c>
      <c r="K65" s="272" t="s">
        <v>16</v>
      </c>
      <c r="L65" s="289">
        <f>J20</f>
        <v>2</v>
      </c>
      <c r="M65" s="636"/>
      <c r="N65" s="627"/>
      <c r="O65" s="627"/>
      <c r="P65" s="637"/>
      <c r="Q65" s="637"/>
      <c r="R65" s="627"/>
      <c r="S65" s="605"/>
      <c r="T65" s="607"/>
      <c r="U65" s="628"/>
      <c r="V65" s="629"/>
      <c r="W65" s="613"/>
      <c r="X65" s="630"/>
      <c r="Y65" s="617"/>
      <c r="Z65" s="618"/>
      <c r="AA65" s="224"/>
      <c r="AC65" s="635"/>
      <c r="AD65" s="631" t="s">
        <v>519</v>
      </c>
      <c r="AE65" s="632"/>
      <c r="AF65" s="274">
        <f>AK63</f>
        <v>2</v>
      </c>
      <c r="AG65" s="272" t="s">
        <v>16</v>
      </c>
      <c r="AH65" s="273">
        <f>AI63</f>
        <v>1</v>
      </c>
      <c r="AI65" s="286"/>
      <c r="AJ65" s="270"/>
      <c r="AK65" s="287"/>
      <c r="AL65" s="288">
        <f>AH20</f>
        <v>5</v>
      </c>
      <c r="AM65" s="272" t="s">
        <v>16</v>
      </c>
      <c r="AN65" s="289">
        <f>AL20</f>
        <v>1</v>
      </c>
      <c r="AO65" s="636"/>
      <c r="AP65" s="627"/>
      <c r="AQ65" s="627"/>
      <c r="AR65" s="637"/>
      <c r="AS65" s="637"/>
      <c r="AT65" s="627"/>
      <c r="AU65" s="605"/>
      <c r="AV65" s="607"/>
      <c r="AW65" s="628"/>
      <c r="AX65" s="629"/>
      <c r="AY65" s="613"/>
      <c r="AZ65" s="630"/>
      <c r="BA65" s="594"/>
      <c r="BB65" s="595"/>
    </row>
    <row r="66" spans="1:54" ht="26.25" customHeight="1">
      <c r="A66" s="621" t="str">
        <f>'予選リーグ'!E12</f>
        <v>下毛ＦＣ</v>
      </c>
      <c r="B66" s="623" t="s">
        <v>536</v>
      </c>
      <c r="C66" s="624"/>
      <c r="D66" s="278"/>
      <c r="E66" s="278" t="str">
        <f>IF(D67="","",IF(D67&gt;F67,"○",IF(D67&lt;F67,"●",IF(D67=F67,"△"))))</f>
        <v>○</v>
      </c>
      <c r="F66" s="279"/>
      <c r="G66" s="283"/>
      <c r="H66" s="278" t="str">
        <f>IF(G67="","",IF(G67&gt;I67,"○",IF(G67&lt;I67,"●",IF(G67=I67,"△"))))</f>
        <v>○</v>
      </c>
      <c r="I66" s="279"/>
      <c r="J66" s="280"/>
      <c r="K66" s="281"/>
      <c r="L66" s="282"/>
      <c r="M66" s="625">
        <f>COUNTIF(D66:L66,"○")</f>
        <v>2</v>
      </c>
      <c r="N66" s="600">
        <f>COUNTIF(D66:L66,"△")</f>
        <v>0</v>
      </c>
      <c r="O66" s="600">
        <f>COUNTIF(D66:L66,"●")</f>
        <v>0</v>
      </c>
      <c r="P66" s="602">
        <f>SUM(D67,G67,J67)</f>
        <v>6</v>
      </c>
      <c r="Q66" s="602">
        <f>SUM(F67,I67,L67)</f>
        <v>0</v>
      </c>
      <c r="R66" s="604">
        <f>(M66*4)+(N66*1)</f>
        <v>8</v>
      </c>
      <c r="S66" s="605">
        <f>RANK(R66,$R$62:$R$67)</f>
        <v>1</v>
      </c>
      <c r="T66" s="607" t="s">
        <v>537</v>
      </c>
      <c r="U66" s="609">
        <f>P66-Q66</f>
        <v>6</v>
      </c>
      <c r="V66" s="610"/>
      <c r="W66" s="613">
        <f>RANK(U66,$U$62:$V$67)</f>
        <v>1</v>
      </c>
      <c r="X66" s="615" t="s">
        <v>537</v>
      </c>
      <c r="Y66" s="594">
        <v>1</v>
      </c>
      <c r="Z66" s="595"/>
      <c r="AA66" s="224"/>
      <c r="AC66" s="621" t="str">
        <f>'予選リーグ'!K12</f>
        <v>ＦＣ　ＵＮＩＴＥ</v>
      </c>
      <c r="AD66" s="623" t="s">
        <v>536</v>
      </c>
      <c r="AE66" s="624"/>
      <c r="AF66" s="278"/>
      <c r="AG66" s="278" t="str">
        <f>IF(AF67="","",IF(AF67&gt;AH67,"○",IF(AF67&lt;AH67,"●",IF(AF67=AH67,"△"))))</f>
        <v>△</v>
      </c>
      <c r="AH66" s="279"/>
      <c r="AI66" s="283"/>
      <c r="AJ66" s="278" t="str">
        <f>IF(AI67="","",IF(AI67&gt;AK67,"○",IF(AI67&lt;AK67,"●",IF(AI67=AK67,"△"))))</f>
        <v>●</v>
      </c>
      <c r="AK66" s="279"/>
      <c r="AL66" s="280"/>
      <c r="AM66" s="281"/>
      <c r="AN66" s="282"/>
      <c r="AO66" s="625">
        <f>COUNTIF(AF66:AN66,"○")</f>
        <v>0</v>
      </c>
      <c r="AP66" s="600">
        <f>COUNTIF(AF66:AN66,"△")</f>
        <v>1</v>
      </c>
      <c r="AQ66" s="600">
        <f>COUNTIF(AF66:AN66,"●")</f>
        <v>1</v>
      </c>
      <c r="AR66" s="602">
        <f>SUM(AF67,AI67,AL67)</f>
        <v>2</v>
      </c>
      <c r="AS66" s="602">
        <f>SUM(AH67,AK67,AN67)</f>
        <v>6</v>
      </c>
      <c r="AT66" s="604">
        <f>(AO66*4)+(AP66*1)</f>
        <v>1</v>
      </c>
      <c r="AU66" s="605">
        <f>RANK(AT66,$AT$62:$AT$67)</f>
        <v>2</v>
      </c>
      <c r="AV66" s="607" t="s">
        <v>537</v>
      </c>
      <c r="AW66" s="609">
        <f>AR66-AS66</f>
        <v>-4</v>
      </c>
      <c r="AX66" s="610"/>
      <c r="AY66" s="613">
        <f>RANK(AW66,$AW$62:$AW$67)</f>
        <v>3</v>
      </c>
      <c r="AZ66" s="615" t="s">
        <v>537</v>
      </c>
      <c r="BA66" s="617">
        <v>2</v>
      </c>
      <c r="BB66" s="618"/>
    </row>
    <row r="67" spans="1:54" ht="26.25" customHeight="1">
      <c r="A67" s="622"/>
      <c r="B67" s="598" t="s">
        <v>519</v>
      </c>
      <c r="C67" s="599"/>
      <c r="D67" s="298">
        <f>L63</f>
        <v>4</v>
      </c>
      <c r="E67" s="291" t="s">
        <v>16</v>
      </c>
      <c r="F67" s="292">
        <f>J63</f>
        <v>0</v>
      </c>
      <c r="G67" s="293">
        <f>L65</f>
        <v>2</v>
      </c>
      <c r="H67" s="291" t="s">
        <v>16</v>
      </c>
      <c r="I67" s="294">
        <f>J65</f>
        <v>0</v>
      </c>
      <c r="J67" s="295"/>
      <c r="K67" s="296"/>
      <c r="L67" s="297"/>
      <c r="M67" s="626"/>
      <c r="N67" s="601"/>
      <c r="O67" s="601"/>
      <c r="P67" s="603"/>
      <c r="Q67" s="603"/>
      <c r="R67" s="601"/>
      <c r="S67" s="606"/>
      <c r="T67" s="608"/>
      <c r="U67" s="611"/>
      <c r="V67" s="612"/>
      <c r="W67" s="614"/>
      <c r="X67" s="616"/>
      <c r="Y67" s="596"/>
      <c r="Z67" s="597"/>
      <c r="AA67" s="224"/>
      <c r="AC67" s="622"/>
      <c r="AD67" s="598" t="s">
        <v>519</v>
      </c>
      <c r="AE67" s="599"/>
      <c r="AF67" s="298">
        <f>AN63</f>
        <v>1</v>
      </c>
      <c r="AG67" s="291" t="s">
        <v>16</v>
      </c>
      <c r="AH67" s="292">
        <f>AL63</f>
        <v>1</v>
      </c>
      <c r="AI67" s="293">
        <f>AN65</f>
        <v>1</v>
      </c>
      <c r="AJ67" s="291" t="s">
        <v>16</v>
      </c>
      <c r="AK67" s="294">
        <f>AL65</f>
        <v>5</v>
      </c>
      <c r="AL67" s="295"/>
      <c r="AM67" s="296"/>
      <c r="AN67" s="297"/>
      <c r="AO67" s="626"/>
      <c r="AP67" s="601"/>
      <c r="AQ67" s="601"/>
      <c r="AR67" s="603"/>
      <c r="AS67" s="603"/>
      <c r="AT67" s="601"/>
      <c r="AU67" s="606"/>
      <c r="AV67" s="608"/>
      <c r="AW67" s="611"/>
      <c r="AX67" s="612"/>
      <c r="AY67" s="614"/>
      <c r="AZ67" s="616"/>
      <c r="BA67" s="619"/>
      <c r="BB67" s="620"/>
    </row>
    <row r="68" spans="1:54" ht="13.5">
      <c r="A68" s="250"/>
      <c r="B68" s="250"/>
      <c r="C68" s="250"/>
      <c r="D68" s="250"/>
      <c r="E68" s="250"/>
      <c r="F68" s="250"/>
      <c r="G68" s="250"/>
      <c r="H68" s="250"/>
      <c r="I68" s="250"/>
      <c r="J68" s="250"/>
      <c r="K68" s="250"/>
      <c r="L68" s="250"/>
      <c r="M68" s="250"/>
      <c r="N68" s="250"/>
      <c r="O68" s="250"/>
      <c r="P68" s="250"/>
      <c r="Q68" s="250"/>
      <c r="R68" s="250"/>
      <c r="S68" s="250"/>
      <c r="T68" s="250"/>
      <c r="U68" s="250"/>
      <c r="V68" s="250"/>
      <c r="W68" s="250"/>
      <c r="X68" s="250"/>
      <c r="Y68" s="299"/>
      <c r="Z68" s="301"/>
      <c r="AA68" s="224"/>
      <c r="AC68" s="300"/>
      <c r="AD68" s="300"/>
      <c r="AE68" s="300"/>
      <c r="AF68" s="300"/>
      <c r="AG68" s="300"/>
      <c r="AH68" s="300"/>
      <c r="AI68" s="300"/>
      <c r="AJ68" s="300"/>
      <c r="AK68" s="300"/>
      <c r="AL68" s="300"/>
      <c r="AM68" s="300"/>
      <c r="AN68" s="300"/>
      <c r="AO68" s="299"/>
      <c r="AP68" s="299"/>
      <c r="AQ68" s="299"/>
      <c r="AR68" s="299"/>
      <c r="AS68" s="299"/>
      <c r="AT68" s="299"/>
      <c r="AU68" s="250"/>
      <c r="AV68" s="250"/>
      <c r="AW68" s="250"/>
      <c r="AX68" s="250"/>
      <c r="AY68" s="250"/>
      <c r="AZ68" s="250"/>
      <c r="BA68" s="299"/>
      <c r="BB68" s="299"/>
    </row>
    <row r="69" spans="1:54" ht="54" customHeight="1">
      <c r="A69" s="650" t="s">
        <v>542</v>
      </c>
      <c r="B69" s="651"/>
      <c r="C69" s="652"/>
      <c r="D69" s="653" t="str">
        <f>A70</f>
        <v>中津沖代</v>
      </c>
      <c r="E69" s="654"/>
      <c r="F69" s="654"/>
      <c r="G69" s="654" t="str">
        <f>A72</f>
        <v>ＫＩＮＧＳ</v>
      </c>
      <c r="H69" s="654"/>
      <c r="I69" s="654"/>
      <c r="J69" s="654" t="str">
        <f>A74</f>
        <v>鶴岡Ｓ―ｐｌａｙ</v>
      </c>
      <c r="K69" s="654"/>
      <c r="L69" s="654"/>
      <c r="M69" s="258" t="s">
        <v>523</v>
      </c>
      <c r="N69" s="259" t="s">
        <v>524</v>
      </c>
      <c r="O69" s="260" t="s">
        <v>527</v>
      </c>
      <c r="P69" s="259" t="s">
        <v>528</v>
      </c>
      <c r="Q69" s="259" t="s">
        <v>529</v>
      </c>
      <c r="R69" s="259" t="s">
        <v>530</v>
      </c>
      <c r="S69" s="655" t="s">
        <v>531</v>
      </c>
      <c r="T69" s="656"/>
      <c r="U69" s="655" t="s">
        <v>532</v>
      </c>
      <c r="V69" s="656"/>
      <c r="W69" s="655" t="s">
        <v>533</v>
      </c>
      <c r="X69" s="656"/>
      <c r="Y69" s="657" t="s">
        <v>534</v>
      </c>
      <c r="Z69" s="658"/>
      <c r="AA69" s="224"/>
      <c r="AC69" s="650" t="s">
        <v>543</v>
      </c>
      <c r="AD69" s="651"/>
      <c r="AE69" s="652"/>
      <c r="AF69" s="653" t="str">
        <f>AC70</f>
        <v>別府ＦＣ．ミネルバ</v>
      </c>
      <c r="AG69" s="654"/>
      <c r="AH69" s="654"/>
      <c r="AI69" s="654" t="str">
        <f>AC72</f>
        <v>ブルーウイング</v>
      </c>
      <c r="AJ69" s="654"/>
      <c r="AK69" s="654"/>
      <c r="AL69" s="654" t="str">
        <f>AC74</f>
        <v>太陽ＳＣ大分西</v>
      </c>
      <c r="AM69" s="654"/>
      <c r="AN69" s="654"/>
      <c r="AO69" s="258" t="s">
        <v>523</v>
      </c>
      <c r="AP69" s="259" t="s">
        <v>524</v>
      </c>
      <c r="AQ69" s="260" t="s">
        <v>527</v>
      </c>
      <c r="AR69" s="259" t="s">
        <v>528</v>
      </c>
      <c r="AS69" s="259" t="s">
        <v>529</v>
      </c>
      <c r="AT69" s="259" t="s">
        <v>530</v>
      </c>
      <c r="AU69" s="655" t="s">
        <v>531</v>
      </c>
      <c r="AV69" s="656"/>
      <c r="AW69" s="655" t="s">
        <v>532</v>
      </c>
      <c r="AX69" s="656"/>
      <c r="AY69" s="655" t="s">
        <v>533</v>
      </c>
      <c r="AZ69" s="656"/>
      <c r="BA69" s="657" t="s">
        <v>534</v>
      </c>
      <c r="BB69" s="658"/>
    </row>
    <row r="70" spans="1:54" ht="26.25" customHeight="1">
      <c r="A70" s="646" t="str">
        <f>'予選リーグ'!G10</f>
        <v>中津沖代</v>
      </c>
      <c r="B70" s="647" t="s">
        <v>536</v>
      </c>
      <c r="C70" s="648"/>
      <c r="D70" s="266"/>
      <c r="E70" s="266"/>
      <c r="F70" s="267"/>
      <c r="G70" s="264"/>
      <c r="H70" s="244" t="str">
        <f>IF(G71="","",IF(G71&gt;I71,"○",IF(G71&lt;I71,"●",IF(G71=I71,"△"))))</f>
        <v>△</v>
      </c>
      <c r="I70" s="265"/>
      <c r="J70" s="244"/>
      <c r="K70" s="244" t="str">
        <f>IF(J71="","",IF(J71&gt;L71,"○",IF(J71&lt;L71,"●",IF(J71=L71,"△"))))</f>
        <v>○</v>
      </c>
      <c r="L70" s="265"/>
      <c r="M70" s="649">
        <f>COUNTIF(D70:L70,"○")</f>
        <v>1</v>
      </c>
      <c r="N70" s="604">
        <f>COUNTIF(D70:L70,"△")</f>
        <v>1</v>
      </c>
      <c r="O70" s="604">
        <f>COUNTIF(D70:L70,"●")</f>
        <v>0</v>
      </c>
      <c r="P70" s="638">
        <f>SUM(D71,G71,J71)</f>
        <v>3</v>
      </c>
      <c r="Q70" s="638">
        <f>SUM(F71,I71,L71)</f>
        <v>2</v>
      </c>
      <c r="R70" s="639">
        <f>(M70*4)+(N70*1)</f>
        <v>5</v>
      </c>
      <c r="S70" s="640">
        <f>RANK(R70,$R$70:$R$75)</f>
        <v>1</v>
      </c>
      <c r="T70" s="641" t="s">
        <v>537</v>
      </c>
      <c r="U70" s="642">
        <f>P70-Q70</f>
        <v>1</v>
      </c>
      <c r="V70" s="643"/>
      <c r="W70" s="644">
        <f>RANK(U70,$U$70:$V$75)</f>
        <v>1</v>
      </c>
      <c r="X70" s="645" t="s">
        <v>537</v>
      </c>
      <c r="Y70" s="633">
        <v>2</v>
      </c>
      <c r="Z70" s="634"/>
      <c r="AA70" s="224"/>
      <c r="AC70" s="646" t="str">
        <f>'予選リーグ'!M10</f>
        <v>別府ＦＣ．ミネルバ</v>
      </c>
      <c r="AD70" s="647" t="s">
        <v>536</v>
      </c>
      <c r="AE70" s="648"/>
      <c r="AF70" s="266"/>
      <c r="AG70" s="266"/>
      <c r="AH70" s="267"/>
      <c r="AI70" s="264"/>
      <c r="AJ70" s="244" t="str">
        <f>IF(AI71="","",IF(AI71&gt;AK71,"○",IF(AI71&lt;AK71,"●",IF(AI71=AK71,"△"))))</f>
        <v>△</v>
      </c>
      <c r="AK70" s="265"/>
      <c r="AL70" s="244"/>
      <c r="AM70" s="244" t="str">
        <f>IF(AL71="","",IF(AL71&gt;AN71,"○",IF(AL71&lt;AN71,"●",IF(AL71=AN71,"△"))))</f>
        <v>●</v>
      </c>
      <c r="AN70" s="265"/>
      <c r="AO70" s="649">
        <f>COUNTIF(AF70:AN70,"○")</f>
        <v>0</v>
      </c>
      <c r="AP70" s="604">
        <f>COUNTIF(AF70:AN70,"△")</f>
        <v>1</v>
      </c>
      <c r="AQ70" s="604">
        <f>COUNTIF(AF70:AN70,"●")</f>
        <v>1</v>
      </c>
      <c r="AR70" s="638">
        <f>SUM(AF71,AI71,AL71)</f>
        <v>0</v>
      </c>
      <c r="AS70" s="638">
        <f>SUM(AH71,AK71,AN71)</f>
        <v>1</v>
      </c>
      <c r="AT70" s="639">
        <f>(AO70*4)+(AP70*1)</f>
        <v>1</v>
      </c>
      <c r="AU70" s="640">
        <f>RANK(AT70,$AT$70:$AT$75)</f>
        <v>3</v>
      </c>
      <c r="AV70" s="641" t="s">
        <v>537</v>
      </c>
      <c r="AW70" s="642">
        <f>AR70-AS70</f>
        <v>-1</v>
      </c>
      <c r="AX70" s="643"/>
      <c r="AY70" s="644">
        <f>RANK(AW70,$AW$70:$AW$75)</f>
        <v>3</v>
      </c>
      <c r="AZ70" s="645" t="s">
        <v>537</v>
      </c>
      <c r="BA70" s="633">
        <v>3</v>
      </c>
      <c r="BB70" s="634"/>
    </row>
    <row r="71" spans="1:54" ht="26.25" customHeight="1">
      <c r="A71" s="635"/>
      <c r="B71" s="631" t="s">
        <v>519</v>
      </c>
      <c r="C71" s="632"/>
      <c r="D71" s="276"/>
      <c r="E71" s="270"/>
      <c r="F71" s="271"/>
      <c r="G71" s="268">
        <f>R16</f>
        <v>1</v>
      </c>
      <c r="H71" s="272" t="s">
        <v>16</v>
      </c>
      <c r="I71" s="273">
        <f>V16</f>
        <v>1</v>
      </c>
      <c r="J71" s="274">
        <f>V24</f>
        <v>2</v>
      </c>
      <c r="K71" s="275" t="s">
        <v>16</v>
      </c>
      <c r="L71" s="273">
        <f>R24</f>
        <v>1</v>
      </c>
      <c r="M71" s="636"/>
      <c r="N71" s="627"/>
      <c r="O71" s="627"/>
      <c r="P71" s="637"/>
      <c r="Q71" s="637"/>
      <c r="R71" s="627"/>
      <c r="S71" s="605"/>
      <c r="T71" s="607"/>
      <c r="U71" s="628"/>
      <c r="V71" s="629"/>
      <c r="W71" s="613"/>
      <c r="X71" s="630"/>
      <c r="Y71" s="617"/>
      <c r="Z71" s="618"/>
      <c r="AA71" s="224"/>
      <c r="AC71" s="635"/>
      <c r="AD71" s="631" t="s">
        <v>519</v>
      </c>
      <c r="AE71" s="632"/>
      <c r="AF71" s="276"/>
      <c r="AG71" s="270"/>
      <c r="AH71" s="271"/>
      <c r="AI71" s="268">
        <f>AT16</f>
        <v>0</v>
      </c>
      <c r="AJ71" s="272" t="s">
        <v>16</v>
      </c>
      <c r="AK71" s="273">
        <f>AX16</f>
        <v>0</v>
      </c>
      <c r="AL71" s="274">
        <f>AX24</f>
        <v>0</v>
      </c>
      <c r="AM71" s="275" t="s">
        <v>16</v>
      </c>
      <c r="AN71" s="273">
        <f>AT24</f>
        <v>1</v>
      </c>
      <c r="AO71" s="636"/>
      <c r="AP71" s="627"/>
      <c r="AQ71" s="627"/>
      <c r="AR71" s="637"/>
      <c r="AS71" s="637"/>
      <c r="AT71" s="627"/>
      <c r="AU71" s="605"/>
      <c r="AV71" s="607"/>
      <c r="AW71" s="628"/>
      <c r="AX71" s="629"/>
      <c r="AY71" s="613"/>
      <c r="AZ71" s="630"/>
      <c r="BA71" s="617"/>
      <c r="BB71" s="618"/>
    </row>
    <row r="72" spans="1:54" ht="26.25" customHeight="1">
      <c r="A72" s="621" t="str">
        <f>'予選リーグ'!F12</f>
        <v>ＫＩＮＧＳ</v>
      </c>
      <c r="B72" s="623" t="s">
        <v>536</v>
      </c>
      <c r="C72" s="624"/>
      <c r="D72" s="278"/>
      <c r="E72" s="278" t="str">
        <f>IF(D73="","",IF(D73&gt;F73,"○",IF(D73&lt;F73,"●",IF(D73=F73,"△"))))</f>
        <v>△</v>
      </c>
      <c r="F72" s="279"/>
      <c r="G72" s="280"/>
      <c r="H72" s="281"/>
      <c r="I72" s="282"/>
      <c r="J72" s="283"/>
      <c r="K72" s="284" t="str">
        <f>IF(J73="","",IF(J73&gt;L73,"○",IF(J73&lt;L73,"●",IF(J73=L73,"△"))))</f>
        <v>○</v>
      </c>
      <c r="L72" s="279"/>
      <c r="M72" s="625">
        <f>COUNTIF(D72:L72,"○")</f>
        <v>1</v>
      </c>
      <c r="N72" s="600">
        <f>COUNTIF(D72:L72,"△")</f>
        <v>1</v>
      </c>
      <c r="O72" s="600">
        <f>COUNTIF(D72:L72,"●")</f>
        <v>0</v>
      </c>
      <c r="P72" s="602">
        <f>SUM(D73,G73,J73)</f>
        <v>3</v>
      </c>
      <c r="Q72" s="602">
        <f>SUM(F73,I73,L73)</f>
        <v>2</v>
      </c>
      <c r="R72" s="604">
        <f>(M72*4)+(N72*1)</f>
        <v>5</v>
      </c>
      <c r="S72" s="605">
        <f>RANK(R72,$R$70:$R$75)</f>
        <v>1</v>
      </c>
      <c r="T72" s="607" t="s">
        <v>537</v>
      </c>
      <c r="U72" s="609">
        <f>P72-Q72</f>
        <v>1</v>
      </c>
      <c r="V72" s="610"/>
      <c r="W72" s="613">
        <f>RANK(U72,$U$70:$V$75)</f>
        <v>1</v>
      </c>
      <c r="X72" s="615" t="s">
        <v>537</v>
      </c>
      <c r="Y72" s="594">
        <v>1</v>
      </c>
      <c r="Z72" s="595"/>
      <c r="AA72" s="224"/>
      <c r="AC72" s="621" t="str">
        <f>'予選リーグ'!L12</f>
        <v>ブルーウイング</v>
      </c>
      <c r="AD72" s="623" t="s">
        <v>536</v>
      </c>
      <c r="AE72" s="624"/>
      <c r="AF72" s="278"/>
      <c r="AG72" s="278" t="str">
        <f>IF(AF73="","",IF(AF73&gt;AH73,"○",IF(AF73&lt;AH73,"●",IF(AF73=AH73,"△"))))</f>
        <v>△</v>
      </c>
      <c r="AH72" s="279"/>
      <c r="AI72" s="280"/>
      <c r="AJ72" s="281"/>
      <c r="AK72" s="282"/>
      <c r="AL72" s="283"/>
      <c r="AM72" s="284" t="str">
        <f>IF(AL73="","",IF(AL73&gt;AN73,"○",IF(AL73&lt;AN73,"●",IF(AL73=AN73,"△"))))</f>
        <v>△</v>
      </c>
      <c r="AN72" s="279"/>
      <c r="AO72" s="625">
        <f>COUNTIF(AF72:AN72,"○")</f>
        <v>0</v>
      </c>
      <c r="AP72" s="600">
        <f>COUNTIF(AF72:AN72,"△")</f>
        <v>2</v>
      </c>
      <c r="AQ72" s="600">
        <f>COUNTIF(AF72:AN72,"●")</f>
        <v>0</v>
      </c>
      <c r="AR72" s="602">
        <f>SUM(AF73,AI73,AL73)</f>
        <v>2</v>
      </c>
      <c r="AS72" s="602">
        <f>SUM(AH73,AK73,AN73)</f>
        <v>2</v>
      </c>
      <c r="AT72" s="604">
        <f>(AO72*4)+(AP72*1)</f>
        <v>2</v>
      </c>
      <c r="AU72" s="605">
        <f>RANK(AT72,$AT$70:$AT$75)</f>
        <v>2</v>
      </c>
      <c r="AV72" s="607" t="s">
        <v>537</v>
      </c>
      <c r="AW72" s="609">
        <f>AR72-AS72</f>
        <v>0</v>
      </c>
      <c r="AX72" s="610"/>
      <c r="AY72" s="613">
        <f>RANK(AW72,$AW$70:$AW$75)</f>
        <v>2</v>
      </c>
      <c r="AZ72" s="615" t="s">
        <v>537</v>
      </c>
      <c r="BA72" s="617">
        <v>2</v>
      </c>
      <c r="BB72" s="618"/>
    </row>
    <row r="73" spans="1:54" ht="26.25" customHeight="1">
      <c r="A73" s="635"/>
      <c r="B73" s="631" t="s">
        <v>519</v>
      </c>
      <c r="C73" s="632"/>
      <c r="D73" s="274">
        <f>I71</f>
        <v>1</v>
      </c>
      <c r="E73" s="272" t="s">
        <v>16</v>
      </c>
      <c r="F73" s="273">
        <f>G71</f>
        <v>1</v>
      </c>
      <c r="G73" s="286"/>
      <c r="H73" s="270"/>
      <c r="I73" s="287"/>
      <c r="J73" s="288">
        <f>R20</f>
        <v>2</v>
      </c>
      <c r="K73" s="272" t="s">
        <v>16</v>
      </c>
      <c r="L73" s="289">
        <f>V20</f>
        <v>1</v>
      </c>
      <c r="M73" s="636"/>
      <c r="N73" s="627"/>
      <c r="O73" s="627"/>
      <c r="P73" s="637"/>
      <c r="Q73" s="637"/>
      <c r="R73" s="627"/>
      <c r="S73" s="605"/>
      <c r="T73" s="607"/>
      <c r="U73" s="628"/>
      <c r="V73" s="629"/>
      <c r="W73" s="613"/>
      <c r="X73" s="630"/>
      <c r="Y73" s="594"/>
      <c r="Z73" s="595"/>
      <c r="AA73" s="224"/>
      <c r="AC73" s="635"/>
      <c r="AD73" s="631" t="s">
        <v>519</v>
      </c>
      <c r="AE73" s="632"/>
      <c r="AF73" s="274">
        <f>AK71</f>
        <v>0</v>
      </c>
      <c r="AG73" s="272" t="s">
        <v>16</v>
      </c>
      <c r="AH73" s="273">
        <f>AI71</f>
        <v>0</v>
      </c>
      <c r="AI73" s="286"/>
      <c r="AJ73" s="270"/>
      <c r="AK73" s="287"/>
      <c r="AL73" s="288">
        <f>AT20</f>
        <v>2</v>
      </c>
      <c r="AM73" s="272" t="s">
        <v>16</v>
      </c>
      <c r="AN73" s="289">
        <f>AX20</f>
        <v>2</v>
      </c>
      <c r="AO73" s="636"/>
      <c r="AP73" s="627"/>
      <c r="AQ73" s="627"/>
      <c r="AR73" s="637"/>
      <c r="AS73" s="637"/>
      <c r="AT73" s="627"/>
      <c r="AU73" s="605"/>
      <c r="AV73" s="607"/>
      <c r="AW73" s="628"/>
      <c r="AX73" s="629"/>
      <c r="AY73" s="613"/>
      <c r="AZ73" s="630"/>
      <c r="BA73" s="617"/>
      <c r="BB73" s="618"/>
    </row>
    <row r="74" spans="1:54" ht="26.25" customHeight="1">
      <c r="A74" s="621" t="str">
        <f>'予選リーグ'!H12</f>
        <v>鶴岡Ｓ―ｐｌａｙ</v>
      </c>
      <c r="B74" s="623" t="s">
        <v>536</v>
      </c>
      <c r="C74" s="624"/>
      <c r="D74" s="278"/>
      <c r="E74" s="278" t="str">
        <f>IF(D75="","",IF(D75&gt;F75,"○",IF(D75&lt;F75,"●",IF(D75=F75,"△"))))</f>
        <v>●</v>
      </c>
      <c r="F74" s="279"/>
      <c r="G74" s="283"/>
      <c r="H74" s="278" t="str">
        <f>IF(G75="","",IF(G75&gt;I75,"○",IF(G75&lt;I75,"●",IF(G75=I75,"△"))))</f>
        <v>●</v>
      </c>
      <c r="I74" s="279"/>
      <c r="J74" s="280"/>
      <c r="K74" s="281"/>
      <c r="L74" s="282"/>
      <c r="M74" s="625">
        <f>COUNTIF(D74:L74,"○")</f>
        <v>0</v>
      </c>
      <c r="N74" s="600">
        <f>COUNTIF(D74:L74,"△")</f>
        <v>0</v>
      </c>
      <c r="O74" s="600">
        <f>COUNTIF(D74:L74,"●")</f>
        <v>2</v>
      </c>
      <c r="P74" s="602">
        <f>SUM(D75,G75,J75)</f>
        <v>2</v>
      </c>
      <c r="Q74" s="602">
        <f>SUM(F75,I75,L75)</f>
        <v>4</v>
      </c>
      <c r="R74" s="604">
        <f>(M74*4)+(N74*1)</f>
        <v>0</v>
      </c>
      <c r="S74" s="605">
        <f>RANK(R74,$R$70:$R$75)</f>
        <v>3</v>
      </c>
      <c r="T74" s="607" t="s">
        <v>537</v>
      </c>
      <c r="U74" s="609">
        <f>P74-Q74</f>
        <v>-2</v>
      </c>
      <c r="V74" s="610"/>
      <c r="W74" s="613">
        <f>RANK(U74,$U$70:$V$75)</f>
        <v>3</v>
      </c>
      <c r="X74" s="615" t="s">
        <v>537</v>
      </c>
      <c r="Y74" s="617">
        <v>3</v>
      </c>
      <c r="Z74" s="618"/>
      <c r="AA74" s="224"/>
      <c r="AC74" s="621" t="str">
        <f>'予選リーグ'!N12</f>
        <v>太陽ＳＣ大分西</v>
      </c>
      <c r="AD74" s="623" t="s">
        <v>536</v>
      </c>
      <c r="AE74" s="624"/>
      <c r="AF74" s="278"/>
      <c r="AG74" s="278" t="str">
        <f>IF(AF75="","",IF(AF75&gt;AH75,"○",IF(AF75&lt;AH75,"●",IF(AF75=AH75,"△"))))</f>
        <v>○</v>
      </c>
      <c r="AH74" s="279"/>
      <c r="AI74" s="283"/>
      <c r="AJ74" s="278" t="str">
        <f>IF(AI75="","",IF(AI75&gt;AK75,"○",IF(AI75&lt;AK75,"●",IF(AI75=AK75,"△"))))</f>
        <v>△</v>
      </c>
      <c r="AK74" s="279"/>
      <c r="AL74" s="280"/>
      <c r="AM74" s="281"/>
      <c r="AN74" s="282"/>
      <c r="AO74" s="625">
        <f>COUNTIF(AF74:AN74,"○")</f>
        <v>1</v>
      </c>
      <c r="AP74" s="600">
        <f>COUNTIF(AF74:AN74,"△")</f>
        <v>1</v>
      </c>
      <c r="AQ74" s="600">
        <f>COUNTIF(AF74:AN74,"●")</f>
        <v>0</v>
      </c>
      <c r="AR74" s="602">
        <f>SUM(AF75,AI75,AL75)</f>
        <v>3</v>
      </c>
      <c r="AS74" s="602">
        <f>SUM(AH75,AK75,AN75)</f>
        <v>2</v>
      </c>
      <c r="AT74" s="604">
        <f>(AO74*4)+(AP74*1)</f>
        <v>5</v>
      </c>
      <c r="AU74" s="605">
        <f>RANK(AT74,$AT$70:$AT$75)</f>
        <v>1</v>
      </c>
      <c r="AV74" s="607" t="s">
        <v>537</v>
      </c>
      <c r="AW74" s="609">
        <f>AR74-AS74</f>
        <v>1</v>
      </c>
      <c r="AX74" s="610"/>
      <c r="AY74" s="613">
        <f>RANK(AW74,$AW$70:$AW$75)</f>
        <v>1</v>
      </c>
      <c r="AZ74" s="615" t="s">
        <v>537</v>
      </c>
      <c r="BA74" s="594">
        <v>1</v>
      </c>
      <c r="BB74" s="595"/>
    </row>
    <row r="75" spans="1:54" ht="26.25" customHeight="1">
      <c r="A75" s="622"/>
      <c r="B75" s="598" t="s">
        <v>519</v>
      </c>
      <c r="C75" s="599"/>
      <c r="D75" s="298">
        <f>L71</f>
        <v>1</v>
      </c>
      <c r="E75" s="291" t="s">
        <v>16</v>
      </c>
      <c r="F75" s="292">
        <f>J71</f>
        <v>2</v>
      </c>
      <c r="G75" s="293">
        <f>L73</f>
        <v>1</v>
      </c>
      <c r="H75" s="291" t="s">
        <v>16</v>
      </c>
      <c r="I75" s="294">
        <f>J73</f>
        <v>2</v>
      </c>
      <c r="J75" s="295"/>
      <c r="K75" s="296"/>
      <c r="L75" s="297"/>
      <c r="M75" s="626"/>
      <c r="N75" s="601"/>
      <c r="O75" s="601"/>
      <c r="P75" s="603"/>
      <c r="Q75" s="603"/>
      <c r="R75" s="601"/>
      <c r="S75" s="606"/>
      <c r="T75" s="608"/>
      <c r="U75" s="611"/>
      <c r="V75" s="612"/>
      <c r="W75" s="614"/>
      <c r="X75" s="616"/>
      <c r="Y75" s="619"/>
      <c r="Z75" s="620"/>
      <c r="AA75" s="224"/>
      <c r="AC75" s="622"/>
      <c r="AD75" s="598" t="s">
        <v>519</v>
      </c>
      <c r="AE75" s="599"/>
      <c r="AF75" s="298">
        <f>AN71</f>
        <v>1</v>
      </c>
      <c r="AG75" s="291" t="s">
        <v>16</v>
      </c>
      <c r="AH75" s="292">
        <f>AL71</f>
        <v>0</v>
      </c>
      <c r="AI75" s="293">
        <f>AN73</f>
        <v>2</v>
      </c>
      <c r="AJ75" s="291" t="s">
        <v>16</v>
      </c>
      <c r="AK75" s="294">
        <f>AL73</f>
        <v>2</v>
      </c>
      <c r="AL75" s="295"/>
      <c r="AM75" s="296"/>
      <c r="AN75" s="297"/>
      <c r="AO75" s="626"/>
      <c r="AP75" s="601"/>
      <c r="AQ75" s="601"/>
      <c r="AR75" s="603"/>
      <c r="AS75" s="603"/>
      <c r="AT75" s="601"/>
      <c r="AU75" s="606"/>
      <c r="AV75" s="608"/>
      <c r="AW75" s="611"/>
      <c r="AX75" s="612"/>
      <c r="AY75" s="614"/>
      <c r="AZ75" s="616"/>
      <c r="BA75" s="596"/>
      <c r="BB75" s="597"/>
    </row>
    <row r="76" spans="25:67" ht="13.5">
      <c r="Y76" s="224"/>
      <c r="Z76" s="302" t="s">
        <v>544</v>
      </c>
      <c r="AA76" s="226"/>
      <c r="AC76" s="224"/>
      <c r="AD76" s="224"/>
      <c r="AE76" s="224"/>
      <c r="AF76" s="224"/>
      <c r="AG76" s="224"/>
      <c r="AH76" s="224"/>
      <c r="AI76" s="224"/>
      <c r="AJ76" s="224"/>
      <c r="AK76" s="224"/>
      <c r="AL76" s="224"/>
      <c r="AM76" s="224"/>
      <c r="AN76" s="224"/>
      <c r="AO76" s="224"/>
      <c r="AP76" s="224"/>
      <c r="BD76" s="226"/>
      <c r="BE76" s="226"/>
      <c r="BF76" s="226"/>
      <c r="BG76" s="226"/>
      <c r="BH76" s="226"/>
      <c r="BI76" s="226"/>
      <c r="BJ76" s="226"/>
      <c r="BK76" s="226"/>
      <c r="BL76" s="226"/>
      <c r="BM76" s="226"/>
      <c r="BN76" s="226"/>
      <c r="BO76" s="226"/>
    </row>
    <row r="77" spans="25:67" ht="13.5">
      <c r="Y77" s="224"/>
      <c r="Z77" s="224"/>
      <c r="AA77" s="226"/>
      <c r="AC77" s="224"/>
      <c r="AD77" s="224"/>
      <c r="AE77" s="224"/>
      <c r="AF77" s="224"/>
      <c r="AG77" s="224"/>
      <c r="AH77" s="224"/>
      <c r="AI77" s="224"/>
      <c r="AJ77" s="224"/>
      <c r="AK77" s="224"/>
      <c r="AL77" s="224"/>
      <c r="AM77" s="224"/>
      <c r="AN77" s="224"/>
      <c r="AO77" s="224"/>
      <c r="AP77" s="224"/>
      <c r="BD77" s="226"/>
      <c r="BE77" s="226"/>
      <c r="BF77" s="226"/>
      <c r="BG77" s="226"/>
      <c r="BH77" s="226"/>
      <c r="BI77" s="226"/>
      <c r="BJ77" s="226"/>
      <c r="BK77" s="226"/>
      <c r="BL77" s="226"/>
      <c r="BM77" s="226"/>
      <c r="BN77" s="226"/>
      <c r="BO77" s="226"/>
    </row>
    <row r="78" spans="25:67" ht="13.5">
      <c r="Y78" s="224"/>
      <c r="Z78" s="224"/>
      <c r="AA78" s="226"/>
      <c r="AC78" s="224"/>
      <c r="AD78" s="224"/>
      <c r="AE78" s="224"/>
      <c r="AF78" s="224"/>
      <c r="AG78" s="224"/>
      <c r="AH78" s="224"/>
      <c r="AI78" s="224"/>
      <c r="AJ78" s="224"/>
      <c r="AK78" s="224"/>
      <c r="AL78" s="224"/>
      <c r="AM78" s="224"/>
      <c r="AN78" s="224"/>
      <c r="AO78" s="224"/>
      <c r="AP78" s="224"/>
      <c r="BD78" s="226"/>
      <c r="BE78" s="226"/>
      <c r="BF78" s="226"/>
      <c r="BG78" s="226"/>
      <c r="BH78" s="226"/>
      <c r="BI78" s="226"/>
      <c r="BJ78" s="226"/>
      <c r="BK78" s="226"/>
      <c r="BL78" s="226"/>
      <c r="BM78" s="226"/>
      <c r="BN78" s="226"/>
      <c r="BO78" s="226"/>
    </row>
    <row r="79" spans="25:67" ht="13.5">
      <c r="Y79" s="224"/>
      <c r="Z79" s="224"/>
      <c r="AA79" s="226"/>
      <c r="AC79" s="224"/>
      <c r="AD79" s="224"/>
      <c r="AE79" s="224"/>
      <c r="AF79" s="224"/>
      <c r="AG79" s="224"/>
      <c r="AH79" s="224"/>
      <c r="AI79" s="224"/>
      <c r="AJ79" s="224"/>
      <c r="AK79" s="224"/>
      <c r="AL79" s="224"/>
      <c r="AM79" s="224"/>
      <c r="AN79" s="224"/>
      <c r="AO79" s="224"/>
      <c r="AP79" s="224"/>
      <c r="BD79" s="226"/>
      <c r="BE79" s="226"/>
      <c r="BF79" s="226"/>
      <c r="BG79" s="226"/>
      <c r="BH79" s="226"/>
      <c r="BI79" s="226"/>
      <c r="BJ79" s="226"/>
      <c r="BK79" s="226"/>
      <c r="BL79" s="226"/>
      <c r="BM79" s="226"/>
      <c r="BN79" s="226"/>
      <c r="BO79" s="226"/>
    </row>
    <row r="80" spans="25:67" ht="13.5">
      <c r="Y80" s="224"/>
      <c r="Z80" s="224"/>
      <c r="AA80" s="226"/>
      <c r="AC80" s="224"/>
      <c r="AD80" s="224"/>
      <c r="AE80" s="224"/>
      <c r="AF80" s="224"/>
      <c r="AG80" s="224"/>
      <c r="AH80" s="224"/>
      <c r="AI80" s="224"/>
      <c r="AJ80" s="224"/>
      <c r="AK80" s="224"/>
      <c r="AL80" s="224"/>
      <c r="AM80" s="224"/>
      <c r="AN80" s="224"/>
      <c r="AO80" s="224"/>
      <c r="AP80" s="224"/>
      <c r="BD80" s="226"/>
      <c r="BE80" s="226"/>
      <c r="BF80" s="226"/>
      <c r="BG80" s="226"/>
      <c r="BH80" s="226"/>
      <c r="BI80" s="226"/>
      <c r="BJ80" s="226"/>
      <c r="BK80" s="226"/>
      <c r="BL80" s="226"/>
      <c r="BM80" s="226"/>
      <c r="BN80" s="226"/>
      <c r="BO80" s="226"/>
    </row>
    <row r="81" spans="25:67" ht="13.5">
      <c r="Y81" s="224"/>
      <c r="Z81" s="224"/>
      <c r="AA81" s="226"/>
      <c r="AC81" s="224"/>
      <c r="AD81" s="224"/>
      <c r="AE81" s="224"/>
      <c r="AF81" s="224"/>
      <c r="AG81" s="224"/>
      <c r="AH81" s="224"/>
      <c r="AI81" s="224"/>
      <c r="AJ81" s="224"/>
      <c r="AK81" s="224"/>
      <c r="AL81" s="224"/>
      <c r="AM81" s="224"/>
      <c r="AN81" s="224"/>
      <c r="AO81" s="224"/>
      <c r="AP81" s="224"/>
      <c r="BD81" s="226"/>
      <c r="BE81" s="226"/>
      <c r="BF81" s="226"/>
      <c r="BG81" s="226"/>
      <c r="BH81" s="226"/>
      <c r="BI81" s="226"/>
      <c r="BJ81" s="226"/>
      <c r="BK81" s="226"/>
      <c r="BL81" s="226"/>
      <c r="BM81" s="226"/>
      <c r="BN81" s="226"/>
      <c r="BO81" s="226"/>
    </row>
    <row r="82" spans="25:67" ht="13.5">
      <c r="Y82" s="224"/>
      <c r="Z82" s="224"/>
      <c r="AA82" s="226"/>
      <c r="AC82" s="224"/>
      <c r="AD82" s="224"/>
      <c r="AE82" s="224"/>
      <c r="AF82" s="224"/>
      <c r="AG82" s="224"/>
      <c r="AH82" s="224"/>
      <c r="AI82" s="224"/>
      <c r="AJ82" s="224"/>
      <c r="AK82" s="224"/>
      <c r="AL82" s="224"/>
      <c r="AM82" s="224"/>
      <c r="AN82" s="224"/>
      <c r="AO82" s="224"/>
      <c r="AP82" s="224"/>
      <c r="BD82" s="226"/>
      <c r="BE82" s="226"/>
      <c r="BF82" s="226"/>
      <c r="BG82" s="226"/>
      <c r="BH82" s="226"/>
      <c r="BI82" s="226"/>
      <c r="BJ82" s="226"/>
      <c r="BK82" s="226"/>
      <c r="BL82" s="226"/>
      <c r="BM82" s="226"/>
      <c r="BN82" s="226"/>
      <c r="BO82" s="226"/>
    </row>
    <row r="83" spans="25:67" ht="13.5">
      <c r="Y83" s="224"/>
      <c r="Z83" s="224"/>
      <c r="AA83" s="226"/>
      <c r="AC83" s="224"/>
      <c r="AD83" s="224"/>
      <c r="AE83" s="224"/>
      <c r="AF83" s="224"/>
      <c r="AG83" s="224"/>
      <c r="AH83" s="224"/>
      <c r="AI83" s="224"/>
      <c r="AJ83" s="224"/>
      <c r="AK83" s="224"/>
      <c r="AL83" s="224"/>
      <c r="AM83" s="224"/>
      <c r="AN83" s="224"/>
      <c r="AO83" s="224"/>
      <c r="AP83" s="224"/>
      <c r="BD83" s="226"/>
      <c r="BE83" s="226"/>
      <c r="BF83" s="226"/>
      <c r="BG83" s="226"/>
      <c r="BH83" s="226"/>
      <c r="BI83" s="226"/>
      <c r="BJ83" s="226"/>
      <c r="BK83" s="226"/>
      <c r="BL83" s="226"/>
      <c r="BM83" s="226"/>
      <c r="BN83" s="226"/>
      <c r="BO83" s="226"/>
    </row>
  </sheetData>
  <mergeCells count="696">
    <mergeCell ref="A1:AA1"/>
    <mergeCell ref="AC1:BC1"/>
    <mergeCell ref="A3:C3"/>
    <mergeCell ref="D3:AA3"/>
    <mergeCell ref="AC3:AE3"/>
    <mergeCell ref="AF3:BC3"/>
    <mergeCell ref="A4:C4"/>
    <mergeCell ref="D4:I4"/>
    <mergeCell ref="J4:O4"/>
    <mergeCell ref="P4:U4"/>
    <mergeCell ref="V4:AA4"/>
    <mergeCell ref="AC4:AE4"/>
    <mergeCell ref="AF4:AK4"/>
    <mergeCell ref="AL4:AQ4"/>
    <mergeCell ref="AR4:AW4"/>
    <mergeCell ref="AX4:BC4"/>
    <mergeCell ref="AX5:BC5"/>
    <mergeCell ref="D6:I6"/>
    <mergeCell ref="J6:O6"/>
    <mergeCell ref="P6:U6"/>
    <mergeCell ref="V6:AA6"/>
    <mergeCell ref="AF6:AK6"/>
    <mergeCell ref="AL6:AQ6"/>
    <mergeCell ref="AR6:AW6"/>
    <mergeCell ref="AX6:BC6"/>
    <mergeCell ref="D5:I5"/>
    <mergeCell ref="J5:O5"/>
    <mergeCell ref="P5:U5"/>
    <mergeCell ref="V5:AA5"/>
    <mergeCell ref="AC5:AE7"/>
    <mergeCell ref="AF5:AK5"/>
    <mergeCell ref="AL5:AQ5"/>
    <mergeCell ref="AR5:AW5"/>
    <mergeCell ref="D7:I7"/>
    <mergeCell ref="J7:O7"/>
    <mergeCell ref="P7:U7"/>
    <mergeCell ref="V7:AA7"/>
    <mergeCell ref="AF7:AK7"/>
    <mergeCell ref="AL7:AQ7"/>
    <mergeCell ref="AR7:AW7"/>
    <mergeCell ref="AX7:BC7"/>
    <mergeCell ref="A10:C10"/>
    <mergeCell ref="AC10:AE10"/>
    <mergeCell ref="A11:C11"/>
    <mergeCell ref="D11:O11"/>
    <mergeCell ref="P11:AA11"/>
    <mergeCell ref="AC11:AE11"/>
    <mergeCell ref="AF11:AQ11"/>
    <mergeCell ref="AR11:BC11"/>
    <mergeCell ref="A5:C7"/>
    <mergeCell ref="A12:C12"/>
    <mergeCell ref="M12:O12"/>
    <mergeCell ref="Y12:AA12"/>
    <mergeCell ref="AC12:AE12"/>
    <mergeCell ref="AO12:AQ12"/>
    <mergeCell ref="BA12:BC12"/>
    <mergeCell ref="A13:A14"/>
    <mergeCell ref="B13:C14"/>
    <mergeCell ref="D13:E13"/>
    <mergeCell ref="F13:H13"/>
    <mergeCell ref="J13:L13"/>
    <mergeCell ref="M13:O13"/>
    <mergeCell ref="P13:Q13"/>
    <mergeCell ref="R13:T13"/>
    <mergeCell ref="V13:X13"/>
    <mergeCell ref="Y13:AA13"/>
    <mergeCell ref="AC13:AC14"/>
    <mergeCell ref="AD13:AE14"/>
    <mergeCell ref="AF13:AG13"/>
    <mergeCell ref="AH13:AJ13"/>
    <mergeCell ref="AL13:AN13"/>
    <mergeCell ref="AO13:AQ13"/>
    <mergeCell ref="AR13:AS13"/>
    <mergeCell ref="AT13:AV13"/>
    <mergeCell ref="AX13:AZ13"/>
    <mergeCell ref="BA13:BC13"/>
    <mergeCell ref="D14:E14"/>
    <mergeCell ref="F14:H14"/>
    <mergeCell ref="J14:L14"/>
    <mergeCell ref="M14:O14"/>
    <mergeCell ref="P14:Q14"/>
    <mergeCell ref="R14:T14"/>
    <mergeCell ref="V14:X14"/>
    <mergeCell ref="Y14:AA14"/>
    <mergeCell ref="AF14:AG14"/>
    <mergeCell ref="AH14:AJ14"/>
    <mergeCell ref="AL14:AN14"/>
    <mergeCell ref="AO14:AQ14"/>
    <mergeCell ref="AR14:AS14"/>
    <mergeCell ref="AT14:AV14"/>
    <mergeCell ref="AX14:AZ14"/>
    <mergeCell ref="BA14:BC14"/>
    <mergeCell ref="AO15:AQ15"/>
    <mergeCell ref="AR15:AS15"/>
    <mergeCell ref="AT15:AV15"/>
    <mergeCell ref="A15:A16"/>
    <mergeCell ref="B15:C16"/>
    <mergeCell ref="D15:E15"/>
    <mergeCell ref="F15:H15"/>
    <mergeCell ref="J15:L15"/>
    <mergeCell ref="M15:O15"/>
    <mergeCell ref="P15:Q15"/>
    <mergeCell ref="R15:T15"/>
    <mergeCell ref="V15:X15"/>
    <mergeCell ref="AX15:AZ15"/>
    <mergeCell ref="BA15:BC15"/>
    <mergeCell ref="D16:E16"/>
    <mergeCell ref="F16:H16"/>
    <mergeCell ref="J16:L16"/>
    <mergeCell ref="M16:O16"/>
    <mergeCell ref="P16:Q16"/>
    <mergeCell ref="R16:T16"/>
    <mergeCell ref="V16:X16"/>
    <mergeCell ref="Y16:AA16"/>
    <mergeCell ref="AF16:AG16"/>
    <mergeCell ref="AH16:AJ16"/>
    <mergeCell ref="AL16:AN16"/>
    <mergeCell ref="AO16:AQ16"/>
    <mergeCell ref="AR16:AS16"/>
    <mergeCell ref="AT16:AV16"/>
    <mergeCell ref="AX16:AZ16"/>
    <mergeCell ref="BA16:BC16"/>
    <mergeCell ref="Y15:AA15"/>
    <mergeCell ref="AC15:AC16"/>
    <mergeCell ref="AD15:AE16"/>
    <mergeCell ref="AF15:AG15"/>
    <mergeCell ref="AH15:AJ15"/>
    <mergeCell ref="AL15:AN15"/>
    <mergeCell ref="AO17:AQ17"/>
    <mergeCell ref="AR17:AS17"/>
    <mergeCell ref="AT17:AV17"/>
    <mergeCell ref="A17:A18"/>
    <mergeCell ref="B17:C18"/>
    <mergeCell ref="D17:E17"/>
    <mergeCell ref="F17:H17"/>
    <mergeCell ref="J17:L17"/>
    <mergeCell ref="M17:O17"/>
    <mergeCell ref="P17:Q17"/>
    <mergeCell ref="R17:T17"/>
    <mergeCell ref="V17:X17"/>
    <mergeCell ref="AX17:AZ17"/>
    <mergeCell ref="BA17:BC17"/>
    <mergeCell ref="D18:E18"/>
    <mergeCell ref="F18:H18"/>
    <mergeCell ref="J18:L18"/>
    <mergeCell ref="M18:O18"/>
    <mergeCell ref="P18:Q18"/>
    <mergeCell ref="R18:T18"/>
    <mergeCell ref="V18:X18"/>
    <mergeCell ref="Y18:AA18"/>
    <mergeCell ref="AF18:AG18"/>
    <mergeCell ref="AH18:AJ18"/>
    <mergeCell ref="AL18:AN18"/>
    <mergeCell ref="AO18:AQ18"/>
    <mergeCell ref="AR18:AS18"/>
    <mergeCell ref="AT18:AV18"/>
    <mergeCell ref="AX18:AZ18"/>
    <mergeCell ref="BA18:BC18"/>
    <mergeCell ref="Y17:AA17"/>
    <mergeCell ref="AC17:AC18"/>
    <mergeCell ref="AD17:AE18"/>
    <mergeCell ref="AF17:AG17"/>
    <mergeCell ref="AH17:AJ17"/>
    <mergeCell ref="AL17:AN17"/>
    <mergeCell ref="AO19:AQ19"/>
    <mergeCell ref="AR19:AS19"/>
    <mergeCell ref="AT19:AV19"/>
    <mergeCell ref="A19:A20"/>
    <mergeCell ref="B19:C20"/>
    <mergeCell ref="D19:E19"/>
    <mergeCell ref="F19:H19"/>
    <mergeCell ref="J19:L19"/>
    <mergeCell ref="M19:O19"/>
    <mergeCell ref="P19:Q19"/>
    <mergeCell ref="R19:T19"/>
    <mergeCell ref="V19:X19"/>
    <mergeCell ref="AX19:AZ19"/>
    <mergeCell ref="BA19:BC19"/>
    <mergeCell ref="D20:E20"/>
    <mergeCell ref="F20:H20"/>
    <mergeCell ref="J20:L20"/>
    <mergeCell ref="M20:O20"/>
    <mergeCell ref="P20:Q20"/>
    <mergeCell ref="R20:T20"/>
    <mergeCell ref="V20:X20"/>
    <mergeCell ref="Y20:AA20"/>
    <mergeCell ref="AF20:AG20"/>
    <mergeCell ref="AH20:AJ20"/>
    <mergeCell ref="AL20:AN20"/>
    <mergeCell ref="AO20:AQ20"/>
    <mergeCell ref="AR20:AS20"/>
    <mergeCell ref="AT20:AV20"/>
    <mergeCell ref="AX20:AZ20"/>
    <mergeCell ref="BA20:BC20"/>
    <mergeCell ref="Y19:AA19"/>
    <mergeCell ref="AC19:AC20"/>
    <mergeCell ref="AD19:AE20"/>
    <mergeCell ref="AF19:AG19"/>
    <mergeCell ref="AH19:AJ19"/>
    <mergeCell ref="AL19:AN19"/>
    <mergeCell ref="AO21:AQ21"/>
    <mergeCell ref="AR21:AS21"/>
    <mergeCell ref="AT21:AV21"/>
    <mergeCell ref="A21:A22"/>
    <mergeCell ref="B21:C22"/>
    <mergeCell ref="D21:E21"/>
    <mergeCell ref="F21:H21"/>
    <mergeCell ref="J21:L21"/>
    <mergeCell ref="M21:O21"/>
    <mergeCell ref="P21:Q21"/>
    <mergeCell ref="R21:T21"/>
    <mergeCell ref="V21:X21"/>
    <mergeCell ref="AX21:AZ21"/>
    <mergeCell ref="BA21:BC21"/>
    <mergeCell ref="D22:E22"/>
    <mergeCell ref="F22:H22"/>
    <mergeCell ref="J22:L22"/>
    <mergeCell ref="M22:O22"/>
    <mergeCell ref="P22:Q22"/>
    <mergeCell ref="R22:T22"/>
    <mergeCell ref="V22:X22"/>
    <mergeCell ref="Y22:AA22"/>
    <mergeCell ref="AF22:AG22"/>
    <mergeCell ref="AH22:AJ22"/>
    <mergeCell ref="AL22:AN22"/>
    <mergeCell ref="AO22:AQ22"/>
    <mergeCell ref="AR22:AS22"/>
    <mergeCell ref="AT22:AV22"/>
    <mergeCell ref="AX22:AZ22"/>
    <mergeCell ref="BA22:BC22"/>
    <mergeCell ref="Y21:AA21"/>
    <mergeCell ref="AC21:AC22"/>
    <mergeCell ref="AD21:AE22"/>
    <mergeCell ref="AF21:AG21"/>
    <mergeCell ref="AH21:AJ21"/>
    <mergeCell ref="AL21:AN21"/>
    <mergeCell ref="AO23:AQ23"/>
    <mergeCell ref="AR23:AS23"/>
    <mergeCell ref="AT23:AV23"/>
    <mergeCell ref="A23:A24"/>
    <mergeCell ref="B23:C24"/>
    <mergeCell ref="D23:E23"/>
    <mergeCell ref="F23:H23"/>
    <mergeCell ref="J23:L23"/>
    <mergeCell ref="M23:O23"/>
    <mergeCell ref="P23:Q23"/>
    <mergeCell ref="R23:T23"/>
    <mergeCell ref="V23:X23"/>
    <mergeCell ref="AX23:AZ23"/>
    <mergeCell ref="BA23:BC23"/>
    <mergeCell ref="D24:E24"/>
    <mergeCell ref="F24:H24"/>
    <mergeCell ref="J24:L24"/>
    <mergeCell ref="M24:O24"/>
    <mergeCell ref="P24:Q24"/>
    <mergeCell ref="R24:T24"/>
    <mergeCell ref="V24:X24"/>
    <mergeCell ref="Y24:AA24"/>
    <mergeCell ref="AF24:AG24"/>
    <mergeCell ref="AH24:AJ24"/>
    <mergeCell ref="AL24:AN24"/>
    <mergeCell ref="AO24:AQ24"/>
    <mergeCell ref="AR24:AS24"/>
    <mergeCell ref="AT24:AV24"/>
    <mergeCell ref="AX24:AZ24"/>
    <mergeCell ref="BA24:BC24"/>
    <mergeCell ref="Y23:AA23"/>
    <mergeCell ref="AC23:AC24"/>
    <mergeCell ref="AD23:AE24"/>
    <mergeCell ref="AF23:AG23"/>
    <mergeCell ref="AH23:AJ23"/>
    <mergeCell ref="AL23:AN23"/>
    <mergeCell ref="A45:C45"/>
    <mergeCell ref="D45:F45"/>
    <mergeCell ref="G45:I45"/>
    <mergeCell ref="J45:L45"/>
    <mergeCell ref="S45:T45"/>
    <mergeCell ref="U45:V45"/>
    <mergeCell ref="W45:X45"/>
    <mergeCell ref="Y45:Z45"/>
    <mergeCell ref="AC45:AE45"/>
    <mergeCell ref="AF45:AH45"/>
    <mergeCell ref="AI45:AK45"/>
    <mergeCell ref="AL45:AN45"/>
    <mergeCell ref="AU45:AV45"/>
    <mergeCell ref="AW45:AX45"/>
    <mergeCell ref="AY45:AZ45"/>
    <mergeCell ref="BA45:BB45"/>
    <mergeCell ref="A46:A47"/>
    <mergeCell ref="B46:C46"/>
    <mergeCell ref="M46:M47"/>
    <mergeCell ref="N46:N47"/>
    <mergeCell ref="O46:O47"/>
    <mergeCell ref="P46:P47"/>
    <mergeCell ref="Q46:Q47"/>
    <mergeCell ref="R46:R47"/>
    <mergeCell ref="S46:S47"/>
    <mergeCell ref="T46:T47"/>
    <mergeCell ref="U46:V47"/>
    <mergeCell ref="W46:W47"/>
    <mergeCell ref="X46:X47"/>
    <mergeCell ref="Y46:Z47"/>
    <mergeCell ref="AC46:AC47"/>
    <mergeCell ref="AD46:AE46"/>
    <mergeCell ref="AO46:AO47"/>
    <mergeCell ref="AP46:AP47"/>
    <mergeCell ref="AQ46:AQ47"/>
    <mergeCell ref="AR46:AR47"/>
    <mergeCell ref="AS46:AS47"/>
    <mergeCell ref="AT46:AT47"/>
    <mergeCell ref="AU46:AU47"/>
    <mergeCell ref="AV46:AV47"/>
    <mergeCell ref="AW46:AX47"/>
    <mergeCell ref="AY46:AY47"/>
    <mergeCell ref="AZ46:AZ47"/>
    <mergeCell ref="BA46:BB47"/>
    <mergeCell ref="B47:C47"/>
    <mergeCell ref="AD47:AE47"/>
    <mergeCell ref="A48:A49"/>
    <mergeCell ref="B48:C48"/>
    <mergeCell ref="M48:M49"/>
    <mergeCell ref="N48:N49"/>
    <mergeCell ref="O48:O49"/>
    <mergeCell ref="P48:P49"/>
    <mergeCell ref="Q48:Q49"/>
    <mergeCell ref="R48:R49"/>
    <mergeCell ref="S48:S49"/>
    <mergeCell ref="T48:T49"/>
    <mergeCell ref="U48:V49"/>
    <mergeCell ref="W48:W49"/>
    <mergeCell ref="X48:X49"/>
    <mergeCell ref="Y48:Z49"/>
    <mergeCell ref="AC48:AC49"/>
    <mergeCell ref="AD48:AE48"/>
    <mergeCell ref="AO48:AO49"/>
    <mergeCell ref="AP48:AP49"/>
    <mergeCell ref="AQ48:AQ49"/>
    <mergeCell ref="AR48:AR49"/>
    <mergeCell ref="AS48:AS49"/>
    <mergeCell ref="AT48:AT49"/>
    <mergeCell ref="AU48:AU49"/>
    <mergeCell ref="AV48:AV49"/>
    <mergeCell ref="AW48:AX49"/>
    <mergeCell ref="AY48:AY49"/>
    <mergeCell ref="AZ48:AZ49"/>
    <mergeCell ref="BA48:BB49"/>
    <mergeCell ref="B49:C49"/>
    <mergeCell ref="AD49:AE49"/>
    <mergeCell ref="A50:A51"/>
    <mergeCell ref="B50:C50"/>
    <mergeCell ref="M50:M51"/>
    <mergeCell ref="N50:N51"/>
    <mergeCell ref="O50:O51"/>
    <mergeCell ref="P50:P51"/>
    <mergeCell ref="Q50:Q51"/>
    <mergeCell ref="R50:R51"/>
    <mergeCell ref="S50:S51"/>
    <mergeCell ref="AV50:AV51"/>
    <mergeCell ref="AW50:AX51"/>
    <mergeCell ref="AY50:AY51"/>
    <mergeCell ref="AZ50:AZ51"/>
    <mergeCell ref="T50:T51"/>
    <mergeCell ref="U50:V51"/>
    <mergeCell ref="W50:W51"/>
    <mergeCell ref="X50:X51"/>
    <mergeCell ref="Y50:Z51"/>
    <mergeCell ref="AC50:AC51"/>
    <mergeCell ref="AD50:AE50"/>
    <mergeCell ref="AO50:AO51"/>
    <mergeCell ref="AP50:AP51"/>
    <mergeCell ref="BA50:BB51"/>
    <mergeCell ref="B51:C51"/>
    <mergeCell ref="AD51:AE51"/>
    <mergeCell ref="A53:C53"/>
    <mergeCell ref="D53:F53"/>
    <mergeCell ref="G53:I53"/>
    <mergeCell ref="J53:L53"/>
    <mergeCell ref="S53:T53"/>
    <mergeCell ref="U53:V53"/>
    <mergeCell ref="W53:X53"/>
    <mergeCell ref="Y53:Z53"/>
    <mergeCell ref="AC53:AE53"/>
    <mergeCell ref="AF53:AH53"/>
    <mergeCell ref="AI53:AK53"/>
    <mergeCell ref="AL53:AN53"/>
    <mergeCell ref="AU53:AV53"/>
    <mergeCell ref="AW53:AX53"/>
    <mergeCell ref="AY53:AZ53"/>
    <mergeCell ref="BA53:BB53"/>
    <mergeCell ref="AQ50:AQ51"/>
    <mergeCell ref="AR50:AR51"/>
    <mergeCell ref="AS50:AS51"/>
    <mergeCell ref="AT50:AT51"/>
    <mergeCell ref="AU50:AU51"/>
    <mergeCell ref="A54:A55"/>
    <mergeCell ref="B54:C54"/>
    <mergeCell ref="M54:M55"/>
    <mergeCell ref="N54:N55"/>
    <mergeCell ref="O54:O55"/>
    <mergeCell ref="P54:P55"/>
    <mergeCell ref="Q54:Q55"/>
    <mergeCell ref="R54:R55"/>
    <mergeCell ref="S54:S55"/>
    <mergeCell ref="T54:T55"/>
    <mergeCell ref="U54:V55"/>
    <mergeCell ref="W54:W55"/>
    <mergeCell ref="X54:X55"/>
    <mergeCell ref="Y54:Z55"/>
    <mergeCell ref="AC54:AC55"/>
    <mergeCell ref="AD54:AE54"/>
    <mergeCell ref="AO54:AO55"/>
    <mergeCell ref="AP54:AP55"/>
    <mergeCell ref="AQ54:AQ55"/>
    <mergeCell ref="AR54:AR55"/>
    <mergeCell ref="AS54:AS55"/>
    <mergeCell ref="AT54:AT55"/>
    <mergeCell ref="AU54:AU55"/>
    <mergeCell ref="AV54:AV55"/>
    <mergeCell ref="AW54:AX55"/>
    <mergeCell ref="AY54:AY55"/>
    <mergeCell ref="AZ54:AZ55"/>
    <mergeCell ref="BA54:BB55"/>
    <mergeCell ref="B55:C55"/>
    <mergeCell ref="AD55:AE55"/>
    <mergeCell ref="A56:A57"/>
    <mergeCell ref="B56:C56"/>
    <mergeCell ref="M56:M57"/>
    <mergeCell ref="N56:N57"/>
    <mergeCell ref="O56:O57"/>
    <mergeCell ref="P56:P57"/>
    <mergeCell ref="Q56:Q57"/>
    <mergeCell ref="R56:R57"/>
    <mergeCell ref="S56:S57"/>
    <mergeCell ref="T56:T57"/>
    <mergeCell ref="U56:V57"/>
    <mergeCell ref="W56:W57"/>
    <mergeCell ref="X56:X57"/>
    <mergeCell ref="Y56:Z57"/>
    <mergeCell ref="AC56:AC57"/>
    <mergeCell ref="AD56:AE56"/>
    <mergeCell ref="AO56:AO57"/>
    <mergeCell ref="AP56:AP57"/>
    <mergeCell ref="AQ56:AQ57"/>
    <mergeCell ref="AR56:AR57"/>
    <mergeCell ref="AS56:AS57"/>
    <mergeCell ref="AT56:AT57"/>
    <mergeCell ref="AU56:AU57"/>
    <mergeCell ref="AV56:AV57"/>
    <mergeCell ref="AW56:AX57"/>
    <mergeCell ref="AY56:AY57"/>
    <mergeCell ref="AZ56:AZ57"/>
    <mergeCell ref="BA56:BB57"/>
    <mergeCell ref="B57:C57"/>
    <mergeCell ref="AD57:AE57"/>
    <mergeCell ref="A58:A59"/>
    <mergeCell ref="B58:C58"/>
    <mergeCell ref="M58:M59"/>
    <mergeCell ref="N58:N59"/>
    <mergeCell ref="O58:O59"/>
    <mergeCell ref="P58:P59"/>
    <mergeCell ref="Q58:Q59"/>
    <mergeCell ref="R58:R59"/>
    <mergeCell ref="S58:S59"/>
    <mergeCell ref="AV58:AV59"/>
    <mergeCell ref="AW58:AX59"/>
    <mergeCell ref="AY58:AY59"/>
    <mergeCell ref="AZ58:AZ59"/>
    <mergeCell ref="T58:T59"/>
    <mergeCell ref="U58:V59"/>
    <mergeCell ref="W58:W59"/>
    <mergeCell ref="X58:X59"/>
    <mergeCell ref="Y58:Z59"/>
    <mergeCell ref="AC58:AC59"/>
    <mergeCell ref="AD58:AE58"/>
    <mergeCell ref="AO58:AO59"/>
    <mergeCell ref="AP58:AP59"/>
    <mergeCell ref="BA58:BB59"/>
    <mergeCell ref="B59:C59"/>
    <mergeCell ref="AD59:AE59"/>
    <mergeCell ref="A61:C61"/>
    <mergeCell ref="D61:F61"/>
    <mergeCell ref="G61:I61"/>
    <mergeCell ref="J61:L61"/>
    <mergeCell ref="S61:T61"/>
    <mergeCell ref="U61:V61"/>
    <mergeCell ref="W61:X61"/>
    <mergeCell ref="Y61:Z61"/>
    <mergeCell ref="AC61:AE61"/>
    <mergeCell ref="AF61:AH61"/>
    <mergeCell ref="AI61:AK61"/>
    <mergeCell ref="AL61:AN61"/>
    <mergeCell ref="AU61:AV61"/>
    <mergeCell ref="AW61:AX61"/>
    <mergeCell ref="AY61:AZ61"/>
    <mergeCell ref="BA61:BB61"/>
    <mergeCell ref="AQ58:AQ59"/>
    <mergeCell ref="AR58:AR59"/>
    <mergeCell ref="AS58:AS59"/>
    <mergeCell ref="AT58:AT59"/>
    <mergeCell ref="AU58:AU59"/>
    <mergeCell ref="A62:A63"/>
    <mergeCell ref="B62:C62"/>
    <mergeCell ref="M62:M63"/>
    <mergeCell ref="N62:N63"/>
    <mergeCell ref="O62:O63"/>
    <mergeCell ref="P62:P63"/>
    <mergeCell ref="Q62:Q63"/>
    <mergeCell ref="R62:R63"/>
    <mergeCell ref="S62:S63"/>
    <mergeCell ref="T62:T63"/>
    <mergeCell ref="U62:V63"/>
    <mergeCell ref="W62:W63"/>
    <mergeCell ref="X62:X63"/>
    <mergeCell ref="Y62:Z63"/>
    <mergeCell ref="AC62:AC63"/>
    <mergeCell ref="AD62:AE62"/>
    <mergeCell ref="AO62:AO63"/>
    <mergeCell ref="AP62:AP63"/>
    <mergeCell ref="AQ62:AQ63"/>
    <mergeCell ref="AR62:AR63"/>
    <mergeCell ref="AS62:AS63"/>
    <mergeCell ref="AT62:AT63"/>
    <mergeCell ref="AU62:AU63"/>
    <mergeCell ref="AV62:AV63"/>
    <mergeCell ref="AW62:AX63"/>
    <mergeCell ref="AY62:AY63"/>
    <mergeCell ref="AZ62:AZ63"/>
    <mergeCell ref="BA62:BB63"/>
    <mergeCell ref="B63:C63"/>
    <mergeCell ref="AD63:AE63"/>
    <mergeCell ref="A64:A65"/>
    <mergeCell ref="B64:C64"/>
    <mergeCell ref="M64:M65"/>
    <mergeCell ref="N64:N65"/>
    <mergeCell ref="O64:O65"/>
    <mergeCell ref="P64:P65"/>
    <mergeCell ref="Q64:Q65"/>
    <mergeCell ref="R64:R65"/>
    <mergeCell ref="S64:S65"/>
    <mergeCell ref="T64:T65"/>
    <mergeCell ref="U64:V65"/>
    <mergeCell ref="W64:W65"/>
    <mergeCell ref="X64:X65"/>
    <mergeCell ref="Y64:Z65"/>
    <mergeCell ref="AC64:AC65"/>
    <mergeCell ref="AD64:AE64"/>
    <mergeCell ref="AO64:AO65"/>
    <mergeCell ref="AP64:AP65"/>
    <mergeCell ref="AQ64:AQ65"/>
    <mergeCell ref="AR64:AR65"/>
    <mergeCell ref="AS64:AS65"/>
    <mergeCell ref="AT64:AT65"/>
    <mergeCell ref="AU64:AU65"/>
    <mergeCell ref="AV64:AV65"/>
    <mergeCell ref="AW64:AX65"/>
    <mergeCell ref="AY64:AY65"/>
    <mergeCell ref="AZ64:AZ65"/>
    <mergeCell ref="BA64:BB65"/>
    <mergeCell ref="B65:C65"/>
    <mergeCell ref="AD65:AE65"/>
    <mergeCell ref="A66:A67"/>
    <mergeCell ref="B66:C66"/>
    <mergeCell ref="M66:M67"/>
    <mergeCell ref="N66:N67"/>
    <mergeCell ref="O66:O67"/>
    <mergeCell ref="P66:P67"/>
    <mergeCell ref="Q66:Q67"/>
    <mergeCell ref="R66:R67"/>
    <mergeCell ref="S66:S67"/>
    <mergeCell ref="AV66:AV67"/>
    <mergeCell ref="AW66:AX67"/>
    <mergeCell ref="AY66:AY67"/>
    <mergeCell ref="AZ66:AZ67"/>
    <mergeCell ref="T66:T67"/>
    <mergeCell ref="U66:V67"/>
    <mergeCell ref="W66:W67"/>
    <mergeCell ref="X66:X67"/>
    <mergeCell ref="Y66:Z67"/>
    <mergeCell ref="AC66:AC67"/>
    <mergeCell ref="AD66:AE66"/>
    <mergeCell ref="AO66:AO67"/>
    <mergeCell ref="AP66:AP67"/>
    <mergeCell ref="BA66:BB67"/>
    <mergeCell ref="B67:C67"/>
    <mergeCell ref="AD67:AE67"/>
    <mergeCell ref="A69:C69"/>
    <mergeCell ref="D69:F69"/>
    <mergeCell ref="G69:I69"/>
    <mergeCell ref="J69:L69"/>
    <mergeCell ref="S69:T69"/>
    <mergeCell ref="U69:V69"/>
    <mergeCell ref="W69:X69"/>
    <mergeCell ref="Y69:Z69"/>
    <mergeCell ref="AC69:AE69"/>
    <mergeCell ref="AF69:AH69"/>
    <mergeCell ref="AI69:AK69"/>
    <mergeCell ref="AL69:AN69"/>
    <mergeCell ref="AU69:AV69"/>
    <mergeCell ref="AW69:AX69"/>
    <mergeCell ref="AY69:AZ69"/>
    <mergeCell ref="BA69:BB69"/>
    <mergeCell ref="AQ66:AQ67"/>
    <mergeCell ref="AR66:AR67"/>
    <mergeCell ref="AS66:AS67"/>
    <mergeCell ref="AT66:AT67"/>
    <mergeCell ref="AU66:AU67"/>
    <mergeCell ref="A70:A71"/>
    <mergeCell ref="B70:C70"/>
    <mergeCell ref="M70:M71"/>
    <mergeCell ref="N70:N71"/>
    <mergeCell ref="O70:O71"/>
    <mergeCell ref="P70:P71"/>
    <mergeCell ref="Q70:Q71"/>
    <mergeCell ref="R70:R71"/>
    <mergeCell ref="S70:S71"/>
    <mergeCell ref="T70:T71"/>
    <mergeCell ref="U70:V71"/>
    <mergeCell ref="W70:W71"/>
    <mergeCell ref="X70:X71"/>
    <mergeCell ref="Y70:Z71"/>
    <mergeCell ref="AC70:AC71"/>
    <mergeCell ref="AD70:AE70"/>
    <mergeCell ref="AO70:AO71"/>
    <mergeCell ref="AP70:AP71"/>
    <mergeCell ref="AQ70:AQ71"/>
    <mergeCell ref="AR70:AR71"/>
    <mergeCell ref="AS70:AS71"/>
    <mergeCell ref="AT70:AT71"/>
    <mergeCell ref="AU70:AU71"/>
    <mergeCell ref="AV70:AV71"/>
    <mergeCell ref="AW70:AX71"/>
    <mergeCell ref="AY70:AY71"/>
    <mergeCell ref="AZ70:AZ71"/>
    <mergeCell ref="BA70:BB71"/>
    <mergeCell ref="B71:C71"/>
    <mergeCell ref="AD71:AE71"/>
    <mergeCell ref="A72:A73"/>
    <mergeCell ref="B72:C72"/>
    <mergeCell ref="M72:M73"/>
    <mergeCell ref="N72:N73"/>
    <mergeCell ref="O72:O73"/>
    <mergeCell ref="P72:P73"/>
    <mergeCell ref="Q72:Q73"/>
    <mergeCell ref="R72:R73"/>
    <mergeCell ref="S72:S73"/>
    <mergeCell ref="T72:T73"/>
    <mergeCell ref="U72:V73"/>
    <mergeCell ref="W72:W73"/>
    <mergeCell ref="X72:X73"/>
    <mergeCell ref="Y72:Z73"/>
    <mergeCell ref="AC72:AC73"/>
    <mergeCell ref="AD72:AE72"/>
    <mergeCell ref="AO72:AO73"/>
    <mergeCell ref="AP72:AP73"/>
    <mergeCell ref="AQ72:AQ73"/>
    <mergeCell ref="AR72:AR73"/>
    <mergeCell ref="AS72:AS73"/>
    <mergeCell ref="AT72:AT73"/>
    <mergeCell ref="AU72:AU73"/>
    <mergeCell ref="AV72:AV73"/>
    <mergeCell ref="AW72:AX73"/>
    <mergeCell ref="AY72:AY73"/>
    <mergeCell ref="AZ72:AZ73"/>
    <mergeCell ref="BA72:BB73"/>
    <mergeCell ref="B73:C73"/>
    <mergeCell ref="AD73:AE73"/>
    <mergeCell ref="A74:A75"/>
    <mergeCell ref="B74:C74"/>
    <mergeCell ref="M74:M75"/>
    <mergeCell ref="N74:N75"/>
    <mergeCell ref="O74:O75"/>
    <mergeCell ref="P74:P75"/>
    <mergeCell ref="Q74:Q75"/>
    <mergeCell ref="R74:R75"/>
    <mergeCell ref="S74:S75"/>
    <mergeCell ref="BA74:BB75"/>
    <mergeCell ref="B75:C75"/>
    <mergeCell ref="AD75:AE75"/>
    <mergeCell ref="AQ74:AQ75"/>
    <mergeCell ref="AR74:AR75"/>
    <mergeCell ref="AS74:AS75"/>
    <mergeCell ref="AT74:AT75"/>
    <mergeCell ref="AU74:AU75"/>
    <mergeCell ref="AV74:AV75"/>
    <mergeCell ref="AW74:AX75"/>
    <mergeCell ref="AY74:AY75"/>
    <mergeCell ref="AZ74:AZ75"/>
    <mergeCell ref="T74:T75"/>
    <mergeCell ref="U74:V75"/>
    <mergeCell ref="W74:W75"/>
    <mergeCell ref="X74:X75"/>
    <mergeCell ref="Y74:Z75"/>
    <mergeCell ref="AC74:AC75"/>
    <mergeCell ref="AD74:AE74"/>
    <mergeCell ref="AO74:AO75"/>
    <mergeCell ref="AP74:AP75"/>
  </mergeCells>
  <printOptions/>
  <pageMargins left="0.39370078740157477" right="0.39370078740157477" top="0.39370078740157477" bottom="0.39370078740157477" header="0.5118110236220472" footer="0.5118110236220472"/>
  <pageSetup fitToHeight="1" fitToWidth="1" horizontalDpi="600" verticalDpi="600" orientation="portrait" paperSize="9" scale="7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学 校 教 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上野貴士</cp:lastModifiedBy>
  <dcterms:created xsi:type="dcterms:W3CDTF">2002-01-31T07:32:19Z</dcterms:created>
  <dcterms:modified xsi:type="dcterms:W3CDTF">2022-07-03T06:55:40Z</dcterms:modified>
  <cp:category/>
  <cp:version/>
  <cp:contentType/>
  <cp:contentStatus/>
  <cp:revision>4</cp:revision>
</cp:coreProperties>
</file>